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namedSheetViews/namedSheetView1.xml" ContentType="application/vnd.ms-excel.namedsheetview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61nngljuq69wkvzlaiog9kkphca.sharepoint.com/sites/Operations/Shared Documents/Project Operations/Mobile Sellers All Location/"/>
    </mc:Choice>
  </mc:AlternateContent>
  <xr:revisionPtr revIDLastSave="0" documentId="8_{037B19B8-C212-4DC6-90C2-60669EA09FA3}" xr6:coauthVersionLast="47" xr6:coauthVersionMax="47" xr10:uidLastSave="{00000000-0000-0000-0000-000000000000}"/>
  <bookViews>
    <workbookView xWindow="-4880" yWindow="-21100" windowWidth="38400" windowHeight="21100" firstSheet="10" activeTab="10" xr2:uid="{93D7FC37-C4E9-C54D-AA96-F1BB21873B8F}"/>
  </bookViews>
  <sheets>
    <sheet name="UMKM" sheetId="3" state="hidden" r:id="rId1"/>
    <sheet name="Old New comparation" sheetId="17" r:id="rId2"/>
    <sheet name="(Latest Update)" sheetId="7" r:id="rId3"/>
    <sheet name="Sheet1" sheetId="19" r:id="rId4"/>
    <sheet name="Finance Delta Check" sheetId="18" r:id="rId5"/>
    <sheet name="Detailed" sheetId="8" r:id="rId6"/>
    <sheet name="Detail1" sheetId="21" r:id="rId7"/>
    <sheet name="Detail2" sheetId="22" r:id="rId8"/>
    <sheet name="KSJ Location Comparisons" sheetId="13" r:id="rId9"/>
    <sheet name="SBY_vD" sheetId="20" r:id="rId10"/>
    <sheet name="NEW COLUMN TEMPLATE" sheetId="5" r:id="rId11"/>
    <sheet name="All Mobile Seller" sheetId="1" r:id="rId12"/>
    <sheet name="Sharing Revenue" sheetId="9" r:id="rId13"/>
  </sheets>
  <definedNames>
    <definedName name="_xlnm._FilterDatabase" localSheetId="10" hidden="1">'NEW COLUMN TEMPLATE'!#REF!</definedName>
  </definedNames>
  <calcPr calcId="191028"/>
  <pivotCaches>
    <pivotCache cacheId="16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23" i="5" l="1"/>
  <c r="Z722" i="5"/>
  <c r="Z726" i="5"/>
  <c r="AE726" i="5" s="1"/>
  <c r="Y726" i="5"/>
  <c r="AA725" i="5"/>
  <c r="Z725" i="5"/>
  <c r="V725" i="5"/>
  <c r="AA724" i="5"/>
  <c r="Z724" i="5"/>
  <c r="V724" i="5"/>
  <c r="T724" i="5"/>
  <c r="T725" i="5"/>
  <c r="T726" i="5"/>
  <c r="Y724" i="5"/>
  <c r="Y725" i="5"/>
  <c r="AE724" i="5"/>
  <c r="AE725" i="5"/>
  <c r="AF724" i="5"/>
  <c r="AF725" i="5"/>
  <c r="AF726" i="5"/>
  <c r="AG724" i="5"/>
  <c r="AG725" i="5"/>
  <c r="AG726" i="5"/>
  <c r="AH724" i="5"/>
  <c r="AH725" i="5"/>
  <c r="AH726" i="5"/>
  <c r="AI724" i="5"/>
  <c r="AI725" i="5"/>
  <c r="AI726" i="5"/>
  <c r="AJ724" i="5"/>
  <c r="AJ725" i="5"/>
  <c r="AJ726" i="5"/>
  <c r="T722" i="5"/>
  <c r="T723" i="5"/>
  <c r="Y722" i="5"/>
  <c r="Y723" i="5"/>
  <c r="AE722" i="5"/>
  <c r="AE723" i="5"/>
  <c r="AF722" i="5"/>
  <c r="AF723" i="5"/>
  <c r="AG722" i="5"/>
  <c r="AG723" i="5"/>
  <c r="AH722" i="5"/>
  <c r="AH723" i="5"/>
  <c r="AI722" i="5"/>
  <c r="AI723" i="5"/>
  <c r="AJ722" i="5"/>
  <c r="AJ723" i="5"/>
  <c r="R74" i="7"/>
  <c r="Q74" i="7"/>
  <c r="AF77" i="13"/>
  <c r="AF75" i="13"/>
  <c r="Z721" i="5"/>
  <c r="AA720" i="5"/>
  <c r="Z720" i="5"/>
  <c r="V720" i="5"/>
  <c r="Y720" i="5" s="1"/>
  <c r="AA719" i="5"/>
  <c r="Z719" i="5"/>
  <c r="AE719" i="5" s="1"/>
  <c r="V719" i="5"/>
  <c r="Y719" i="5" s="1"/>
  <c r="T719" i="5"/>
  <c r="T720" i="5"/>
  <c r="T721" i="5"/>
  <c r="AG721" i="5" s="1"/>
  <c r="AH721" i="5" s="1"/>
  <c r="Y721" i="5"/>
  <c r="AE721" i="5"/>
  <c r="AI719" i="5"/>
  <c r="AI720" i="5"/>
  <c r="AJ720" i="5" s="1"/>
  <c r="AI721" i="5"/>
  <c r="AJ721" i="5" s="1"/>
  <c r="AJ719" i="5"/>
  <c r="Z718" i="5"/>
  <c r="AE718" i="5" s="1"/>
  <c r="Z717" i="5"/>
  <c r="Y717" i="5"/>
  <c r="T717" i="5"/>
  <c r="T718" i="5"/>
  <c r="Y718" i="5"/>
  <c r="AE717" i="5"/>
  <c r="AF717" i="5" s="1"/>
  <c r="AI717" i="5"/>
  <c r="AJ717" i="5" s="1"/>
  <c r="AI718" i="5"/>
  <c r="AJ718" i="5"/>
  <c r="AF145" i="13"/>
  <c r="AF142" i="13"/>
  <c r="AF76" i="13"/>
  <c r="AF74" i="13"/>
  <c r="AF73" i="13"/>
  <c r="AC716" i="5"/>
  <c r="AC715" i="5"/>
  <c r="AC714" i="5"/>
  <c r="AC713" i="5"/>
  <c r="B223" i="13"/>
  <c r="C223" i="13"/>
  <c r="D223" i="13"/>
  <c r="B224" i="13"/>
  <c r="C224" i="13"/>
  <c r="D224" i="13"/>
  <c r="B225" i="13"/>
  <c r="C225" i="13"/>
  <c r="D225" i="13"/>
  <c r="B226" i="13"/>
  <c r="C226" i="13"/>
  <c r="D226" i="13"/>
  <c r="B227" i="13"/>
  <c r="C227" i="13"/>
  <c r="D227" i="13"/>
  <c r="B228" i="13"/>
  <c r="C228" i="13"/>
  <c r="D228" i="13"/>
  <c r="B229" i="13"/>
  <c r="C229" i="13"/>
  <c r="D229" i="13"/>
  <c r="B230" i="13"/>
  <c r="C230" i="13"/>
  <c r="D230" i="13"/>
  <c r="B231" i="13"/>
  <c r="C231" i="13"/>
  <c r="D231" i="13"/>
  <c r="B232" i="13"/>
  <c r="C232" i="13"/>
  <c r="D232" i="13"/>
  <c r="B233" i="13"/>
  <c r="C233" i="13"/>
  <c r="D233" i="13"/>
  <c r="B234" i="13"/>
  <c r="C234" i="13"/>
  <c r="D234" i="13"/>
  <c r="B235" i="13"/>
  <c r="C235" i="13"/>
  <c r="D235" i="13"/>
  <c r="B236" i="13"/>
  <c r="C236" i="13"/>
  <c r="D236" i="13"/>
  <c r="B237" i="13"/>
  <c r="C237" i="13"/>
  <c r="D237" i="13"/>
  <c r="B238" i="13"/>
  <c r="C238" i="13"/>
  <c r="D238" i="13"/>
  <c r="B239" i="13"/>
  <c r="C239" i="13"/>
  <c r="D239" i="13"/>
  <c r="B240" i="13"/>
  <c r="C240" i="13"/>
  <c r="D240" i="13"/>
  <c r="B241" i="13"/>
  <c r="C241" i="13"/>
  <c r="D241" i="13"/>
  <c r="B242" i="13"/>
  <c r="C242" i="13"/>
  <c r="D242" i="13"/>
  <c r="B243" i="13"/>
  <c r="C243" i="13"/>
  <c r="D243" i="13"/>
  <c r="B244" i="13"/>
  <c r="C244" i="13"/>
  <c r="D244" i="13"/>
  <c r="B245" i="13"/>
  <c r="C245" i="13"/>
  <c r="D245" i="13"/>
  <c r="B246" i="13"/>
  <c r="C246" i="13"/>
  <c r="D246" i="13"/>
  <c r="B247" i="13"/>
  <c r="C247" i="13"/>
  <c r="D247" i="13"/>
  <c r="B248" i="13"/>
  <c r="C248" i="13"/>
  <c r="D248" i="13"/>
  <c r="B249" i="13"/>
  <c r="C249" i="13"/>
  <c r="D249" i="13"/>
  <c r="B250" i="13"/>
  <c r="C250" i="13"/>
  <c r="D250" i="13"/>
  <c r="B251" i="13"/>
  <c r="C251" i="13"/>
  <c r="D251" i="13"/>
  <c r="B252" i="13"/>
  <c r="C252" i="13"/>
  <c r="D252" i="13"/>
  <c r="B253" i="13"/>
  <c r="C253" i="13"/>
  <c r="D253" i="13"/>
  <c r="B254" i="13"/>
  <c r="C254" i="13"/>
  <c r="D254" i="13"/>
  <c r="B255" i="13"/>
  <c r="C255" i="13"/>
  <c r="D255" i="13"/>
  <c r="B256" i="13"/>
  <c r="C256" i="13"/>
  <c r="D256" i="13"/>
  <c r="B257" i="13"/>
  <c r="C257" i="13"/>
  <c r="D257" i="13"/>
  <c r="B258" i="13"/>
  <c r="C258" i="13"/>
  <c r="D258" i="13"/>
  <c r="B259" i="13"/>
  <c r="C259" i="13"/>
  <c r="D259" i="13"/>
  <c r="B260" i="13"/>
  <c r="C260" i="13"/>
  <c r="D260" i="13"/>
  <c r="B261" i="13"/>
  <c r="C261" i="13"/>
  <c r="D261" i="13"/>
  <c r="B262" i="13"/>
  <c r="C262" i="13"/>
  <c r="D262" i="13"/>
  <c r="B263" i="13"/>
  <c r="C263" i="13"/>
  <c r="D263" i="13"/>
  <c r="B264" i="13"/>
  <c r="C264" i="13"/>
  <c r="D264" i="13"/>
  <c r="B265" i="13"/>
  <c r="C265" i="13"/>
  <c r="D265" i="13"/>
  <c r="B266" i="13"/>
  <c r="C266" i="13"/>
  <c r="D266" i="13"/>
  <c r="B267" i="13"/>
  <c r="C267" i="13"/>
  <c r="D267" i="13"/>
  <c r="B268" i="13"/>
  <c r="C268" i="13"/>
  <c r="D268" i="13"/>
  <c r="B269" i="13"/>
  <c r="C269" i="13"/>
  <c r="D269" i="13"/>
  <c r="B270" i="13"/>
  <c r="C270" i="13"/>
  <c r="D270" i="13"/>
  <c r="B271" i="13"/>
  <c r="C271" i="13"/>
  <c r="D271" i="13"/>
  <c r="B272" i="13"/>
  <c r="C272" i="13"/>
  <c r="D272" i="13"/>
  <c r="B273" i="13"/>
  <c r="C273" i="13"/>
  <c r="D273" i="13"/>
  <c r="B274" i="13"/>
  <c r="C274" i="13"/>
  <c r="D274" i="13"/>
  <c r="B275" i="13"/>
  <c r="C275" i="13"/>
  <c r="D275" i="13"/>
  <c r="B276" i="13"/>
  <c r="C276" i="13"/>
  <c r="D276" i="13"/>
  <c r="B277" i="13"/>
  <c r="C277" i="13"/>
  <c r="D277" i="13"/>
  <c r="B278" i="13"/>
  <c r="C278" i="13"/>
  <c r="D278" i="13"/>
  <c r="B279" i="13"/>
  <c r="C279" i="13"/>
  <c r="D279" i="13"/>
  <c r="B280" i="13"/>
  <c r="C280" i="13"/>
  <c r="D280" i="13"/>
  <c r="B281" i="13"/>
  <c r="C281" i="13"/>
  <c r="D281" i="13"/>
  <c r="B282" i="13"/>
  <c r="C282" i="13"/>
  <c r="D282" i="13"/>
  <c r="B283" i="13"/>
  <c r="C283" i="13"/>
  <c r="D283" i="13"/>
  <c r="B284" i="13"/>
  <c r="C284" i="13"/>
  <c r="D284" i="13"/>
  <c r="B285" i="13"/>
  <c r="C285" i="13"/>
  <c r="D285" i="13"/>
  <c r="B286" i="13"/>
  <c r="C286" i="13"/>
  <c r="D286" i="13"/>
  <c r="B287" i="13"/>
  <c r="C287" i="13"/>
  <c r="D287" i="13"/>
  <c r="B288" i="13"/>
  <c r="C288" i="13"/>
  <c r="D288" i="13"/>
  <c r="B289" i="13"/>
  <c r="C289" i="13"/>
  <c r="D289" i="13"/>
  <c r="B290" i="13"/>
  <c r="C290" i="13"/>
  <c r="D290" i="13"/>
  <c r="B291" i="13"/>
  <c r="C291" i="13"/>
  <c r="D291" i="13"/>
  <c r="B292" i="13"/>
  <c r="C292" i="13"/>
  <c r="D292" i="13"/>
  <c r="B293" i="13"/>
  <c r="C293" i="13"/>
  <c r="D293" i="13"/>
  <c r="B294" i="13"/>
  <c r="C294" i="13"/>
  <c r="D294" i="13"/>
  <c r="B295" i="13"/>
  <c r="C295" i="13"/>
  <c r="D295" i="13"/>
  <c r="B296" i="13"/>
  <c r="C296" i="13"/>
  <c r="D296" i="13"/>
  <c r="B297" i="13"/>
  <c r="C297" i="13"/>
  <c r="D297" i="13"/>
  <c r="B298" i="13"/>
  <c r="C298" i="13"/>
  <c r="D298" i="13"/>
  <c r="B299" i="13"/>
  <c r="C299" i="13"/>
  <c r="D299" i="13"/>
  <c r="B300" i="13"/>
  <c r="C300" i="13"/>
  <c r="D300" i="13"/>
  <c r="B301" i="13"/>
  <c r="C301" i="13"/>
  <c r="D301" i="13"/>
  <c r="B302" i="13"/>
  <c r="C302" i="13"/>
  <c r="D302" i="13"/>
  <c r="B303" i="13"/>
  <c r="C303" i="13"/>
  <c r="D303" i="13"/>
  <c r="B304" i="13"/>
  <c r="C304" i="13"/>
  <c r="D304" i="13"/>
  <c r="B305" i="13"/>
  <c r="C305" i="13"/>
  <c r="D305" i="13"/>
  <c r="B306" i="13"/>
  <c r="C306" i="13"/>
  <c r="D306" i="13"/>
  <c r="B307" i="13"/>
  <c r="C307" i="13"/>
  <c r="D307" i="13"/>
  <c r="B308" i="13"/>
  <c r="C308" i="13"/>
  <c r="D308" i="13"/>
  <c r="B309" i="13"/>
  <c r="C309" i="13"/>
  <c r="D309" i="13"/>
  <c r="B310" i="13"/>
  <c r="C310" i="13"/>
  <c r="D310" i="13"/>
  <c r="B311" i="13"/>
  <c r="C311" i="13"/>
  <c r="D311" i="13"/>
  <c r="B312" i="13"/>
  <c r="C312" i="13"/>
  <c r="D312" i="13"/>
  <c r="B313" i="13"/>
  <c r="C313" i="13"/>
  <c r="D313" i="13"/>
  <c r="B314" i="13"/>
  <c r="C314" i="13"/>
  <c r="D314" i="13"/>
  <c r="B221" i="13"/>
  <c r="C221" i="13"/>
  <c r="D221" i="13"/>
  <c r="M4" i="8"/>
  <c r="A8" i="8"/>
  <c r="AA716" i="5"/>
  <c r="AA715" i="5"/>
  <c r="AA714" i="5"/>
  <c r="AA713" i="5"/>
  <c r="Z714" i="5"/>
  <c r="Z715" i="5"/>
  <c r="Z716" i="5"/>
  <c r="Z713" i="5"/>
  <c r="V716" i="5"/>
  <c r="V714" i="5"/>
  <c r="V715" i="5"/>
  <c r="V713" i="5"/>
  <c r="U716" i="5"/>
  <c r="U714" i="5"/>
  <c r="Y714" i="5" s="1"/>
  <c r="U715" i="5"/>
  <c r="U713" i="5"/>
  <c r="Y713" i="5" s="1"/>
  <c r="O716" i="5"/>
  <c r="N716" i="5"/>
  <c r="O714" i="5"/>
  <c r="N714" i="5"/>
  <c r="O715" i="5"/>
  <c r="N715" i="5"/>
  <c r="O713" i="5"/>
  <c r="N713" i="5"/>
  <c r="T715" i="5"/>
  <c r="Y715" i="5"/>
  <c r="T714" i="5"/>
  <c r="AA711" i="5"/>
  <c r="V711" i="5"/>
  <c r="Y711" i="5" s="1"/>
  <c r="AA710" i="5"/>
  <c r="Z711" i="5"/>
  <c r="Z710" i="5"/>
  <c r="V710" i="5"/>
  <c r="AI710" i="5" s="1"/>
  <c r="AJ710" i="5" s="1"/>
  <c r="AA708" i="5"/>
  <c r="Z708" i="5"/>
  <c r="V708" i="5"/>
  <c r="Y708" i="5" s="1"/>
  <c r="AA707" i="5"/>
  <c r="Z707" i="5"/>
  <c r="V707" i="5"/>
  <c r="Z709" i="5"/>
  <c r="AE709" i="5" s="1"/>
  <c r="Z712" i="5"/>
  <c r="AE712" i="5" s="1"/>
  <c r="T710" i="5"/>
  <c r="T711" i="5"/>
  <c r="T712" i="5"/>
  <c r="Y712" i="5"/>
  <c r="AI712" i="5"/>
  <c r="AJ712" i="5" s="1"/>
  <c r="T707" i="5"/>
  <c r="T708" i="5"/>
  <c r="T709" i="5"/>
  <c r="Y707" i="5"/>
  <c r="Y709" i="5"/>
  <c r="AI709" i="5"/>
  <c r="AJ709" i="5" s="1"/>
  <c r="B55" i="13"/>
  <c r="C55" i="13"/>
  <c r="D55" i="13"/>
  <c r="B56" i="13"/>
  <c r="C56" i="13"/>
  <c r="D56" i="13"/>
  <c r="B57" i="13"/>
  <c r="C57" i="13"/>
  <c r="D57" i="13"/>
  <c r="B58" i="13"/>
  <c r="C58" i="13"/>
  <c r="D58" i="13"/>
  <c r="B59" i="13"/>
  <c r="C59" i="13"/>
  <c r="D59" i="13"/>
  <c r="B60" i="13"/>
  <c r="C60" i="13"/>
  <c r="D60" i="13"/>
  <c r="B61" i="13"/>
  <c r="C61" i="13"/>
  <c r="D61" i="13"/>
  <c r="B62" i="13"/>
  <c r="C62" i="13"/>
  <c r="D62" i="13"/>
  <c r="B63" i="13"/>
  <c r="C63" i="13"/>
  <c r="D63" i="13"/>
  <c r="B64" i="13"/>
  <c r="C64" i="13"/>
  <c r="D64" i="13"/>
  <c r="B65" i="13"/>
  <c r="C65" i="13"/>
  <c r="D65" i="13"/>
  <c r="B66" i="13"/>
  <c r="C66" i="13"/>
  <c r="D66" i="13"/>
  <c r="B67" i="13"/>
  <c r="C67" i="13"/>
  <c r="D67" i="13"/>
  <c r="B68" i="13"/>
  <c r="C68" i="13"/>
  <c r="D68" i="13"/>
  <c r="B69" i="13"/>
  <c r="C69" i="13"/>
  <c r="D69" i="13"/>
  <c r="B128" i="13"/>
  <c r="C128" i="13"/>
  <c r="D128" i="13"/>
  <c r="C135" i="13"/>
  <c r="AF143" i="13"/>
  <c r="AF141" i="13"/>
  <c r="AF140" i="13"/>
  <c r="AF139" i="13"/>
  <c r="AF138" i="13"/>
  <c r="AF137" i="13"/>
  <c r="AF136" i="13"/>
  <c r="AF135" i="13"/>
  <c r="AF134" i="13"/>
  <c r="AF133" i="13"/>
  <c r="AF132" i="13"/>
  <c r="AF131" i="13"/>
  <c r="AF130" i="13"/>
  <c r="AF129" i="13"/>
  <c r="AF128" i="13"/>
  <c r="AF68" i="13"/>
  <c r="AF69" i="13"/>
  <c r="AI713" i="5" l="1"/>
  <c r="AJ713" i="5" s="1"/>
  <c r="AI714" i="5"/>
  <c r="AJ714" i="5" s="1"/>
  <c r="AI715" i="5"/>
  <c r="AJ715" i="5" s="1"/>
  <c r="AI716" i="5"/>
  <c r="AJ716" i="5" s="1"/>
  <c r="AG717" i="5"/>
  <c r="AH717" i="5" s="1"/>
  <c r="AF718" i="5"/>
  <c r="AG711" i="5"/>
  <c r="AH711" i="5" s="1"/>
  <c r="AG720" i="5"/>
  <c r="AH720" i="5" s="1"/>
  <c r="AE720" i="5"/>
  <c r="AF720" i="5" s="1"/>
  <c r="AG719" i="5"/>
  <c r="AH719" i="5" s="1"/>
  <c r="AG718" i="5"/>
  <c r="AH718" i="5" s="1"/>
  <c r="AF721" i="5"/>
  <c r="AF719" i="5"/>
  <c r="AE707" i="5"/>
  <c r="AF707" i="5" s="1"/>
  <c r="Y716" i="5"/>
  <c r="AG708" i="5"/>
  <c r="AH708" i="5" s="1"/>
  <c r="T716" i="5"/>
  <c r="AG716" i="5" s="1"/>
  <c r="AH716" i="5" s="1"/>
  <c r="AE716" i="5"/>
  <c r="AG710" i="5"/>
  <c r="AH710" i="5" s="1"/>
  <c r="T713" i="5"/>
  <c r="AG713" i="5" s="1"/>
  <c r="AH713" i="5" s="1"/>
  <c r="AG712" i="5"/>
  <c r="AH712" i="5" s="1"/>
  <c r="AI707" i="5"/>
  <c r="AJ707" i="5" s="1"/>
  <c r="AI711" i="5"/>
  <c r="AJ711" i="5" s="1"/>
  <c r="AG707" i="5"/>
  <c r="AH707" i="5" s="1"/>
  <c r="AE715" i="5"/>
  <c r="AF715" i="5" s="1"/>
  <c r="Y710" i="5"/>
  <c r="AE708" i="5"/>
  <c r="AF708" i="5" s="1"/>
  <c r="AG709" i="5"/>
  <c r="AH709" i="5" s="1"/>
  <c r="AE710" i="5"/>
  <c r="AE713" i="5"/>
  <c r="AF713" i="5" s="1"/>
  <c r="AG714" i="5"/>
  <c r="AH714" i="5" s="1"/>
  <c r="AF712" i="5"/>
  <c r="AE711" i="5"/>
  <c r="AF711" i="5" s="1"/>
  <c r="AF709" i="5"/>
  <c r="AE714" i="5"/>
  <c r="AF714" i="5" s="1"/>
  <c r="AG715" i="5"/>
  <c r="AH715" i="5" s="1"/>
  <c r="AI708" i="5"/>
  <c r="AJ708" i="5" s="1"/>
  <c r="Z706" i="5"/>
  <c r="AE706" i="5" s="1"/>
  <c r="AA705" i="5"/>
  <c r="Z705" i="5"/>
  <c r="V705" i="5"/>
  <c r="AA704" i="5"/>
  <c r="Z704" i="5"/>
  <c r="AE704" i="5" s="1"/>
  <c r="V704" i="5"/>
  <c r="Y704" i="5" s="1"/>
  <c r="T704" i="5"/>
  <c r="T705" i="5"/>
  <c r="T706" i="5"/>
  <c r="Y706" i="5"/>
  <c r="AI706" i="5"/>
  <c r="AJ706" i="5" s="1"/>
  <c r="Z702" i="5"/>
  <c r="AE702" i="5" s="1"/>
  <c r="Z703" i="5"/>
  <c r="AE703" i="5" s="1"/>
  <c r="Y702" i="5"/>
  <c r="T702" i="5"/>
  <c r="T703" i="5"/>
  <c r="Y703" i="5"/>
  <c r="AI702" i="5"/>
  <c r="AJ702" i="5" s="1"/>
  <c r="AI703" i="5"/>
  <c r="AJ703" i="5" s="1"/>
  <c r="CO9" i="8"/>
  <c r="CZ9" i="8" s="1"/>
  <c r="CO8" i="8"/>
  <c r="CT9" i="8"/>
  <c r="CT8" i="8"/>
  <c r="CY9" i="8"/>
  <c r="CY8" i="8"/>
  <c r="Z701" i="5"/>
  <c r="AE701" i="5" s="1"/>
  <c r="AA700" i="5"/>
  <c r="Z700" i="5"/>
  <c r="V700" i="5"/>
  <c r="Y700" i="5" s="1"/>
  <c r="AA699" i="5"/>
  <c r="Z699" i="5"/>
  <c r="V699" i="5"/>
  <c r="Y699" i="5" s="1"/>
  <c r="T699" i="5"/>
  <c r="T700" i="5"/>
  <c r="T701" i="5"/>
  <c r="Y701" i="5"/>
  <c r="AI701" i="5"/>
  <c r="AJ701" i="5"/>
  <c r="Y697" i="5"/>
  <c r="Z698" i="5"/>
  <c r="Z697" i="5"/>
  <c r="AF716" i="5" l="1"/>
  <c r="AF710" i="5"/>
  <c r="AG702" i="5"/>
  <c r="AH702" i="5" s="1"/>
  <c r="AG705" i="5"/>
  <c r="AH705" i="5" s="1"/>
  <c r="AG703" i="5"/>
  <c r="AH703" i="5" s="1"/>
  <c r="AG706" i="5"/>
  <c r="AH706" i="5" s="1"/>
  <c r="AG699" i="5"/>
  <c r="AH699" i="5" s="1"/>
  <c r="AI705" i="5"/>
  <c r="AJ705" i="5" s="1"/>
  <c r="AE705" i="5"/>
  <c r="AI700" i="5"/>
  <c r="AJ700" i="5" s="1"/>
  <c r="AF703" i="5"/>
  <c r="AI704" i="5"/>
  <c r="AJ704" i="5" s="1"/>
  <c r="AF702" i="5"/>
  <c r="AI699" i="5"/>
  <c r="AJ699" i="5" s="1"/>
  <c r="AE700" i="5"/>
  <c r="AF700" i="5" s="1"/>
  <c r="AF706" i="5"/>
  <c r="AF704" i="5"/>
  <c r="AG704" i="5"/>
  <c r="AH704" i="5" s="1"/>
  <c r="AE699" i="5"/>
  <c r="AF699" i="5" s="1"/>
  <c r="AG701" i="5"/>
  <c r="AH701" i="5" s="1"/>
  <c r="Y705" i="5"/>
  <c r="CZ8" i="8"/>
  <c r="AF701" i="5"/>
  <c r="AG700" i="5"/>
  <c r="AH700" i="5" s="1"/>
  <c r="Z696" i="5"/>
  <c r="AE696" i="5" s="1"/>
  <c r="Z695" i="5"/>
  <c r="AE695" i="5" s="1"/>
  <c r="AF705" i="5" l="1"/>
  <c r="AI697" i="5"/>
  <c r="AJ697" i="5" s="1"/>
  <c r="AI698" i="5"/>
  <c r="AJ698" i="5" s="1"/>
  <c r="AE697" i="5"/>
  <c r="AE698" i="5"/>
  <c r="Y698" i="5"/>
  <c r="T697" i="5"/>
  <c r="T698" i="5"/>
  <c r="AI695" i="5"/>
  <c r="AJ695" i="5" s="1"/>
  <c r="AI696" i="5"/>
  <c r="AJ696" i="5" s="1"/>
  <c r="Y695" i="5"/>
  <c r="Y696" i="5"/>
  <c r="T695" i="5"/>
  <c r="T696" i="5"/>
  <c r="AG696" i="5" s="1"/>
  <c r="AH696" i="5" s="1"/>
  <c r="Z694" i="5"/>
  <c r="T694" i="5"/>
  <c r="AG694" i="5" s="1"/>
  <c r="AH694" i="5" s="1"/>
  <c r="AA693" i="5"/>
  <c r="Z693" i="5"/>
  <c r="AE693" i="5" s="1"/>
  <c r="V693" i="5"/>
  <c r="Y693" i="5" s="1"/>
  <c r="AA692" i="5"/>
  <c r="Z692" i="5"/>
  <c r="V692" i="5"/>
  <c r="Y692" i="5" s="1"/>
  <c r="T692" i="5"/>
  <c r="AI694" i="5"/>
  <c r="AJ694" i="5" s="1"/>
  <c r="AE694" i="5"/>
  <c r="Y694" i="5"/>
  <c r="T693" i="5"/>
  <c r="C31" i="19" a="1"/>
  <c r="C31" i="19" s="1"/>
  <c r="C33" i="19" a="1"/>
  <c r="C33" i="19" s="1"/>
  <c r="Q66" i="7"/>
  <c r="R66" i="7"/>
  <c r="AL108" i="7"/>
  <c r="AK108" i="7"/>
  <c r="AJ108" i="7"/>
  <c r="AE692" i="5" l="1"/>
  <c r="AI693" i="5"/>
  <c r="AJ693" i="5" s="1"/>
  <c r="AI692" i="5"/>
  <c r="AJ692" i="5" s="1"/>
  <c r="AF694" i="5"/>
  <c r="AG692" i="5"/>
  <c r="AH692" i="5" s="1"/>
  <c r="AF692" i="5"/>
  <c r="AF698" i="5"/>
  <c r="AG698" i="5"/>
  <c r="AH698" i="5" s="1"/>
  <c r="AG697" i="5"/>
  <c r="AH697" i="5" s="1"/>
  <c r="AF693" i="5"/>
  <c r="AF697" i="5"/>
  <c r="AF695" i="5"/>
  <c r="AF696" i="5"/>
  <c r="AG695" i="5"/>
  <c r="AH695" i="5" s="1"/>
  <c r="AG693" i="5"/>
  <c r="AH693" i="5" s="1"/>
  <c r="AI690" i="5"/>
  <c r="AJ690" i="5" s="1"/>
  <c r="AI691" i="5"/>
  <c r="AJ691" i="5" s="1"/>
  <c r="Z691" i="5"/>
  <c r="AE691" i="5" s="1"/>
  <c r="Z690" i="5"/>
  <c r="AE690" i="5" s="1"/>
  <c r="Y689" i="5"/>
  <c r="Y690" i="5"/>
  <c r="Y691" i="5"/>
  <c r="T689" i="5"/>
  <c r="T690" i="5"/>
  <c r="T691" i="5"/>
  <c r="AA688" i="5"/>
  <c r="Z689" i="5"/>
  <c r="AE689" i="5" s="1"/>
  <c r="Z688" i="5"/>
  <c r="AE688" i="5" s="1"/>
  <c r="V688" i="5"/>
  <c r="Y688" i="5" s="1"/>
  <c r="AA687" i="5"/>
  <c r="Z687" i="5"/>
  <c r="V687" i="5"/>
  <c r="Y687" i="5" s="1"/>
  <c r="T687" i="5"/>
  <c r="T688" i="5"/>
  <c r="AI689" i="5"/>
  <c r="AJ689" i="5" s="1"/>
  <c r="AK34" i="7"/>
  <c r="AJ34" i="7"/>
  <c r="AI687" i="5" l="1"/>
  <c r="AJ687" i="5" s="1"/>
  <c r="AG687" i="5"/>
  <c r="AH687" i="5" s="1"/>
  <c r="AI688" i="5"/>
  <c r="AJ688" i="5" s="1"/>
  <c r="AG689" i="5"/>
  <c r="AH689" i="5" s="1"/>
  <c r="AF689" i="5"/>
  <c r="AE687" i="5"/>
  <c r="AF687" i="5" s="1"/>
  <c r="AF688" i="5"/>
  <c r="AG688" i="5"/>
  <c r="AH688" i="5" s="1"/>
  <c r="AG691" i="5"/>
  <c r="AH691" i="5" s="1"/>
  <c r="AF691" i="5"/>
  <c r="AF690" i="5"/>
  <c r="AG690" i="5"/>
  <c r="AH690" i="5" s="1"/>
  <c r="AL107" i="7"/>
  <c r="AK107" i="7"/>
  <c r="AJ107" i="7"/>
  <c r="C16" i="13"/>
  <c r="Z684" i="5"/>
  <c r="AC683" i="5"/>
  <c r="AC686" i="5"/>
  <c r="AC685" i="5"/>
  <c r="AC682" i="5"/>
  <c r="AA686" i="5"/>
  <c r="AA683" i="5"/>
  <c r="AA685" i="5"/>
  <c r="AA682" i="5"/>
  <c r="Z685" i="5"/>
  <c r="Z683" i="5"/>
  <c r="Z686" i="5"/>
  <c r="Z682" i="5"/>
  <c r="V686" i="5"/>
  <c r="V683" i="5"/>
  <c r="V685" i="5"/>
  <c r="V682" i="5"/>
  <c r="U683" i="5"/>
  <c r="U686" i="5"/>
  <c r="U685" i="5"/>
  <c r="U682" i="5"/>
  <c r="R685" i="5"/>
  <c r="R682" i="5"/>
  <c r="Q686" i="5"/>
  <c r="Q685" i="5"/>
  <c r="Q683" i="5"/>
  <c r="Q682" i="5"/>
  <c r="O685" i="5"/>
  <c r="N685" i="5"/>
  <c r="O682" i="5"/>
  <c r="N682" i="5"/>
  <c r="O686" i="5"/>
  <c r="O683" i="5"/>
  <c r="N686" i="5"/>
  <c r="N683" i="5"/>
  <c r="T684" i="5"/>
  <c r="Y684" i="5"/>
  <c r="AI684" i="5"/>
  <c r="AJ684" i="5" s="1"/>
  <c r="Z681" i="5"/>
  <c r="AE681" i="5" s="1"/>
  <c r="AA680" i="5"/>
  <c r="Z678" i="5"/>
  <c r="AE678" i="5" s="1"/>
  <c r="Z680" i="5"/>
  <c r="V680" i="5"/>
  <c r="Y680" i="5" s="1"/>
  <c r="AA679" i="5"/>
  <c r="Z679" i="5"/>
  <c r="V679" i="5"/>
  <c r="Y679" i="5" s="1"/>
  <c r="AA677" i="5"/>
  <c r="V677" i="5"/>
  <c r="Y677" i="5" s="1"/>
  <c r="Z677" i="5"/>
  <c r="AA676" i="5"/>
  <c r="Z676" i="5"/>
  <c r="V676" i="5"/>
  <c r="U676" i="5"/>
  <c r="T679" i="5"/>
  <c r="T680" i="5"/>
  <c r="T681" i="5"/>
  <c r="Y681" i="5"/>
  <c r="AI681" i="5"/>
  <c r="AJ681" i="5" s="1"/>
  <c r="T676" i="5"/>
  <c r="T677" i="5"/>
  <c r="T678" i="5"/>
  <c r="Y678" i="5"/>
  <c r="AI678" i="5"/>
  <c r="AJ678" i="5" s="1"/>
  <c r="AL104" i="7"/>
  <c r="AK104" i="7"/>
  <c r="AJ104" i="7"/>
  <c r="R67" i="7"/>
  <c r="Q67" i="7"/>
  <c r="Q65" i="7"/>
  <c r="R65" i="7"/>
  <c r="Z675" i="5"/>
  <c r="AE675" i="5" s="1"/>
  <c r="AA673" i="5"/>
  <c r="AI673" i="5" s="1"/>
  <c r="AJ673" i="5" s="1"/>
  <c r="AA674" i="5"/>
  <c r="AI674" i="5" s="1"/>
  <c r="AJ674" i="5" s="1"/>
  <c r="Z673" i="5"/>
  <c r="Z674" i="5"/>
  <c r="Y673" i="5"/>
  <c r="T672" i="5"/>
  <c r="T673" i="5"/>
  <c r="T674" i="5"/>
  <c r="Y674" i="5"/>
  <c r="Y675" i="5"/>
  <c r="AI675" i="5"/>
  <c r="AJ675" i="5" s="1"/>
  <c r="Z672" i="5"/>
  <c r="AE672" i="5" s="1"/>
  <c r="U672" i="5"/>
  <c r="Y672" i="5" s="1"/>
  <c r="AA671" i="5"/>
  <c r="Z671" i="5"/>
  <c r="V671" i="5"/>
  <c r="Y671" i="5" s="1"/>
  <c r="AA670" i="5"/>
  <c r="Z670" i="5"/>
  <c r="AE670" i="5" s="1"/>
  <c r="V670" i="5"/>
  <c r="U665" i="5"/>
  <c r="U663" i="5"/>
  <c r="U670" i="5"/>
  <c r="T670" i="5"/>
  <c r="T671" i="5"/>
  <c r="AI672" i="5"/>
  <c r="AJ672" i="5" s="1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8" i="8"/>
  <c r="T686" i="5" l="1"/>
  <c r="AI682" i="5"/>
  <c r="AJ682" i="5" s="1"/>
  <c r="Y670" i="5"/>
  <c r="Y686" i="5"/>
  <c r="AE676" i="5"/>
  <c r="AE679" i="5"/>
  <c r="AI683" i="5"/>
  <c r="AJ683" i="5" s="1"/>
  <c r="T683" i="5"/>
  <c r="AE671" i="5"/>
  <c r="AF671" i="5" s="1"/>
  <c r="AI671" i="5"/>
  <c r="AJ671" i="5" s="1"/>
  <c r="Y685" i="5"/>
  <c r="AI676" i="5"/>
  <c r="AJ676" i="5" s="1"/>
  <c r="AE680" i="5"/>
  <c r="AF680" i="5" s="1"/>
  <c r="AI686" i="5"/>
  <c r="AJ686" i="5" s="1"/>
  <c r="T685" i="5"/>
  <c r="AG685" i="5" s="1"/>
  <c r="AH685" i="5" s="1"/>
  <c r="AI685" i="5"/>
  <c r="AJ685" i="5" s="1"/>
  <c r="AI677" i="5"/>
  <c r="AJ677" i="5" s="1"/>
  <c r="T682" i="5"/>
  <c r="AG682" i="5" s="1"/>
  <c r="AH682" i="5" s="1"/>
  <c r="Y676" i="5"/>
  <c r="AF676" i="5" s="1"/>
  <c r="AI679" i="5"/>
  <c r="AJ679" i="5" s="1"/>
  <c r="Y683" i="5"/>
  <c r="AI680" i="5"/>
  <c r="AJ680" i="5" s="1"/>
  <c r="Y682" i="5"/>
  <c r="AG672" i="5"/>
  <c r="AH672" i="5" s="1"/>
  <c r="AE685" i="5"/>
  <c r="AE682" i="5"/>
  <c r="AE686" i="5"/>
  <c r="AF686" i="5" s="1"/>
  <c r="AG686" i="5"/>
  <c r="AH686" i="5" s="1"/>
  <c r="AE683" i="5"/>
  <c r="AG683" i="5"/>
  <c r="AH683" i="5" s="1"/>
  <c r="AG677" i="5"/>
  <c r="AH677" i="5" s="1"/>
  <c r="AG684" i="5"/>
  <c r="AH684" i="5" s="1"/>
  <c r="AF681" i="5"/>
  <c r="AE677" i="5"/>
  <c r="AF677" i="5" s="1"/>
  <c r="AG681" i="5"/>
  <c r="AH681" i="5" s="1"/>
  <c r="AF679" i="5"/>
  <c r="AE684" i="5"/>
  <c r="AF684" i="5" s="1"/>
  <c r="AG679" i="5"/>
  <c r="AH679" i="5" s="1"/>
  <c r="AG676" i="5"/>
  <c r="AH676" i="5" s="1"/>
  <c r="AF678" i="5"/>
  <c r="AG675" i="5"/>
  <c r="AH675" i="5" s="1"/>
  <c r="AG680" i="5"/>
  <c r="AH680" i="5" s="1"/>
  <c r="AG678" i="5"/>
  <c r="AH678" i="5" s="1"/>
  <c r="AI670" i="5"/>
  <c r="AJ670" i="5" s="1"/>
  <c r="AF672" i="5"/>
  <c r="AE674" i="5"/>
  <c r="AF674" i="5" s="1"/>
  <c r="AG674" i="5"/>
  <c r="AH674" i="5" s="1"/>
  <c r="AE673" i="5"/>
  <c r="AF673" i="5" s="1"/>
  <c r="AG673" i="5"/>
  <c r="AH673" i="5" s="1"/>
  <c r="AF675" i="5"/>
  <c r="AG671" i="5"/>
  <c r="AH671" i="5" s="1"/>
  <c r="AG670" i="5"/>
  <c r="AH670" i="5" s="1"/>
  <c r="AF670" i="5"/>
  <c r="AL106" i="7"/>
  <c r="AK106" i="7"/>
  <c r="AJ106" i="7"/>
  <c r="AF682" i="5" l="1"/>
  <c r="AF685" i="5"/>
  <c r="AF683" i="5"/>
  <c r="AL105" i="7"/>
  <c r="AK105" i="7"/>
  <c r="AJ105" i="7"/>
  <c r="Z669" i="5"/>
  <c r="AE669" i="5" s="1"/>
  <c r="AA668" i="5"/>
  <c r="AI668" i="5" s="1"/>
  <c r="AJ668" i="5" s="1"/>
  <c r="AA667" i="5"/>
  <c r="AI667" i="5" s="1"/>
  <c r="AJ667" i="5" s="1"/>
  <c r="Z668" i="5"/>
  <c r="Z667" i="5"/>
  <c r="AI669" i="5"/>
  <c r="AJ669" i="5" s="1"/>
  <c r="Y667" i="5"/>
  <c r="Y668" i="5"/>
  <c r="Y669" i="5"/>
  <c r="T667" i="5"/>
  <c r="T668" i="5"/>
  <c r="T669" i="5"/>
  <c r="Z665" i="5"/>
  <c r="AE665" i="5" s="1"/>
  <c r="Z666" i="5"/>
  <c r="AE666" i="5" s="1"/>
  <c r="AA664" i="5"/>
  <c r="Z664" i="5"/>
  <c r="V664" i="5"/>
  <c r="Y664" i="5" s="1"/>
  <c r="AA663" i="5"/>
  <c r="Z663" i="5"/>
  <c r="V663" i="5"/>
  <c r="Y663" i="5" s="1"/>
  <c r="Y665" i="5"/>
  <c r="U661" i="5"/>
  <c r="U659" i="5"/>
  <c r="T663" i="5"/>
  <c r="T664" i="5"/>
  <c r="T665" i="5"/>
  <c r="T666" i="5"/>
  <c r="Y666" i="5"/>
  <c r="AI665" i="5"/>
  <c r="AJ665" i="5" s="1"/>
  <c r="AI666" i="5"/>
  <c r="AJ666" i="5" s="1"/>
  <c r="N58" i="19"/>
  <c r="M58" i="19"/>
  <c r="L58" i="19"/>
  <c r="K58" i="19"/>
  <c r="J58" i="19"/>
  <c r="I58" i="19"/>
  <c r="H58" i="19"/>
  <c r="G58" i="19"/>
  <c r="F58" i="19"/>
  <c r="E58" i="19"/>
  <c r="D58" i="19"/>
  <c r="C58" i="19"/>
  <c r="C38" i="19" a="1"/>
  <c r="C35" i="19" a="1"/>
  <c r="C35" i="19" s="1"/>
  <c r="D173" i="13"/>
  <c r="C173" i="13"/>
  <c r="B173" i="13"/>
  <c r="D172" i="13"/>
  <c r="C172" i="13"/>
  <c r="B172" i="13"/>
  <c r="D171" i="13"/>
  <c r="C171" i="13"/>
  <c r="B171" i="13"/>
  <c r="D170" i="13"/>
  <c r="C170" i="13"/>
  <c r="B170" i="13"/>
  <c r="D122" i="13"/>
  <c r="C122" i="13"/>
  <c r="B122" i="13"/>
  <c r="D121" i="13"/>
  <c r="C121" i="13"/>
  <c r="B121" i="13"/>
  <c r="D120" i="13"/>
  <c r="C120" i="13"/>
  <c r="B120" i="13"/>
  <c r="D119" i="13"/>
  <c r="C119" i="13"/>
  <c r="B119" i="13"/>
  <c r="D118" i="13"/>
  <c r="C118" i="13"/>
  <c r="B118" i="13"/>
  <c r="D117" i="13"/>
  <c r="C117" i="13"/>
  <c r="B117" i="13"/>
  <c r="D116" i="13"/>
  <c r="C116" i="13"/>
  <c r="B116" i="13"/>
  <c r="D115" i="13"/>
  <c r="C115" i="13"/>
  <c r="B115" i="13"/>
  <c r="D114" i="13"/>
  <c r="C114" i="13"/>
  <c r="B114" i="13"/>
  <c r="D113" i="13"/>
  <c r="C113" i="13"/>
  <c r="B113" i="13"/>
  <c r="D112" i="13"/>
  <c r="C112" i="13"/>
  <c r="B112" i="13"/>
  <c r="D111" i="13"/>
  <c r="C111" i="13"/>
  <c r="B111" i="13"/>
  <c r="D110" i="13"/>
  <c r="C110" i="13"/>
  <c r="B110" i="13"/>
  <c r="D109" i="13"/>
  <c r="C109" i="13"/>
  <c r="B109" i="13"/>
  <c r="D108" i="13"/>
  <c r="C108" i="13"/>
  <c r="B108" i="13"/>
  <c r="AE668" i="5" l="1"/>
  <c r="AG669" i="5"/>
  <c r="AH669" i="5" s="1"/>
  <c r="AI663" i="5"/>
  <c r="AJ663" i="5" s="1"/>
  <c r="AE663" i="5"/>
  <c r="AF663" i="5" s="1"/>
  <c r="AE667" i="5"/>
  <c r="AF667" i="5" s="1"/>
  <c r="AG668" i="5"/>
  <c r="AH668" i="5" s="1"/>
  <c r="AI664" i="5"/>
  <c r="AJ664" i="5" s="1"/>
  <c r="AF669" i="5"/>
  <c r="AG667" i="5"/>
  <c r="AH667" i="5" s="1"/>
  <c r="AF665" i="5"/>
  <c r="AF668" i="5"/>
  <c r="AG663" i="5"/>
  <c r="AH663" i="5" s="1"/>
  <c r="AF666" i="5"/>
  <c r="AG666" i="5"/>
  <c r="AH666" i="5" s="1"/>
  <c r="AG665" i="5"/>
  <c r="AH665" i="5" s="1"/>
  <c r="AE664" i="5"/>
  <c r="AF664" i="5" s="1"/>
  <c r="AG664" i="5"/>
  <c r="AH664" i="5" s="1"/>
  <c r="C38" i="19"/>
  <c r="AF266" i="13"/>
  <c r="AF265" i="13"/>
  <c r="AF264" i="13"/>
  <c r="AF263" i="13"/>
  <c r="AF262" i="13"/>
  <c r="AF261" i="13"/>
  <c r="AF260" i="13"/>
  <c r="AF259" i="13"/>
  <c r="AF258" i="13"/>
  <c r="AF257" i="13"/>
  <c r="AF256" i="13"/>
  <c r="AF255" i="13"/>
  <c r="AF254" i="13"/>
  <c r="AF253" i="13"/>
  <c r="AF252" i="13"/>
  <c r="AF251" i="13"/>
  <c r="AF250" i="13"/>
  <c r="AF249" i="13"/>
  <c r="AF248" i="13"/>
  <c r="AF247" i="13"/>
  <c r="AF246" i="13"/>
  <c r="AF245" i="13"/>
  <c r="AF244" i="13"/>
  <c r="AF243" i="13"/>
  <c r="AF242" i="13"/>
  <c r="AF241" i="13"/>
  <c r="AF240" i="13"/>
  <c r="AF239" i="13"/>
  <c r="AF238" i="13"/>
  <c r="AF237" i="13"/>
  <c r="AF236" i="13"/>
  <c r="AF235" i="13"/>
  <c r="AF234" i="13"/>
  <c r="AF233" i="13"/>
  <c r="AF232" i="13"/>
  <c r="AF231" i="13"/>
  <c r="AF230" i="13"/>
  <c r="AF229" i="13"/>
  <c r="AF228" i="13"/>
  <c r="AF227" i="13"/>
  <c r="AF226" i="13"/>
  <c r="AF225" i="13"/>
  <c r="AF224" i="13"/>
  <c r="AF223" i="13"/>
  <c r="AF222" i="13"/>
  <c r="AF221" i="13"/>
  <c r="AF220" i="13"/>
  <c r="AF219" i="13"/>
  <c r="AF218" i="13"/>
  <c r="AF217" i="13"/>
  <c r="AF216" i="13"/>
  <c r="AF215" i="13"/>
  <c r="AF214" i="13"/>
  <c r="AF213" i="13"/>
  <c r="AF212" i="13"/>
  <c r="AF211" i="13"/>
  <c r="AF210" i="13"/>
  <c r="AF207" i="13"/>
  <c r="AF206" i="13"/>
  <c r="AF205" i="13"/>
  <c r="AF204" i="13"/>
  <c r="AF203" i="13"/>
  <c r="AF202" i="13"/>
  <c r="AF201" i="13"/>
  <c r="AF200" i="13"/>
  <c r="AF199" i="13"/>
  <c r="AF198" i="13"/>
  <c r="AF197" i="13"/>
  <c r="AF196" i="13"/>
  <c r="AF195" i="13"/>
  <c r="AF194" i="13"/>
  <c r="AF193" i="13"/>
  <c r="AF192" i="13"/>
  <c r="AF191" i="13"/>
  <c r="AF190" i="13"/>
  <c r="AF189" i="13"/>
  <c r="AF188" i="13"/>
  <c r="AF187" i="13"/>
  <c r="AF186" i="13"/>
  <c r="AF185" i="13"/>
  <c r="AF184" i="13"/>
  <c r="AF183" i="13"/>
  <c r="AF182" i="13"/>
  <c r="AF181" i="13"/>
  <c r="AF180" i="13"/>
  <c r="AF179" i="13"/>
  <c r="AF178" i="13"/>
  <c r="AF177" i="13"/>
  <c r="AF176" i="13"/>
  <c r="AF175" i="13"/>
  <c r="AF174" i="13"/>
  <c r="AF173" i="13"/>
  <c r="AF172" i="13"/>
  <c r="AF171" i="13"/>
  <c r="AF170" i="13"/>
  <c r="AF169" i="13"/>
  <c r="AF168" i="13"/>
  <c r="AF167" i="13"/>
  <c r="AF166" i="13"/>
  <c r="AF165" i="13"/>
  <c r="AF164" i="13"/>
  <c r="AF163" i="13"/>
  <c r="AF162" i="13"/>
  <c r="AF161" i="13"/>
  <c r="AF160" i="13"/>
  <c r="AF159" i="13"/>
  <c r="AF158" i="13"/>
  <c r="AF157" i="13"/>
  <c r="AF156" i="13"/>
  <c r="AF155" i="13"/>
  <c r="AF154" i="13"/>
  <c r="AF153" i="13"/>
  <c r="AF152" i="13"/>
  <c r="AF151" i="13"/>
  <c r="AF150" i="13"/>
  <c r="AF127" i="13"/>
  <c r="AF126" i="13"/>
  <c r="AF125" i="13"/>
  <c r="AF124" i="13"/>
  <c r="AF123" i="13"/>
  <c r="AF122" i="13"/>
  <c r="AF121" i="13"/>
  <c r="AF120" i="13"/>
  <c r="AF119" i="13"/>
  <c r="AF118" i="13"/>
  <c r="AF117" i="13"/>
  <c r="AF116" i="13"/>
  <c r="AF115" i="13"/>
  <c r="AF114" i="13"/>
  <c r="AF113" i="13"/>
  <c r="AF112" i="13"/>
  <c r="AF111" i="13"/>
  <c r="AF110" i="13"/>
  <c r="AF109" i="13"/>
  <c r="AF108" i="13"/>
  <c r="AF107" i="13"/>
  <c r="AF106" i="13"/>
  <c r="AF105" i="13"/>
  <c r="AF104" i="13"/>
  <c r="AF103" i="13"/>
  <c r="AF102" i="13"/>
  <c r="AF101" i="13"/>
  <c r="AF100" i="13"/>
  <c r="AF99" i="13"/>
  <c r="AF98" i="13"/>
  <c r="AF97" i="13"/>
  <c r="AF96" i="13"/>
  <c r="AF95" i="13"/>
  <c r="AF94" i="13"/>
  <c r="AF93" i="13"/>
  <c r="AF92" i="13"/>
  <c r="AF91" i="13"/>
  <c r="AF90" i="13"/>
  <c r="AF89" i="13"/>
  <c r="AF88" i="13"/>
  <c r="AF87" i="13"/>
  <c r="AF86" i="13"/>
  <c r="AF85" i="13"/>
  <c r="AF84" i="13"/>
  <c r="AF83" i="13"/>
  <c r="AF82" i="13"/>
  <c r="AF81" i="13"/>
  <c r="AF80" i="13"/>
  <c r="AF79" i="13"/>
  <c r="AF78" i="13"/>
  <c r="AF72" i="13"/>
  <c r="AF71" i="13"/>
  <c r="AF70" i="13"/>
  <c r="AF67" i="13"/>
  <c r="AF66" i="13"/>
  <c r="AF65" i="13"/>
  <c r="AF64" i="13"/>
  <c r="AF63" i="13"/>
  <c r="AF62" i="13"/>
  <c r="AF61" i="13"/>
  <c r="AF60" i="13"/>
  <c r="AF59" i="13"/>
  <c r="AF58" i="13"/>
  <c r="AF57" i="13"/>
  <c r="AF56" i="13"/>
  <c r="AF55" i="13"/>
  <c r="AF54" i="13"/>
  <c r="AF53" i="13"/>
  <c r="AF52" i="13"/>
  <c r="AF51" i="13"/>
  <c r="AF50" i="13"/>
  <c r="AF49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6" i="13"/>
  <c r="AF25" i="13"/>
  <c r="AF24" i="13"/>
  <c r="AF23" i="13"/>
  <c r="AF22" i="13"/>
  <c r="AF21" i="13"/>
  <c r="AF20" i="13"/>
  <c r="AF19" i="13"/>
  <c r="AF18" i="13"/>
  <c r="AF17" i="13"/>
  <c r="AF16" i="13"/>
  <c r="AF15" i="13"/>
  <c r="AF14" i="13"/>
  <c r="AF13" i="13"/>
  <c r="AF12" i="13"/>
  <c r="AF11" i="13"/>
  <c r="AF10" i="13"/>
  <c r="AL103" i="7"/>
  <c r="AK103" i="7"/>
  <c r="AM97" i="7"/>
  <c r="AJ103" i="7"/>
  <c r="R63" i="7"/>
  <c r="Q63" i="7"/>
  <c r="Z658" i="5"/>
  <c r="AE658" i="5" s="1"/>
  <c r="AA657" i="5"/>
  <c r="AI657" i="5" s="1"/>
  <c r="AJ657" i="5" s="1"/>
  <c r="AA656" i="5"/>
  <c r="AI656" i="5" s="1"/>
  <c r="AJ656" i="5" s="1"/>
  <c r="Z657" i="5"/>
  <c r="Z656" i="5"/>
  <c r="Y662" i="5"/>
  <c r="Z662" i="5"/>
  <c r="AE662" i="5" s="1"/>
  <c r="Z661" i="5"/>
  <c r="AE661" i="5" s="1"/>
  <c r="Y661" i="5"/>
  <c r="AA660" i="5"/>
  <c r="Z660" i="5"/>
  <c r="V660" i="5"/>
  <c r="Y660" i="5" s="1"/>
  <c r="AA659" i="5"/>
  <c r="V659" i="5"/>
  <c r="Z659" i="5"/>
  <c r="T659" i="5"/>
  <c r="T660" i="5"/>
  <c r="T661" i="5"/>
  <c r="AI661" i="5"/>
  <c r="AJ661" i="5" s="1"/>
  <c r="AI662" i="5"/>
  <c r="AJ662" i="5" s="1"/>
  <c r="O657" i="5"/>
  <c r="T657" i="5" s="1"/>
  <c r="O656" i="5"/>
  <c r="T656" i="5" s="1"/>
  <c r="T658" i="5"/>
  <c r="Y656" i="5"/>
  <c r="Y657" i="5"/>
  <c r="Y658" i="5"/>
  <c r="AI658" i="5"/>
  <c r="AJ658" i="5" s="1"/>
  <c r="S601" i="5"/>
  <c r="S564" i="5"/>
  <c r="AK33" i="7"/>
  <c r="AJ33" i="7"/>
  <c r="AE656" i="5" l="1"/>
  <c r="AI660" i="5"/>
  <c r="AJ660" i="5" s="1"/>
  <c r="AG660" i="5"/>
  <c r="AH660" i="5" s="1"/>
  <c r="AE657" i="5"/>
  <c r="AF657" i="5" s="1"/>
  <c r="AG658" i="5"/>
  <c r="AH658" i="5" s="1"/>
  <c r="AG659" i="5"/>
  <c r="AH659" i="5" s="1"/>
  <c r="AF661" i="5"/>
  <c r="AF662" i="5"/>
  <c r="AG662" i="5"/>
  <c r="AH662" i="5" s="1"/>
  <c r="AF658" i="5"/>
  <c r="AF656" i="5"/>
  <c r="AI659" i="5"/>
  <c r="AJ659" i="5" s="1"/>
  <c r="AE659" i="5"/>
  <c r="AG661" i="5"/>
  <c r="AH661" i="5" s="1"/>
  <c r="Y659" i="5"/>
  <c r="AE660" i="5"/>
  <c r="AF660" i="5" s="1"/>
  <c r="AG657" i="5"/>
  <c r="AH657" i="5" s="1"/>
  <c r="AG656" i="5"/>
  <c r="AH656" i="5" s="1"/>
  <c r="AA654" i="5"/>
  <c r="AA651" i="5"/>
  <c r="O651" i="5"/>
  <c r="AA653" i="5"/>
  <c r="AA650" i="5"/>
  <c r="Z655" i="5"/>
  <c r="AE655" i="5" s="1"/>
  <c r="AC654" i="5"/>
  <c r="AC653" i="5"/>
  <c r="Z653" i="5"/>
  <c r="V654" i="5"/>
  <c r="V653" i="5"/>
  <c r="U654" i="5"/>
  <c r="U653" i="5"/>
  <c r="N654" i="5"/>
  <c r="N653" i="5"/>
  <c r="O654" i="5"/>
  <c r="O653" i="5"/>
  <c r="N650" i="5"/>
  <c r="T655" i="5"/>
  <c r="Y655" i="5"/>
  <c r="Z654" i="5"/>
  <c r="AE654" i="5" s="1"/>
  <c r="AI655" i="5"/>
  <c r="AJ655" i="5" s="1"/>
  <c r="Z652" i="5"/>
  <c r="AE652" i="5" s="1"/>
  <c r="AC651" i="5"/>
  <c r="AC650" i="5"/>
  <c r="R64" i="7"/>
  <c r="Q64" i="7"/>
  <c r="R62" i="7"/>
  <c r="Q62" i="7"/>
  <c r="Z651" i="5"/>
  <c r="Z650" i="5"/>
  <c r="V651" i="5"/>
  <c r="V650" i="5"/>
  <c r="U651" i="5"/>
  <c r="U650" i="5"/>
  <c r="O650" i="5"/>
  <c r="N651" i="5"/>
  <c r="T652" i="5"/>
  <c r="AI652" i="5"/>
  <c r="AJ652" i="5" s="1"/>
  <c r="Z646" i="5"/>
  <c r="AE646" i="5" s="1"/>
  <c r="U646" i="5"/>
  <c r="Y646" i="5" s="1"/>
  <c r="Z649" i="5"/>
  <c r="AE649" i="5" s="1"/>
  <c r="T649" i="5"/>
  <c r="Z645" i="5"/>
  <c r="AE645" i="5" s="1"/>
  <c r="U649" i="5"/>
  <c r="Y649" i="5" s="1"/>
  <c r="U645" i="5"/>
  <c r="Y645" i="5" s="1"/>
  <c r="T645" i="5"/>
  <c r="V648" i="5"/>
  <c r="Y648" i="5" s="1"/>
  <c r="AA648" i="5"/>
  <c r="AI648" i="5" s="1"/>
  <c r="AJ648" i="5" s="1"/>
  <c r="Z648" i="5"/>
  <c r="AA647" i="5"/>
  <c r="Z647" i="5"/>
  <c r="V647" i="5"/>
  <c r="AA644" i="5"/>
  <c r="Z644" i="5"/>
  <c r="V644" i="5"/>
  <c r="Y644" i="5" s="1"/>
  <c r="AA643" i="5"/>
  <c r="Z643" i="5"/>
  <c r="V643" i="5"/>
  <c r="U647" i="5"/>
  <c r="U643" i="5"/>
  <c r="T647" i="5"/>
  <c r="T648" i="5"/>
  <c r="AI649" i="5"/>
  <c r="AJ649" i="5" s="1"/>
  <c r="T643" i="5"/>
  <c r="T644" i="5"/>
  <c r="T646" i="5"/>
  <c r="AI645" i="5"/>
  <c r="AJ645" i="5" s="1"/>
  <c r="AI646" i="5"/>
  <c r="AJ646" i="5" s="1"/>
  <c r="AK101" i="7"/>
  <c r="AL101" i="7"/>
  <c r="AI654" i="5" l="1"/>
  <c r="AJ654" i="5" s="1"/>
  <c r="AE650" i="5"/>
  <c r="Y653" i="5"/>
  <c r="AF659" i="5"/>
  <c r="Y650" i="5"/>
  <c r="Y651" i="5"/>
  <c r="AE653" i="5"/>
  <c r="AE643" i="5"/>
  <c r="T650" i="5"/>
  <c r="AF645" i="5"/>
  <c r="AI650" i="5"/>
  <c r="AJ650" i="5" s="1"/>
  <c r="Y654" i="5"/>
  <c r="AG648" i="5"/>
  <c r="AH648" i="5" s="1"/>
  <c r="AE647" i="5"/>
  <c r="T654" i="5"/>
  <c r="AG654" i="5" s="1"/>
  <c r="AH654" i="5" s="1"/>
  <c r="Y647" i="5"/>
  <c r="AI653" i="5"/>
  <c r="AJ653" i="5" s="1"/>
  <c r="T651" i="5"/>
  <c r="AG651" i="5" s="1"/>
  <c r="AH651" i="5" s="1"/>
  <c r="AG655" i="5"/>
  <c r="AH655" i="5" s="1"/>
  <c r="AI643" i="5"/>
  <c r="AJ643" i="5" s="1"/>
  <c r="AG649" i="5"/>
  <c r="AH649" i="5" s="1"/>
  <c r="AI644" i="5"/>
  <c r="AJ644" i="5" s="1"/>
  <c r="T653" i="5"/>
  <c r="AG653" i="5" s="1"/>
  <c r="AH653" i="5" s="1"/>
  <c r="AF655" i="5"/>
  <c r="AI651" i="5"/>
  <c r="AJ651" i="5" s="1"/>
  <c r="AF646" i="5"/>
  <c r="AG643" i="5"/>
  <c r="AH643" i="5" s="1"/>
  <c r="AG647" i="5"/>
  <c r="AH647" i="5" s="1"/>
  <c r="AE648" i="5"/>
  <c r="AF648" i="5" s="1"/>
  <c r="AG646" i="5"/>
  <c r="AH646" i="5" s="1"/>
  <c r="Y643" i="5"/>
  <c r="AI647" i="5"/>
  <c r="AJ647" i="5" s="1"/>
  <c r="AG644" i="5"/>
  <c r="AH644" i="5" s="1"/>
  <c r="AG645" i="5"/>
  <c r="AH645" i="5" s="1"/>
  <c r="AF649" i="5"/>
  <c r="AG652" i="5"/>
  <c r="AH652" i="5" s="1"/>
  <c r="AF652" i="5"/>
  <c r="AE644" i="5"/>
  <c r="AF644" i="5" s="1"/>
  <c r="AE651" i="5"/>
  <c r="AJ101" i="7"/>
  <c r="Q61" i="7"/>
  <c r="R61" i="7"/>
  <c r="Z642" i="5"/>
  <c r="AE642" i="5" s="1"/>
  <c r="O640" i="5"/>
  <c r="T640" i="5" s="1"/>
  <c r="O641" i="5"/>
  <c r="T641" i="5" s="1"/>
  <c r="AA640" i="5"/>
  <c r="AI640" i="5" s="1"/>
  <c r="AJ640" i="5" s="1"/>
  <c r="AA641" i="5"/>
  <c r="AI641" i="5" s="1"/>
  <c r="AJ641" i="5" s="1"/>
  <c r="Z641" i="5"/>
  <c r="Z640" i="5"/>
  <c r="T642" i="5"/>
  <c r="Y640" i="5"/>
  <c r="Y641" i="5"/>
  <c r="Y642" i="5"/>
  <c r="AI642" i="5"/>
  <c r="AJ642" i="5" s="1"/>
  <c r="Z639" i="5"/>
  <c r="AE639" i="5" s="1"/>
  <c r="U639" i="5"/>
  <c r="Y639" i="5" s="1"/>
  <c r="Z638" i="5"/>
  <c r="U638" i="5"/>
  <c r="Y638" i="5" s="1"/>
  <c r="AA637" i="5"/>
  <c r="Z637" i="5"/>
  <c r="V637" i="5"/>
  <c r="Y637" i="5" s="1"/>
  <c r="AA636" i="5"/>
  <c r="Z636" i="5"/>
  <c r="V636" i="5"/>
  <c r="U636" i="5"/>
  <c r="T636" i="5"/>
  <c r="T637" i="5"/>
  <c r="T638" i="5"/>
  <c r="T639" i="5"/>
  <c r="AI638" i="5"/>
  <c r="AJ638" i="5" s="1"/>
  <c r="AI639" i="5"/>
  <c r="AJ639" i="5" s="1"/>
  <c r="AA633" i="5"/>
  <c r="V630" i="5"/>
  <c r="AF643" i="5" l="1"/>
  <c r="AF650" i="5"/>
  <c r="AF654" i="5"/>
  <c r="AF647" i="5"/>
  <c r="AG650" i="5"/>
  <c r="AH650" i="5" s="1"/>
  <c r="AF651" i="5"/>
  <c r="AG639" i="5"/>
  <c r="AH639" i="5" s="1"/>
  <c r="AI637" i="5"/>
  <c r="AJ637" i="5" s="1"/>
  <c r="AF653" i="5"/>
  <c r="Y636" i="5"/>
  <c r="AI636" i="5"/>
  <c r="AJ636" i="5" s="1"/>
  <c r="AF642" i="5"/>
  <c r="AG636" i="5"/>
  <c r="AH636" i="5" s="1"/>
  <c r="AG637" i="5"/>
  <c r="AH637" i="5" s="1"/>
  <c r="AE636" i="5"/>
  <c r="AE640" i="5"/>
  <c r="AF640" i="5" s="1"/>
  <c r="AG642" i="5"/>
  <c r="AH642" i="5" s="1"/>
  <c r="AG638" i="5"/>
  <c r="AH638" i="5" s="1"/>
  <c r="AF639" i="5"/>
  <c r="AG641" i="5"/>
  <c r="AH641" i="5" s="1"/>
  <c r="AE638" i="5"/>
  <c r="AF638" i="5" s="1"/>
  <c r="AE637" i="5"/>
  <c r="AF637" i="5" s="1"/>
  <c r="AG640" i="5"/>
  <c r="AH640" i="5" s="1"/>
  <c r="AE641" i="5"/>
  <c r="AF641" i="5" s="1"/>
  <c r="AL102" i="7"/>
  <c r="AK102" i="7"/>
  <c r="AJ102" i="7"/>
  <c r="R60" i="7"/>
  <c r="Q60" i="7"/>
  <c r="Q8" i="7"/>
  <c r="Q7" i="7"/>
  <c r="R8" i="7"/>
  <c r="Q9" i="7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R17" i="7"/>
  <c r="Q18" i="7"/>
  <c r="R18" i="7"/>
  <c r="Q19" i="7"/>
  <c r="R19" i="7"/>
  <c r="Q20" i="7"/>
  <c r="R20" i="7"/>
  <c r="Q21" i="7"/>
  <c r="R21" i="7"/>
  <c r="Q22" i="7"/>
  <c r="R22" i="7"/>
  <c r="Q23" i="7"/>
  <c r="R23" i="7"/>
  <c r="Q24" i="7"/>
  <c r="R24" i="7"/>
  <c r="Q25" i="7"/>
  <c r="R25" i="7"/>
  <c r="Q26" i="7"/>
  <c r="R26" i="7"/>
  <c r="Q27" i="7"/>
  <c r="R27" i="7"/>
  <c r="Q28" i="7"/>
  <c r="R28" i="7"/>
  <c r="Q29" i="7"/>
  <c r="R29" i="7"/>
  <c r="Q30" i="7"/>
  <c r="R30" i="7"/>
  <c r="Q31" i="7"/>
  <c r="R31" i="7"/>
  <c r="Q32" i="7"/>
  <c r="R32" i="7"/>
  <c r="Q33" i="7"/>
  <c r="R33" i="7"/>
  <c r="Q34" i="7"/>
  <c r="R34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Q42" i="7"/>
  <c r="R42" i="7"/>
  <c r="Q43" i="7"/>
  <c r="R43" i="7"/>
  <c r="Q44" i="7"/>
  <c r="R44" i="7"/>
  <c r="Q45" i="7"/>
  <c r="R45" i="7"/>
  <c r="Q46" i="7"/>
  <c r="R46" i="7"/>
  <c r="Q47" i="7"/>
  <c r="R47" i="7"/>
  <c r="Q48" i="7"/>
  <c r="R48" i="7"/>
  <c r="Q49" i="7"/>
  <c r="R49" i="7"/>
  <c r="Q50" i="7"/>
  <c r="R50" i="7"/>
  <c r="Q51" i="7"/>
  <c r="R51" i="7"/>
  <c r="Q52" i="7"/>
  <c r="R52" i="7"/>
  <c r="Q53" i="7"/>
  <c r="R53" i="7"/>
  <c r="Q54" i="7"/>
  <c r="R54" i="7"/>
  <c r="Q55" i="7"/>
  <c r="R55" i="7"/>
  <c r="Q56" i="7"/>
  <c r="R56" i="7"/>
  <c r="Q57" i="7"/>
  <c r="R57" i="7"/>
  <c r="Q58" i="7"/>
  <c r="R58" i="7"/>
  <c r="Q59" i="7"/>
  <c r="R59" i="7"/>
  <c r="R7" i="7"/>
  <c r="AF636" i="5" l="1"/>
  <c r="Z635" i="5"/>
  <c r="AE635" i="5" s="1"/>
  <c r="AA634" i="5"/>
  <c r="AI634" i="5" s="1"/>
  <c r="AJ634" i="5" s="1"/>
  <c r="Z634" i="5"/>
  <c r="Z633" i="5"/>
  <c r="AE633" i="5" s="1"/>
  <c r="O633" i="5"/>
  <c r="T633" i="5" s="1"/>
  <c r="O634" i="5"/>
  <c r="T634" i="5" s="1"/>
  <c r="Y633" i="5"/>
  <c r="Y634" i="5"/>
  <c r="Y635" i="5"/>
  <c r="AI633" i="5"/>
  <c r="AJ633" i="5" s="1"/>
  <c r="AI635" i="5"/>
  <c r="AJ635" i="5" s="1"/>
  <c r="Z632" i="5"/>
  <c r="AE632" i="5" s="1"/>
  <c r="U632" i="5"/>
  <c r="Y632" i="5" s="1"/>
  <c r="Z631" i="5"/>
  <c r="AE631" i="5" s="1"/>
  <c r="U631" i="5"/>
  <c r="Y631" i="5" s="1"/>
  <c r="AA630" i="5"/>
  <c r="AI630" i="5" s="1"/>
  <c r="AJ630" i="5" s="1"/>
  <c r="Z630" i="5"/>
  <c r="Y630" i="5"/>
  <c r="Z629" i="5"/>
  <c r="V629" i="5"/>
  <c r="AA629" i="5"/>
  <c r="U629" i="5"/>
  <c r="T629" i="5"/>
  <c r="T630" i="5"/>
  <c r="T631" i="5"/>
  <c r="T632" i="5"/>
  <c r="AI631" i="5"/>
  <c r="AJ631" i="5" s="1"/>
  <c r="AI632" i="5"/>
  <c r="AJ632" i="5" s="1"/>
  <c r="K6" i="13"/>
  <c r="AA619" i="5"/>
  <c r="AA618" i="5"/>
  <c r="P156" i="7"/>
  <c r="Q156" i="7" s="1"/>
  <c r="P157" i="7"/>
  <c r="Q157" i="7" s="1"/>
  <c r="P158" i="7"/>
  <c r="Q158" i="7" s="1"/>
  <c r="AL100" i="7"/>
  <c r="AK100" i="7"/>
  <c r="AJ100" i="7"/>
  <c r="BL5" i="13"/>
  <c r="AR54" i="8"/>
  <c r="AQ54" i="8"/>
  <c r="Z628" i="5"/>
  <c r="AA627" i="5"/>
  <c r="AI627" i="5" s="1"/>
  <c r="AJ627" i="5" s="1"/>
  <c r="Z627" i="5"/>
  <c r="O627" i="5"/>
  <c r="T627" i="5" s="1"/>
  <c r="AA626" i="5"/>
  <c r="AI626" i="5" s="1"/>
  <c r="AJ626" i="5" s="1"/>
  <c r="Z626" i="5"/>
  <c r="O626" i="5"/>
  <c r="T626" i="5" s="1"/>
  <c r="T628" i="5"/>
  <c r="Y626" i="5"/>
  <c r="Y627" i="5"/>
  <c r="AI628" i="5"/>
  <c r="AJ628" i="5" s="1"/>
  <c r="Z625" i="5"/>
  <c r="AE625" i="5" s="1"/>
  <c r="U625" i="5"/>
  <c r="Y625" i="5" s="1"/>
  <c r="Z624" i="5"/>
  <c r="AE624" i="5" s="1"/>
  <c r="U624" i="5"/>
  <c r="Y624" i="5" s="1"/>
  <c r="AA623" i="5"/>
  <c r="Z623" i="5"/>
  <c r="V623" i="5"/>
  <c r="Y623" i="5" s="1"/>
  <c r="AA622" i="5"/>
  <c r="Z622" i="5"/>
  <c r="V622" i="5"/>
  <c r="U622" i="5"/>
  <c r="T622" i="5"/>
  <c r="T623" i="5"/>
  <c r="T624" i="5"/>
  <c r="T625" i="5"/>
  <c r="AI624" i="5"/>
  <c r="AJ624" i="5" s="1"/>
  <c r="AI625" i="5"/>
  <c r="AJ625" i="5" s="1"/>
  <c r="X619" i="5"/>
  <c r="X618" i="5"/>
  <c r="X614" i="5"/>
  <c r="X615" i="5"/>
  <c r="AA614" i="5"/>
  <c r="AA615" i="5"/>
  <c r="AL99" i="7"/>
  <c r="AK99" i="7"/>
  <c r="AJ99" i="7"/>
  <c r="AK31" i="7"/>
  <c r="AJ31" i="7"/>
  <c r="AG635" i="5" l="1"/>
  <c r="AH635" i="5" s="1"/>
  <c r="AI622" i="5"/>
  <c r="AJ622" i="5" s="1"/>
  <c r="AE622" i="5"/>
  <c r="AI623" i="5"/>
  <c r="AJ623" i="5" s="1"/>
  <c r="Y622" i="5"/>
  <c r="AG631" i="5"/>
  <c r="AH631" i="5" s="1"/>
  <c r="Y629" i="5"/>
  <c r="AI629" i="5"/>
  <c r="AJ629" i="5" s="1"/>
  <c r="AG629" i="5"/>
  <c r="AH629" i="5" s="1"/>
  <c r="AE630" i="5"/>
  <c r="AF630" i="5" s="1"/>
  <c r="AE626" i="5"/>
  <c r="AF626" i="5" s="1"/>
  <c r="AE623" i="5"/>
  <c r="AF623" i="5" s="1"/>
  <c r="AG632" i="5"/>
  <c r="AH632" i="5" s="1"/>
  <c r="AF635" i="5"/>
  <c r="AF632" i="5"/>
  <c r="AF633" i="5"/>
  <c r="AF631" i="5"/>
  <c r="AG634" i="5"/>
  <c r="AH634" i="5" s="1"/>
  <c r="AE634" i="5"/>
  <c r="AF634" i="5" s="1"/>
  <c r="AE629" i="5"/>
  <c r="AE627" i="5"/>
  <c r="AF627" i="5" s="1"/>
  <c r="AG630" i="5"/>
  <c r="AH630" i="5" s="1"/>
  <c r="AG633" i="5"/>
  <c r="AH633" i="5" s="1"/>
  <c r="R158" i="7"/>
  <c r="R157" i="7"/>
  <c r="R156" i="7"/>
  <c r="AG625" i="5"/>
  <c r="AH625" i="5" s="1"/>
  <c r="AG623" i="5"/>
  <c r="AH623" i="5" s="1"/>
  <c r="AG626" i="5"/>
  <c r="AH626" i="5" s="1"/>
  <c r="AF624" i="5"/>
  <c r="AF625" i="5"/>
  <c r="AG628" i="5"/>
  <c r="AH628" i="5" s="1"/>
  <c r="AG622" i="5"/>
  <c r="AH622" i="5" s="1"/>
  <c r="AE628" i="5"/>
  <c r="AF628" i="5" s="1"/>
  <c r="AG624" i="5"/>
  <c r="AH624" i="5" s="1"/>
  <c r="AG627" i="5"/>
  <c r="AH627" i="5" s="1"/>
  <c r="Z621" i="5"/>
  <c r="AE621" i="5" s="1"/>
  <c r="Z617" i="5"/>
  <c r="AG617" i="5" s="1"/>
  <c r="AH617" i="5" s="1"/>
  <c r="Z620" i="5"/>
  <c r="AE620" i="5" s="1"/>
  <c r="Z616" i="5"/>
  <c r="AE616" i="5" s="1"/>
  <c r="AC619" i="5"/>
  <c r="AC618" i="5"/>
  <c r="AC614" i="5"/>
  <c r="Z619" i="5"/>
  <c r="Z618" i="5"/>
  <c r="U619" i="5"/>
  <c r="V619" i="5"/>
  <c r="V618" i="5"/>
  <c r="AI618" i="5" s="1"/>
  <c r="AJ618" i="5" s="1"/>
  <c r="U618" i="5"/>
  <c r="O619" i="5"/>
  <c r="O618" i="5"/>
  <c r="N619" i="5"/>
  <c r="N618" i="5"/>
  <c r="AC615" i="5"/>
  <c r="Z615" i="5"/>
  <c r="Z614" i="5"/>
  <c r="V615" i="5"/>
  <c r="AI615" i="5" s="1"/>
  <c r="AJ615" i="5" s="1"/>
  <c r="V614" i="5"/>
  <c r="U615" i="5"/>
  <c r="U614" i="5"/>
  <c r="O615" i="5"/>
  <c r="O614" i="5"/>
  <c r="N615" i="5"/>
  <c r="N614" i="5"/>
  <c r="T621" i="5"/>
  <c r="Y620" i="5"/>
  <c r="Y621" i="5"/>
  <c r="AI620" i="5"/>
  <c r="AJ620" i="5" s="1"/>
  <c r="AI621" i="5"/>
  <c r="AJ621" i="5" s="1"/>
  <c r="Y616" i="5"/>
  <c r="Y617" i="5"/>
  <c r="AI616" i="5"/>
  <c r="AJ616" i="5" s="1"/>
  <c r="AI617" i="5"/>
  <c r="AJ617" i="5" s="1"/>
  <c r="Z613" i="5"/>
  <c r="U613" i="5"/>
  <c r="Y613" i="5" s="1"/>
  <c r="Z609" i="5"/>
  <c r="AE609" i="5" s="1"/>
  <c r="U609" i="5"/>
  <c r="Y609" i="5" s="1"/>
  <c r="T609" i="5"/>
  <c r="U612" i="5"/>
  <c r="Y612" i="5" s="1"/>
  <c r="M608" i="5"/>
  <c r="Z608" i="5" s="1"/>
  <c r="M612" i="5"/>
  <c r="Z612" i="5" s="1"/>
  <c r="AE612" i="5" s="1"/>
  <c r="U608" i="5"/>
  <c r="Y608" i="5" s="1"/>
  <c r="AA611" i="5"/>
  <c r="Z611" i="5"/>
  <c r="V611" i="5"/>
  <c r="Y611" i="5" s="1"/>
  <c r="AA610" i="5"/>
  <c r="Z610" i="5"/>
  <c r="V610" i="5"/>
  <c r="U610" i="5"/>
  <c r="AA607" i="5"/>
  <c r="Z607" i="5"/>
  <c r="V607" i="5"/>
  <c r="Y607" i="5" s="1"/>
  <c r="AA606" i="5"/>
  <c r="Z606" i="5"/>
  <c r="V606" i="5"/>
  <c r="U606" i="5"/>
  <c r="T610" i="5"/>
  <c r="T611" i="5"/>
  <c r="T612" i="5"/>
  <c r="T613" i="5"/>
  <c r="AI612" i="5"/>
  <c r="AJ612" i="5" s="1"/>
  <c r="AI613" i="5"/>
  <c r="AJ613" i="5" s="1"/>
  <c r="AI609" i="5"/>
  <c r="AJ609" i="5" s="1"/>
  <c r="T606" i="5"/>
  <c r="T607" i="5"/>
  <c r="T608" i="5"/>
  <c r="AI608" i="5"/>
  <c r="AJ608" i="5" s="1"/>
  <c r="P146" i="7"/>
  <c r="Q146" i="7" s="1"/>
  <c r="P147" i="7"/>
  <c r="R147" i="7" s="1"/>
  <c r="P148" i="7"/>
  <c r="R148" i="7" s="1"/>
  <c r="P149" i="7"/>
  <c r="Q149" i="7" s="1"/>
  <c r="P150" i="7"/>
  <c r="Q150" i="7" s="1"/>
  <c r="P151" i="7"/>
  <c r="Q151" i="7" s="1"/>
  <c r="P152" i="7"/>
  <c r="Q152" i="7" s="1"/>
  <c r="P153" i="7"/>
  <c r="R153" i="7" s="1"/>
  <c r="P154" i="7"/>
  <c r="R154" i="7" s="1"/>
  <c r="P155" i="7"/>
  <c r="R155" i="7" s="1"/>
  <c r="Z605" i="5"/>
  <c r="AE605" i="5" s="1"/>
  <c r="Z604" i="5"/>
  <c r="AE604" i="5" s="1"/>
  <c r="Z603" i="5"/>
  <c r="AG603" i="5" s="1"/>
  <c r="AH603" i="5" s="1"/>
  <c r="O605" i="5"/>
  <c r="T605" i="5" s="1"/>
  <c r="T604" i="5"/>
  <c r="Y604" i="5"/>
  <c r="AI604" i="5"/>
  <c r="AJ604" i="5" s="1"/>
  <c r="AI605" i="5"/>
  <c r="AJ605" i="5" s="1"/>
  <c r="AJ98" i="7"/>
  <c r="AL98" i="7"/>
  <c r="AK98" i="7"/>
  <c r="AL97" i="7"/>
  <c r="AK97" i="7"/>
  <c r="U57" i="7"/>
  <c r="T57" i="7" s="1"/>
  <c r="S57" i="7" s="1"/>
  <c r="C58" i="8"/>
  <c r="AD58" i="8"/>
  <c r="AE58" i="8"/>
  <c r="AA602" i="5"/>
  <c r="AI602" i="5" s="1"/>
  <c r="AJ602" i="5" s="1"/>
  <c r="AA601" i="5"/>
  <c r="AI601" i="5" s="1"/>
  <c r="AJ601" i="5" s="1"/>
  <c r="Z602" i="5"/>
  <c r="Z601" i="5"/>
  <c r="O601" i="5"/>
  <c r="T601" i="5" s="1"/>
  <c r="O602" i="5"/>
  <c r="T602" i="5" s="1"/>
  <c r="Y601" i="5"/>
  <c r="Y602" i="5"/>
  <c r="AI603" i="5"/>
  <c r="AJ603" i="5" s="1"/>
  <c r="U599" i="5"/>
  <c r="Y599" i="5" s="1"/>
  <c r="Z599" i="5"/>
  <c r="Z600" i="5"/>
  <c r="AE600" i="5" s="1"/>
  <c r="U600" i="5"/>
  <c r="Y600" i="5" s="1"/>
  <c r="Z598" i="5"/>
  <c r="AE598" i="5" s="1"/>
  <c r="U598" i="5"/>
  <c r="Y598" i="5" s="1"/>
  <c r="AA597" i="5"/>
  <c r="Z597" i="5"/>
  <c r="V597" i="5"/>
  <c r="Y597" i="5" s="1"/>
  <c r="AA596" i="5"/>
  <c r="Z596" i="5"/>
  <c r="V596" i="5"/>
  <c r="U596" i="5"/>
  <c r="T596" i="5"/>
  <c r="T597" i="5"/>
  <c r="T598" i="5"/>
  <c r="T599" i="5"/>
  <c r="T600" i="5"/>
  <c r="AI598" i="5"/>
  <c r="AJ598" i="5" s="1"/>
  <c r="AI599" i="5"/>
  <c r="AJ599" i="5" s="1"/>
  <c r="AI600" i="5"/>
  <c r="AJ600" i="5" s="1"/>
  <c r="P145" i="7"/>
  <c r="Q145" i="7" s="1"/>
  <c r="P143" i="7"/>
  <c r="Q143" i="7" s="1"/>
  <c r="AE57" i="8"/>
  <c r="AD57" i="8"/>
  <c r="AJ97" i="7"/>
  <c r="U56" i="7"/>
  <c r="T56" i="7" s="1"/>
  <c r="S56" i="7" s="1"/>
  <c r="Z595" i="5"/>
  <c r="AE595" i="5" s="1"/>
  <c r="Z594" i="5"/>
  <c r="AE594" i="5" s="1"/>
  <c r="Z593" i="5"/>
  <c r="AE593" i="5" s="1"/>
  <c r="T593" i="5"/>
  <c r="T594" i="5"/>
  <c r="T595" i="5"/>
  <c r="Y593" i="5"/>
  <c r="Y594" i="5"/>
  <c r="Y595" i="5"/>
  <c r="AI593" i="5"/>
  <c r="AJ593" i="5" s="1"/>
  <c r="AI594" i="5"/>
  <c r="AJ594" i="5" s="1"/>
  <c r="AI595" i="5"/>
  <c r="AJ595" i="5" s="1"/>
  <c r="Z592" i="5"/>
  <c r="AE592" i="5" s="1"/>
  <c r="AA591" i="5"/>
  <c r="Z591" i="5"/>
  <c r="V591" i="5"/>
  <c r="U592" i="5"/>
  <c r="Y592" i="5" s="1"/>
  <c r="U591" i="5"/>
  <c r="Z590" i="5"/>
  <c r="U590" i="5"/>
  <c r="Y590" i="5" s="1"/>
  <c r="AA589" i="5"/>
  <c r="Z589" i="5"/>
  <c r="V589" i="5"/>
  <c r="Y589" i="5" s="1"/>
  <c r="AA588" i="5"/>
  <c r="Z588" i="5"/>
  <c r="V588" i="5"/>
  <c r="U588" i="5"/>
  <c r="T589" i="5"/>
  <c r="T590" i="5"/>
  <c r="T591" i="5"/>
  <c r="T592" i="5"/>
  <c r="AI590" i="5"/>
  <c r="AJ590" i="5" s="1"/>
  <c r="AI592" i="5"/>
  <c r="AJ592" i="5" s="1"/>
  <c r="AA585" i="5"/>
  <c r="Y596" i="5" l="1"/>
  <c r="Y606" i="5"/>
  <c r="AF622" i="5"/>
  <c r="AE615" i="5"/>
  <c r="Y614" i="5"/>
  <c r="AE606" i="5"/>
  <c r="AF606" i="5" s="1"/>
  <c r="AE611" i="5"/>
  <c r="AF611" i="5" s="1"/>
  <c r="T615" i="5"/>
  <c r="AG615" i="5" s="1"/>
  <c r="AH615" i="5" s="1"/>
  <c r="AI614" i="5"/>
  <c r="AJ614" i="5" s="1"/>
  <c r="T619" i="5"/>
  <c r="AG619" i="5" s="1"/>
  <c r="AH619" i="5" s="1"/>
  <c r="Y615" i="5"/>
  <c r="AE591" i="5"/>
  <c r="AF629" i="5"/>
  <c r="AI607" i="5"/>
  <c r="AJ607" i="5" s="1"/>
  <c r="Y618" i="5"/>
  <c r="AI606" i="5"/>
  <c r="AJ606" i="5" s="1"/>
  <c r="AI597" i="5"/>
  <c r="AJ597" i="5" s="1"/>
  <c r="AE610" i="5"/>
  <c r="AE618" i="5"/>
  <c r="AI596" i="5"/>
  <c r="AJ596" i="5" s="1"/>
  <c r="T614" i="5"/>
  <c r="AG614" i="5" s="1"/>
  <c r="AH614" i="5" s="1"/>
  <c r="AI589" i="5"/>
  <c r="AJ589" i="5" s="1"/>
  <c r="Y591" i="5"/>
  <c r="AI591" i="5"/>
  <c r="AJ591" i="5" s="1"/>
  <c r="Y610" i="5"/>
  <c r="AI611" i="5"/>
  <c r="AJ611" i="5" s="1"/>
  <c r="T618" i="5"/>
  <c r="AG618" i="5" s="1"/>
  <c r="AH618" i="5" s="1"/>
  <c r="Y619" i="5"/>
  <c r="AI619" i="5"/>
  <c r="AJ619" i="5" s="1"/>
  <c r="Q147" i="7"/>
  <c r="Q154" i="7"/>
  <c r="AG598" i="5"/>
  <c r="AH598" i="5" s="1"/>
  <c r="AG613" i="5"/>
  <c r="AH613" i="5" s="1"/>
  <c r="AE617" i="5"/>
  <c r="AF617" i="5" s="1"/>
  <c r="AG620" i="5"/>
  <c r="AH620" i="5" s="1"/>
  <c r="Q148" i="7"/>
  <c r="Q153" i="7"/>
  <c r="R146" i="7"/>
  <c r="R150" i="7"/>
  <c r="R149" i="7"/>
  <c r="Q155" i="7"/>
  <c r="AG607" i="5"/>
  <c r="AH607" i="5" s="1"/>
  <c r="AG608" i="5"/>
  <c r="AH608" i="5" s="1"/>
  <c r="AE619" i="5"/>
  <c r="AF609" i="5"/>
  <c r="AG610" i="5"/>
  <c r="AH610" i="5" s="1"/>
  <c r="AG612" i="5"/>
  <c r="AH612" i="5" s="1"/>
  <c r="AF621" i="5"/>
  <c r="AF612" i="5"/>
  <c r="AG604" i="5"/>
  <c r="AH604" i="5" s="1"/>
  <c r="AE608" i="5"/>
  <c r="AF608" i="5" s="1"/>
  <c r="AG611" i="5"/>
  <c r="AH611" i="5" s="1"/>
  <c r="AF620" i="5"/>
  <c r="AE607" i="5"/>
  <c r="AF607" i="5" s="1"/>
  <c r="AG605" i="5"/>
  <c r="AH605" i="5" s="1"/>
  <c r="AF616" i="5"/>
  <c r="AE613" i="5"/>
  <c r="AF613" i="5" s="1"/>
  <c r="AG616" i="5"/>
  <c r="AH616" i="5" s="1"/>
  <c r="AF605" i="5"/>
  <c r="AG606" i="5"/>
  <c r="AH606" i="5" s="1"/>
  <c r="AE614" i="5"/>
  <c r="AF604" i="5"/>
  <c r="R151" i="7"/>
  <c r="AG621" i="5"/>
  <c r="AH621" i="5" s="1"/>
  <c r="AG609" i="5"/>
  <c r="AH609" i="5" s="1"/>
  <c r="AE589" i="5"/>
  <c r="AF589" i="5" s="1"/>
  <c r="AE596" i="5"/>
  <c r="AF596" i="5" s="1"/>
  <c r="AE601" i="5"/>
  <c r="AF601" i="5" s="1"/>
  <c r="R152" i="7"/>
  <c r="AI610" i="5"/>
  <c r="AJ610" i="5" s="1"/>
  <c r="AE602" i="5"/>
  <c r="AF602" i="5" s="1"/>
  <c r="AG600" i="5"/>
  <c r="AH600" i="5" s="1"/>
  <c r="AE603" i="5"/>
  <c r="AF603" i="5" s="1"/>
  <c r="AG599" i="5"/>
  <c r="AH599" i="5" s="1"/>
  <c r="AF598" i="5"/>
  <c r="AG601" i="5"/>
  <c r="AH601" i="5" s="1"/>
  <c r="AF600" i="5"/>
  <c r="AE599" i="5"/>
  <c r="AF599" i="5" s="1"/>
  <c r="AG597" i="5"/>
  <c r="AH597" i="5" s="1"/>
  <c r="R143" i="7"/>
  <c r="R145" i="7"/>
  <c r="AG590" i="5"/>
  <c r="AH590" i="5" s="1"/>
  <c r="AG595" i="5"/>
  <c r="AH595" i="5" s="1"/>
  <c r="AG602" i="5"/>
  <c r="AH602" i="5" s="1"/>
  <c r="AE597" i="5"/>
  <c r="AF597" i="5" s="1"/>
  <c r="AG596" i="5"/>
  <c r="AH596" i="5" s="1"/>
  <c r="AF595" i="5"/>
  <c r="AF593" i="5"/>
  <c r="AF592" i="5"/>
  <c r="AG592" i="5"/>
  <c r="AH592" i="5" s="1"/>
  <c r="AF594" i="5"/>
  <c r="AG593" i="5"/>
  <c r="AH593" i="5" s="1"/>
  <c r="AG594" i="5"/>
  <c r="AH594" i="5" s="1"/>
  <c r="AG591" i="5"/>
  <c r="AH591" i="5" s="1"/>
  <c r="AE590" i="5"/>
  <c r="AF590" i="5" s="1"/>
  <c r="AG589" i="5"/>
  <c r="AH589" i="5" s="1"/>
  <c r="P144" i="7"/>
  <c r="R144" i="7" s="1"/>
  <c r="P142" i="7"/>
  <c r="R142" i="7" s="1"/>
  <c r="P141" i="7"/>
  <c r="R141" i="7" s="1"/>
  <c r="P140" i="7"/>
  <c r="R140" i="7" s="1"/>
  <c r="P139" i="7"/>
  <c r="R139" i="7" s="1"/>
  <c r="P135" i="7"/>
  <c r="P134" i="7"/>
  <c r="P133" i="7"/>
  <c r="P132" i="7"/>
  <c r="P131" i="7"/>
  <c r="P130" i="7"/>
  <c r="P129" i="7"/>
  <c r="P128" i="7"/>
  <c r="AL96" i="7"/>
  <c r="AK96" i="7"/>
  <c r="AJ96" i="7"/>
  <c r="Z587" i="5"/>
  <c r="AE587" i="5" s="1"/>
  <c r="Z586" i="5"/>
  <c r="AE586" i="5" s="1"/>
  <c r="Z585" i="5"/>
  <c r="AE585" i="5" s="1"/>
  <c r="T588" i="5"/>
  <c r="AG588" i="5" s="1"/>
  <c r="AH588" i="5" s="1"/>
  <c r="Y588" i="5"/>
  <c r="AE588" i="5"/>
  <c r="AI588" i="5"/>
  <c r="AJ588" i="5" s="1"/>
  <c r="O585" i="5"/>
  <c r="T585" i="5" s="1"/>
  <c r="T586" i="5"/>
  <c r="T587" i="5"/>
  <c r="Y585" i="5"/>
  <c r="Y586" i="5"/>
  <c r="AI585" i="5"/>
  <c r="AJ585" i="5" s="1"/>
  <c r="AI586" i="5"/>
  <c r="AJ586" i="5" s="1"/>
  <c r="AI587" i="5"/>
  <c r="AJ587" i="5" s="1"/>
  <c r="Z108" i="5"/>
  <c r="C56" i="8"/>
  <c r="AD56" i="8"/>
  <c r="AE56" i="8"/>
  <c r="AA583" i="5"/>
  <c r="Z583" i="5"/>
  <c r="V583" i="5"/>
  <c r="U583" i="5"/>
  <c r="Z584" i="5"/>
  <c r="U584" i="5"/>
  <c r="Y584" i="5" s="1"/>
  <c r="AA580" i="5"/>
  <c r="AA581" i="5"/>
  <c r="Z582" i="5"/>
  <c r="AE582" i="5" s="1"/>
  <c r="U582" i="5"/>
  <c r="Y582" i="5" s="1"/>
  <c r="Z581" i="5"/>
  <c r="V581" i="5"/>
  <c r="Y581" i="5" s="1"/>
  <c r="Z580" i="5"/>
  <c r="V580" i="5"/>
  <c r="U580" i="5"/>
  <c r="T580" i="5"/>
  <c r="T581" i="5"/>
  <c r="T582" i="5"/>
  <c r="T583" i="5"/>
  <c r="AI582" i="5"/>
  <c r="AJ582" i="5" s="1"/>
  <c r="AI584" i="5"/>
  <c r="AJ584" i="5" s="1"/>
  <c r="E28" i="17"/>
  <c r="N31" i="17" s="1"/>
  <c r="P31" i="17"/>
  <c r="AL93" i="7"/>
  <c r="AL94" i="7"/>
  <c r="AL95" i="7"/>
  <c r="AD55" i="8"/>
  <c r="AE55" i="8"/>
  <c r="C52" i="8"/>
  <c r="C57" i="8"/>
  <c r="B57" i="8"/>
  <c r="C55" i="8"/>
  <c r="B55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2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3" i="8"/>
  <c r="AC104" i="8"/>
  <c r="AC105" i="8"/>
  <c r="AC106" i="8"/>
  <c r="AC107" i="8"/>
  <c r="AC108" i="8"/>
  <c r="AC109" i="8"/>
  <c r="AC112" i="8"/>
  <c r="AC113" i="8"/>
  <c r="AC115" i="8"/>
  <c r="AC118" i="8"/>
  <c r="AC120" i="8"/>
  <c r="AF591" i="5" l="1"/>
  <c r="Y583" i="5"/>
  <c r="AF615" i="5"/>
  <c r="AE583" i="5"/>
  <c r="Q31" i="17"/>
  <c r="R31" i="17" s="1"/>
  <c r="AI581" i="5"/>
  <c r="AJ581" i="5" s="1"/>
  <c r="Q128" i="7"/>
  <c r="R128" i="7"/>
  <c r="R134" i="7"/>
  <c r="Q134" i="7"/>
  <c r="Q133" i="7"/>
  <c r="R133" i="7"/>
  <c r="R135" i="7"/>
  <c r="Q135" i="7"/>
  <c r="Q130" i="7"/>
  <c r="R130" i="7"/>
  <c r="Q129" i="7"/>
  <c r="R129" i="7"/>
  <c r="Q131" i="7"/>
  <c r="R131" i="7"/>
  <c r="R132" i="7"/>
  <c r="Q132" i="7"/>
  <c r="AF619" i="5"/>
  <c r="AF610" i="5"/>
  <c r="AI580" i="5"/>
  <c r="AJ580" i="5" s="1"/>
  <c r="Y580" i="5"/>
  <c r="AF614" i="5"/>
  <c r="AF618" i="5"/>
  <c r="AG584" i="5"/>
  <c r="AH584" i="5" s="1"/>
  <c r="AI583" i="5"/>
  <c r="AJ583" i="5" s="1"/>
  <c r="AF587" i="5"/>
  <c r="AF588" i="5"/>
  <c r="AG581" i="5"/>
  <c r="AH581" i="5" s="1"/>
  <c r="AE584" i="5"/>
  <c r="AF584" i="5" s="1"/>
  <c r="AF583" i="5"/>
  <c r="AF585" i="5"/>
  <c r="AF586" i="5"/>
  <c r="AG586" i="5"/>
  <c r="AH586" i="5" s="1"/>
  <c r="AG585" i="5"/>
  <c r="AH585" i="5" s="1"/>
  <c r="AE581" i="5"/>
  <c r="AF581" i="5" s="1"/>
  <c r="Q144" i="7"/>
  <c r="Q142" i="7"/>
  <c r="Q141" i="7"/>
  <c r="Q140" i="7"/>
  <c r="Q139" i="7"/>
  <c r="AG587" i="5"/>
  <c r="AH587" i="5" s="1"/>
  <c r="AG580" i="5"/>
  <c r="AH580" i="5" s="1"/>
  <c r="AG583" i="5"/>
  <c r="AH583" i="5" s="1"/>
  <c r="AF582" i="5"/>
  <c r="AG582" i="5"/>
  <c r="AH582" i="5" s="1"/>
  <c r="AE580" i="5"/>
  <c r="AK95" i="7"/>
  <c r="AJ95" i="7"/>
  <c r="AK94" i="7"/>
  <c r="AJ94" i="7"/>
  <c r="AK93" i="7"/>
  <c r="AJ93" i="7"/>
  <c r="U54" i="7"/>
  <c r="T54" i="7" s="1"/>
  <c r="S54" i="7" s="1"/>
  <c r="AK30" i="7"/>
  <c r="AJ29" i="7"/>
  <c r="AF580" i="5" l="1"/>
  <c r="Z579" i="5"/>
  <c r="Y578" i="5"/>
  <c r="Z578" i="5"/>
  <c r="Z577" i="5"/>
  <c r="O577" i="5"/>
  <c r="T577" i="5" s="1"/>
  <c r="AG577" i="5" l="1"/>
  <c r="AI577" i="5" l="1"/>
  <c r="AJ577" i="5" s="1"/>
  <c r="AI578" i="5"/>
  <c r="AJ578" i="5" s="1"/>
  <c r="AI579" i="5"/>
  <c r="AJ579" i="5" s="1"/>
  <c r="AE577" i="5"/>
  <c r="AE579" i="5"/>
  <c r="Y577" i="5"/>
  <c r="T578" i="5"/>
  <c r="AG578" i="5" s="1"/>
  <c r="AH578" i="5" s="1"/>
  <c r="T579" i="5"/>
  <c r="Z576" i="5"/>
  <c r="AE576" i="5" s="1"/>
  <c r="U576" i="5"/>
  <c r="Y576" i="5" s="1"/>
  <c r="AA575" i="5"/>
  <c r="Z575" i="5"/>
  <c r="V575" i="5"/>
  <c r="AI575" i="5" s="1"/>
  <c r="AJ575" i="5" s="1"/>
  <c r="U575" i="5"/>
  <c r="Z574" i="5"/>
  <c r="AE574" i="5" s="1"/>
  <c r="U574" i="5"/>
  <c r="Y574" i="5" s="1"/>
  <c r="T574" i="5"/>
  <c r="AA573" i="5"/>
  <c r="Z573" i="5"/>
  <c r="V573" i="5"/>
  <c r="Y573" i="5" s="1"/>
  <c r="AA572" i="5"/>
  <c r="Z572" i="5"/>
  <c r="AE572" i="5" s="1"/>
  <c r="V572" i="5"/>
  <c r="AI572" i="5" s="1"/>
  <c r="AJ572" i="5" s="1"/>
  <c r="U572" i="5"/>
  <c r="T572" i="5"/>
  <c r="T573" i="5"/>
  <c r="T575" i="5"/>
  <c r="T576" i="5"/>
  <c r="AI574" i="5"/>
  <c r="AJ574" i="5" s="1"/>
  <c r="AI576" i="5"/>
  <c r="AJ576" i="5" s="1"/>
  <c r="D31" i="17"/>
  <c r="D28" i="17"/>
  <c r="I28" i="17" s="1"/>
  <c r="D9" i="17"/>
  <c r="W9" i="17" s="1"/>
  <c r="U9" i="17"/>
  <c r="U28" i="17"/>
  <c r="T4" i="17"/>
  <c r="I4" i="17"/>
  <c r="G4" i="17"/>
  <c r="N4" i="17"/>
  <c r="P4" i="17" s="1"/>
  <c r="Q4" i="17" s="1"/>
  <c r="N28" i="17"/>
  <c r="N23" i="17"/>
  <c r="N18" i="17"/>
  <c r="N14" i="17"/>
  <c r="N9" i="17"/>
  <c r="E23" i="17"/>
  <c r="D23" i="17"/>
  <c r="E18" i="17"/>
  <c r="D18" i="17"/>
  <c r="E14" i="17"/>
  <c r="D14" i="17"/>
  <c r="E9" i="17"/>
  <c r="U46" i="7"/>
  <c r="Y572" i="5" l="1"/>
  <c r="Y575" i="5"/>
  <c r="AE573" i="5"/>
  <c r="AF573" i="5" s="1"/>
  <c r="I18" i="17"/>
  <c r="G28" i="17"/>
  <c r="AI573" i="5"/>
  <c r="AJ573" i="5" s="1"/>
  <c r="I14" i="17"/>
  <c r="AG575" i="5"/>
  <c r="AH575" i="5" s="1"/>
  <c r="AF579" i="5"/>
  <c r="AG573" i="5"/>
  <c r="AH573" i="5" s="1"/>
  <c r="AE575" i="5"/>
  <c r="AH577" i="5"/>
  <c r="AG576" i="5"/>
  <c r="AH576" i="5" s="1"/>
  <c r="AG579" i="5"/>
  <c r="AH579" i="5" s="1"/>
  <c r="AF574" i="5"/>
  <c r="AG572" i="5"/>
  <c r="AH572" i="5" s="1"/>
  <c r="AF577" i="5"/>
  <c r="AE578" i="5"/>
  <c r="AF578" i="5" s="1"/>
  <c r="AG574" i="5"/>
  <c r="AH574" i="5" s="1"/>
  <c r="AF572" i="5"/>
  <c r="AF576" i="5"/>
  <c r="I9" i="17"/>
  <c r="V9" i="17"/>
  <c r="I23" i="17"/>
  <c r="G23" i="17"/>
  <c r="P23" i="17" s="1"/>
  <c r="Q23" i="17" s="1"/>
  <c r="T5" i="17"/>
  <c r="X4" i="17"/>
  <c r="W28" i="17"/>
  <c r="D34" i="17"/>
  <c r="G34" i="17" s="1"/>
  <c r="V28" i="17"/>
  <c r="D32" i="17"/>
  <c r="D33" i="17" s="1"/>
  <c r="G9" i="17"/>
  <c r="P9" i="17" s="1"/>
  <c r="Q9" i="17" s="1"/>
  <c r="G14" i="17"/>
  <c r="P14" i="17" s="1"/>
  <c r="Q14" i="17" s="1"/>
  <c r="G18" i="17"/>
  <c r="P18" i="17" s="1"/>
  <c r="Q18" i="17" s="1"/>
  <c r="P28" i="17"/>
  <c r="Q28" i="17" s="1"/>
  <c r="AF575" i="5" l="1"/>
  <c r="D36" i="17"/>
  <c r="X28" i="17"/>
  <c r="G33" i="17"/>
  <c r="T29" i="17"/>
  <c r="T28" i="17"/>
  <c r="T10" i="17"/>
  <c r="X9" i="17"/>
  <c r="P126" i="7"/>
  <c r="P119" i="7"/>
  <c r="P120" i="7"/>
  <c r="P121" i="7"/>
  <c r="P122" i="7"/>
  <c r="P123" i="7"/>
  <c r="P124" i="7"/>
  <c r="P125" i="7"/>
  <c r="D222" i="13"/>
  <c r="C222" i="13"/>
  <c r="B222" i="13"/>
  <c r="B211" i="13"/>
  <c r="C211" i="13"/>
  <c r="D211" i="13"/>
  <c r="B212" i="13"/>
  <c r="C212" i="13"/>
  <c r="D212" i="13"/>
  <c r="B213" i="13"/>
  <c r="C213" i="13"/>
  <c r="D213" i="13"/>
  <c r="B214" i="13"/>
  <c r="C214" i="13"/>
  <c r="D214" i="13"/>
  <c r="B215" i="13"/>
  <c r="C215" i="13"/>
  <c r="D215" i="13"/>
  <c r="B216" i="13"/>
  <c r="C216" i="13"/>
  <c r="D216" i="13"/>
  <c r="B217" i="13"/>
  <c r="C217" i="13"/>
  <c r="D217" i="13"/>
  <c r="B218" i="13"/>
  <c r="C218" i="13"/>
  <c r="D218" i="13"/>
  <c r="B219" i="13"/>
  <c r="C219" i="13"/>
  <c r="D219" i="13"/>
  <c r="B220" i="13"/>
  <c r="C220" i="13"/>
  <c r="D220" i="13"/>
  <c r="D169" i="13"/>
  <c r="C169" i="13"/>
  <c r="B169" i="13"/>
  <c r="D168" i="13"/>
  <c r="C168" i="13"/>
  <c r="B168" i="13"/>
  <c r="D167" i="13"/>
  <c r="C167" i="13"/>
  <c r="B167" i="13"/>
  <c r="D166" i="13"/>
  <c r="C166" i="13"/>
  <c r="B166" i="13"/>
  <c r="D107" i="13"/>
  <c r="C107" i="13"/>
  <c r="B107" i="13"/>
  <c r="D106" i="13"/>
  <c r="C106" i="13"/>
  <c r="B106" i="13"/>
  <c r="D105" i="13"/>
  <c r="C105" i="13"/>
  <c r="B105" i="13"/>
  <c r="D104" i="13"/>
  <c r="C104" i="13"/>
  <c r="B104" i="13"/>
  <c r="GV32" i="7"/>
  <c r="GU32" i="7"/>
  <c r="GV31" i="7"/>
  <c r="GU31" i="7"/>
  <c r="GV30" i="7"/>
  <c r="GU30" i="7"/>
  <c r="GV29" i="7"/>
  <c r="GU29" i="7"/>
  <c r="GV28" i="7"/>
  <c r="GU28" i="7"/>
  <c r="GV27" i="7"/>
  <c r="GU27" i="7"/>
  <c r="GV26" i="7"/>
  <c r="GU26" i="7"/>
  <c r="GV25" i="7"/>
  <c r="GU25" i="7"/>
  <c r="GV24" i="7"/>
  <c r="GU24" i="7"/>
  <c r="GV23" i="7"/>
  <c r="GU23" i="7"/>
  <c r="GV22" i="7"/>
  <c r="GU22" i="7"/>
  <c r="GV21" i="7"/>
  <c r="GU21" i="7"/>
  <c r="GV20" i="7"/>
  <c r="GU20" i="7"/>
  <c r="GV19" i="7"/>
  <c r="GU19" i="7"/>
  <c r="GV18" i="7"/>
  <c r="GU18" i="7"/>
  <c r="GV17" i="7"/>
  <c r="GU17" i="7"/>
  <c r="GV16" i="7"/>
  <c r="GU16" i="7"/>
  <c r="GV15" i="7"/>
  <c r="GU15" i="7"/>
  <c r="GV14" i="7"/>
  <c r="GU14" i="7"/>
  <c r="GV13" i="7"/>
  <c r="GU13" i="7"/>
  <c r="GV12" i="7"/>
  <c r="GU12" i="7"/>
  <c r="GV11" i="7"/>
  <c r="GU11" i="7"/>
  <c r="GV10" i="7"/>
  <c r="GU10" i="7"/>
  <c r="GV9" i="7"/>
  <c r="GU9" i="7"/>
  <c r="GV8" i="7"/>
  <c r="GU8" i="7"/>
  <c r="GV7" i="7"/>
  <c r="GU7" i="7"/>
  <c r="U55" i="7"/>
  <c r="T55" i="7" s="1"/>
  <c r="S55" i="7" s="1"/>
  <c r="AL92" i="7"/>
  <c r="AL91" i="7"/>
  <c r="AL90" i="7"/>
  <c r="AL89" i="7"/>
  <c r="AL88" i="7"/>
  <c r="AL87" i="7"/>
  <c r="AL86" i="7"/>
  <c r="AL85" i="7"/>
  <c r="CK9" i="13"/>
  <c r="CK10" i="13"/>
  <c r="BK5" i="13"/>
  <c r="AO30" i="7"/>
  <c r="AO29" i="7"/>
  <c r="AO28" i="7"/>
  <c r="AO27" i="7"/>
  <c r="AO26" i="7"/>
  <c r="AO25" i="7"/>
  <c r="AO24" i="7"/>
  <c r="AO23" i="7"/>
  <c r="AO22" i="7"/>
  <c r="AO21" i="7"/>
  <c r="AO20" i="7"/>
  <c r="AO18" i="7"/>
  <c r="AO17" i="7"/>
  <c r="AO16" i="7"/>
  <c r="AO15" i="7"/>
  <c r="AO14" i="7"/>
  <c r="AO13" i="7"/>
  <c r="AO12" i="7"/>
  <c r="AO11" i="7"/>
  <c r="AO10" i="7"/>
  <c r="AO9" i="7"/>
  <c r="AO8" i="7"/>
  <c r="AO7" i="7"/>
  <c r="AN30" i="7"/>
  <c r="AN29" i="7"/>
  <c r="AN28" i="7"/>
  <c r="AN27" i="7"/>
  <c r="AN26" i="7"/>
  <c r="AN25" i="7"/>
  <c r="AN24" i="7"/>
  <c r="AN23" i="7"/>
  <c r="AN22" i="7"/>
  <c r="AN21" i="7"/>
  <c r="AN20" i="7"/>
  <c r="AN18" i="7"/>
  <c r="AN17" i="7"/>
  <c r="AN16" i="7"/>
  <c r="AN15" i="7"/>
  <c r="AN14" i="7"/>
  <c r="AN13" i="7"/>
  <c r="AN12" i="7"/>
  <c r="AN11" i="7"/>
  <c r="AN10" i="7"/>
  <c r="AN9" i="7"/>
  <c r="AN8" i="7"/>
  <c r="AN7" i="7"/>
  <c r="R480" i="5"/>
  <c r="R518" i="5"/>
  <c r="R479" i="5"/>
  <c r="R565" i="5"/>
  <c r="R564" i="5"/>
  <c r="AE54" i="8"/>
  <c r="AD54" i="8"/>
  <c r="A56" i="8"/>
  <c r="A53" i="8"/>
  <c r="B53" i="8"/>
  <c r="C53" i="8"/>
  <c r="A54" i="8"/>
  <c r="B54" i="8"/>
  <c r="C54" i="8"/>
  <c r="C15" i="8"/>
  <c r="B19" i="8"/>
  <c r="U44" i="7"/>
  <c r="T44" i="7" s="1"/>
  <c r="S44" i="7" s="1"/>
  <c r="U40" i="7"/>
  <c r="T40" i="7" s="1"/>
  <c r="S40" i="7" s="1"/>
  <c r="AJ30" i="7"/>
  <c r="U53" i="7"/>
  <c r="T53" i="7" s="1"/>
  <c r="S53" i="7" s="1"/>
  <c r="Z570" i="5"/>
  <c r="AA570" i="5"/>
  <c r="V570" i="5"/>
  <c r="U570" i="5"/>
  <c r="Z571" i="5"/>
  <c r="AE571" i="5" s="1"/>
  <c r="U571" i="5"/>
  <c r="Y571" i="5" s="1"/>
  <c r="T569" i="5"/>
  <c r="T570" i="5"/>
  <c r="T571" i="5"/>
  <c r="Z569" i="5"/>
  <c r="AE569" i="5" s="1"/>
  <c r="U569" i="5"/>
  <c r="Y569" i="5" s="1"/>
  <c r="AA568" i="5"/>
  <c r="Z568" i="5"/>
  <c r="V568" i="5"/>
  <c r="Y568" i="5" s="1"/>
  <c r="AA567" i="5"/>
  <c r="Z567" i="5"/>
  <c r="V567" i="5"/>
  <c r="U567" i="5"/>
  <c r="T567" i="5"/>
  <c r="T568" i="5"/>
  <c r="AI569" i="5"/>
  <c r="AJ569" i="5" s="1"/>
  <c r="AI571" i="5"/>
  <c r="AJ571" i="5" s="1"/>
  <c r="Z566" i="5"/>
  <c r="AG566" i="5" s="1"/>
  <c r="AH566" i="5" s="1"/>
  <c r="AA565" i="5"/>
  <c r="AI565" i="5" s="1"/>
  <c r="AJ565" i="5" s="1"/>
  <c r="AA564" i="5"/>
  <c r="AI564" i="5" s="1"/>
  <c r="AJ564" i="5" s="1"/>
  <c r="Z565" i="5"/>
  <c r="Z564" i="5"/>
  <c r="O564" i="5"/>
  <c r="O565" i="5"/>
  <c r="Y564" i="5"/>
  <c r="Y565" i="5"/>
  <c r="AI566" i="5"/>
  <c r="AJ566" i="5" s="1"/>
  <c r="U52" i="7"/>
  <c r="T52" i="7" s="1"/>
  <c r="S52" i="7" s="1"/>
  <c r="U51" i="7"/>
  <c r="T51" i="7" s="1"/>
  <c r="S51" i="7" s="1"/>
  <c r="U50" i="7"/>
  <c r="T50" i="7" s="1"/>
  <c r="S50" i="7" s="1"/>
  <c r="U49" i="7"/>
  <c r="T49" i="7" s="1"/>
  <c r="S49" i="7" s="1"/>
  <c r="U48" i="7"/>
  <c r="T48" i="7" s="1"/>
  <c r="S48" i="7" s="1"/>
  <c r="U47" i="7"/>
  <c r="T47" i="7" s="1"/>
  <c r="T46" i="7"/>
  <c r="S46" i="7" s="1"/>
  <c r="U45" i="7"/>
  <c r="T45" i="7" s="1"/>
  <c r="S45" i="7" s="1"/>
  <c r="U43" i="7"/>
  <c r="T43" i="7" s="1"/>
  <c r="U42" i="7"/>
  <c r="T42" i="7" s="1"/>
  <c r="S42" i="7" s="1"/>
  <c r="U41" i="7"/>
  <c r="T41" i="7" s="1"/>
  <c r="S41" i="7" s="1"/>
  <c r="BF105" i="7"/>
  <c r="BH105" i="7" s="1"/>
  <c r="P127" i="7"/>
  <c r="D165" i="13"/>
  <c r="C165" i="13"/>
  <c r="B165" i="13"/>
  <c r="D164" i="13"/>
  <c r="C164" i="13"/>
  <c r="B164" i="13"/>
  <c r="D163" i="13"/>
  <c r="C163" i="13"/>
  <c r="B163" i="13"/>
  <c r="D162" i="13"/>
  <c r="C162" i="13"/>
  <c r="B162" i="13"/>
  <c r="AK92" i="7"/>
  <c r="AJ92" i="7"/>
  <c r="AD120" i="8"/>
  <c r="AE120" i="8"/>
  <c r="AD118" i="8"/>
  <c r="AE118" i="8"/>
  <c r="AD115" i="8"/>
  <c r="AE115" i="8"/>
  <c r="AD113" i="8"/>
  <c r="AE113" i="8"/>
  <c r="AD112" i="8"/>
  <c r="AE112" i="8"/>
  <c r="AD103" i="8"/>
  <c r="AE103" i="8"/>
  <c r="AD101" i="8"/>
  <c r="AE101" i="8"/>
  <c r="AD99" i="8"/>
  <c r="AE99" i="8"/>
  <c r="AD82" i="8"/>
  <c r="AE82" i="8"/>
  <c r="AD80" i="8"/>
  <c r="AE80" i="8"/>
  <c r="AD79" i="8"/>
  <c r="AE79" i="8"/>
  <c r="AE40" i="8"/>
  <c r="AE53" i="8"/>
  <c r="AD53" i="8"/>
  <c r="Y570" i="5" l="1"/>
  <c r="T565" i="5"/>
  <c r="Y567" i="5"/>
  <c r="AE564" i="5"/>
  <c r="AI567" i="5"/>
  <c r="AJ567" i="5" s="1"/>
  <c r="T564" i="5"/>
  <c r="AG564" i="5" s="1"/>
  <c r="AH564" i="5" s="1"/>
  <c r="AI568" i="5"/>
  <c r="AJ568" i="5" s="1"/>
  <c r="Q121" i="7"/>
  <c r="R121" i="7"/>
  <c r="Q120" i="7"/>
  <c r="R120" i="7"/>
  <c r="Q119" i="7"/>
  <c r="R119" i="7"/>
  <c r="Q126" i="7"/>
  <c r="R126" i="7"/>
  <c r="R125" i="7"/>
  <c r="Q125" i="7"/>
  <c r="Q124" i="7"/>
  <c r="R124" i="7"/>
  <c r="R127" i="7"/>
  <c r="Q127" i="7"/>
  <c r="Q123" i="7"/>
  <c r="R123" i="7"/>
  <c r="R122" i="7"/>
  <c r="Q122" i="7"/>
  <c r="AE568" i="5"/>
  <c r="AF568" i="5" s="1"/>
  <c r="AE567" i="5"/>
  <c r="AI570" i="5"/>
  <c r="AJ570" i="5" s="1"/>
  <c r="AE570" i="5"/>
  <c r="AF570" i="5" s="1"/>
  <c r="AG568" i="5"/>
  <c r="AH568" i="5" s="1"/>
  <c r="AG570" i="5"/>
  <c r="AH570" i="5" s="1"/>
  <c r="AG571" i="5"/>
  <c r="AH571" i="5" s="1"/>
  <c r="AF569" i="5"/>
  <c r="AE566" i="5"/>
  <c r="AF566" i="5" s="1"/>
  <c r="AG567" i="5"/>
  <c r="AH567" i="5" s="1"/>
  <c r="AF571" i="5"/>
  <c r="AG565" i="5"/>
  <c r="AH565" i="5" s="1"/>
  <c r="AG569" i="5"/>
  <c r="AH569" i="5" s="1"/>
  <c r="AE565" i="5"/>
  <c r="AF565" i="5" s="1"/>
  <c r="BG105" i="7"/>
  <c r="S43" i="7"/>
  <c r="S47" i="7"/>
  <c r="BI105" i="7"/>
  <c r="Z563" i="5"/>
  <c r="U563" i="5"/>
  <c r="Y563" i="5" s="1"/>
  <c r="U559" i="5"/>
  <c r="AA562" i="5"/>
  <c r="Z562" i="5"/>
  <c r="V562" i="5"/>
  <c r="U562" i="5"/>
  <c r="Z561" i="5"/>
  <c r="AE561" i="5" s="1"/>
  <c r="U561" i="5"/>
  <c r="Y561" i="5" s="1"/>
  <c r="U552" i="5"/>
  <c r="T561" i="5"/>
  <c r="AA560" i="5"/>
  <c r="Z560" i="5"/>
  <c r="V560" i="5"/>
  <c r="Y560" i="5" s="1"/>
  <c r="AA559" i="5"/>
  <c r="Z559" i="5"/>
  <c r="V559" i="5"/>
  <c r="T559" i="5"/>
  <c r="T560" i="5"/>
  <c r="T562" i="5"/>
  <c r="T563" i="5"/>
  <c r="AI561" i="5"/>
  <c r="AJ561" i="5" s="1"/>
  <c r="AI563" i="5"/>
  <c r="AJ563" i="5" s="1"/>
  <c r="AA556" i="5"/>
  <c r="AI556" i="5" s="1"/>
  <c r="AJ556" i="5" s="1"/>
  <c r="AA555" i="5"/>
  <c r="AI555" i="5" s="1"/>
  <c r="AJ555" i="5" s="1"/>
  <c r="O556" i="5"/>
  <c r="T556" i="5" s="1"/>
  <c r="O555" i="5"/>
  <c r="T555" i="5" s="1"/>
  <c r="Z558" i="5"/>
  <c r="AE558" i="5" s="1"/>
  <c r="Z557" i="5"/>
  <c r="AE557" i="5" s="1"/>
  <c r="AF557" i="5" s="1"/>
  <c r="Z556" i="5"/>
  <c r="Z555" i="5"/>
  <c r="T558" i="5"/>
  <c r="Y555" i="5"/>
  <c r="Y556" i="5"/>
  <c r="Y558" i="5"/>
  <c r="AI557" i="5"/>
  <c r="AJ557" i="5" s="1"/>
  <c r="AI558" i="5"/>
  <c r="AJ558" i="5" s="1"/>
  <c r="AE559" i="5" l="1"/>
  <c r="AF567" i="5"/>
  <c r="AF564" i="5"/>
  <c r="AE562" i="5"/>
  <c r="AG561" i="5"/>
  <c r="AH561" i="5" s="1"/>
  <c r="Y559" i="5"/>
  <c r="AF559" i="5" s="1"/>
  <c r="AG558" i="5"/>
  <c r="AH558" i="5" s="1"/>
  <c r="AG556" i="5"/>
  <c r="AH556" i="5" s="1"/>
  <c r="Y562" i="5"/>
  <c r="AE555" i="5"/>
  <c r="AF555" i="5" s="1"/>
  <c r="AI559" i="5"/>
  <c r="AJ559" i="5" s="1"/>
  <c r="AI562" i="5"/>
  <c r="AJ562" i="5" s="1"/>
  <c r="AI560" i="5"/>
  <c r="AJ560" i="5" s="1"/>
  <c r="AG555" i="5"/>
  <c r="AH555" i="5" s="1"/>
  <c r="AE560" i="5"/>
  <c r="AF560" i="5" s="1"/>
  <c r="AE556" i="5"/>
  <c r="AF556" i="5" s="1"/>
  <c r="AG563" i="5"/>
  <c r="AH563" i="5" s="1"/>
  <c r="AE563" i="5"/>
  <c r="AF563" i="5" s="1"/>
  <c r="AF561" i="5"/>
  <c r="AG559" i="5"/>
  <c r="AH559" i="5" s="1"/>
  <c r="AG562" i="5"/>
  <c r="AH562" i="5" s="1"/>
  <c r="AF558" i="5"/>
  <c r="AG560" i="5"/>
  <c r="AH560" i="5" s="1"/>
  <c r="AG557" i="5"/>
  <c r="AH557" i="5" s="1"/>
  <c r="D53" i="13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A16" i="8"/>
  <c r="B16" i="8"/>
  <c r="C16" i="8"/>
  <c r="A17" i="8"/>
  <c r="B17" i="8"/>
  <c r="C17" i="8"/>
  <c r="A18" i="8"/>
  <c r="B18" i="8"/>
  <c r="C18" i="8"/>
  <c r="A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F562" i="5" l="1"/>
  <c r="B184" i="13"/>
  <c r="C184" i="13"/>
  <c r="D184" i="13"/>
  <c r="B185" i="13"/>
  <c r="C185" i="13"/>
  <c r="D185" i="13"/>
  <c r="B186" i="13"/>
  <c r="C186" i="13"/>
  <c r="D186" i="13"/>
  <c r="B187" i="13"/>
  <c r="C187" i="13"/>
  <c r="D187" i="13"/>
  <c r="B188" i="13"/>
  <c r="C188" i="13"/>
  <c r="D188" i="13"/>
  <c r="B189" i="13"/>
  <c r="C189" i="13"/>
  <c r="D189" i="13"/>
  <c r="B190" i="13"/>
  <c r="C190" i="13"/>
  <c r="D190" i="13"/>
  <c r="B191" i="13"/>
  <c r="C191" i="13"/>
  <c r="D191" i="13"/>
  <c r="B192" i="13"/>
  <c r="C192" i="13"/>
  <c r="D192" i="13"/>
  <c r="B193" i="13"/>
  <c r="C193" i="13"/>
  <c r="D193" i="13"/>
  <c r="B194" i="13"/>
  <c r="C194" i="13"/>
  <c r="D194" i="13"/>
  <c r="B195" i="13"/>
  <c r="C195" i="13"/>
  <c r="D195" i="13"/>
  <c r="B196" i="13"/>
  <c r="C196" i="13"/>
  <c r="D196" i="13"/>
  <c r="B197" i="13"/>
  <c r="C197" i="13"/>
  <c r="D197" i="13"/>
  <c r="B198" i="13"/>
  <c r="C198" i="13"/>
  <c r="D198" i="13"/>
  <c r="B199" i="13"/>
  <c r="C199" i="13"/>
  <c r="D199" i="13"/>
  <c r="B200" i="13"/>
  <c r="C200" i="13"/>
  <c r="D200" i="13"/>
  <c r="B201" i="13"/>
  <c r="C201" i="13"/>
  <c r="D201" i="13"/>
  <c r="B202" i="13"/>
  <c r="C202" i="13"/>
  <c r="D202" i="13"/>
  <c r="B203" i="13"/>
  <c r="C203" i="13"/>
  <c r="D203" i="13"/>
  <c r="B204" i="13"/>
  <c r="C204" i="13"/>
  <c r="D204" i="13"/>
  <c r="B205" i="13"/>
  <c r="C205" i="13"/>
  <c r="D205" i="13"/>
  <c r="B206" i="13"/>
  <c r="C206" i="13"/>
  <c r="D206" i="13"/>
  <c r="B207" i="13"/>
  <c r="C207" i="13"/>
  <c r="D207" i="13"/>
  <c r="B208" i="13"/>
  <c r="C208" i="13"/>
  <c r="D208" i="13"/>
  <c r="B209" i="13"/>
  <c r="C209" i="13"/>
  <c r="D209" i="13"/>
  <c r="B210" i="13"/>
  <c r="C210" i="13"/>
  <c r="D210" i="13"/>
  <c r="B174" i="13"/>
  <c r="C174" i="13"/>
  <c r="D174" i="13"/>
  <c r="B175" i="13"/>
  <c r="C175" i="13"/>
  <c r="D175" i="13"/>
  <c r="B176" i="13"/>
  <c r="C176" i="13"/>
  <c r="D176" i="13"/>
  <c r="B177" i="13"/>
  <c r="C177" i="13"/>
  <c r="D177" i="13"/>
  <c r="B178" i="13"/>
  <c r="C178" i="13"/>
  <c r="D178" i="13"/>
  <c r="B179" i="13"/>
  <c r="C179" i="13"/>
  <c r="D179" i="13"/>
  <c r="B180" i="13"/>
  <c r="C180" i="13"/>
  <c r="D180" i="13"/>
  <c r="B181" i="13"/>
  <c r="C181" i="13"/>
  <c r="D181" i="13"/>
  <c r="B182" i="13"/>
  <c r="C182" i="13"/>
  <c r="D182" i="13"/>
  <c r="B183" i="13"/>
  <c r="C183" i="13"/>
  <c r="D183" i="13"/>
  <c r="B152" i="13"/>
  <c r="C152" i="13"/>
  <c r="D152" i="13"/>
  <c r="B153" i="13"/>
  <c r="C153" i="13"/>
  <c r="D153" i="13"/>
  <c r="B154" i="13"/>
  <c r="C154" i="13"/>
  <c r="D154" i="13"/>
  <c r="B155" i="13"/>
  <c r="C155" i="13"/>
  <c r="D155" i="13"/>
  <c r="B156" i="13"/>
  <c r="C156" i="13"/>
  <c r="D156" i="13"/>
  <c r="B157" i="13"/>
  <c r="C157" i="13"/>
  <c r="D157" i="13"/>
  <c r="B158" i="13"/>
  <c r="C158" i="13"/>
  <c r="D158" i="13"/>
  <c r="B159" i="13"/>
  <c r="C159" i="13"/>
  <c r="D159" i="13"/>
  <c r="B160" i="13"/>
  <c r="C160" i="13"/>
  <c r="D160" i="13"/>
  <c r="B161" i="13"/>
  <c r="C161" i="13"/>
  <c r="D161" i="13"/>
  <c r="B136" i="13"/>
  <c r="C136" i="13"/>
  <c r="D136" i="13"/>
  <c r="B137" i="13"/>
  <c r="C137" i="13"/>
  <c r="D137" i="13"/>
  <c r="B138" i="13"/>
  <c r="C138" i="13"/>
  <c r="D138" i="13"/>
  <c r="B139" i="13"/>
  <c r="C139" i="13"/>
  <c r="D139" i="13"/>
  <c r="B140" i="13"/>
  <c r="C140" i="13"/>
  <c r="D140" i="13"/>
  <c r="B141" i="13"/>
  <c r="C141" i="13"/>
  <c r="D141" i="13"/>
  <c r="B142" i="13"/>
  <c r="C142" i="13"/>
  <c r="D142" i="13"/>
  <c r="B143" i="13"/>
  <c r="C143" i="13"/>
  <c r="D143" i="13"/>
  <c r="B144" i="13"/>
  <c r="C144" i="13"/>
  <c r="D144" i="13"/>
  <c r="B145" i="13"/>
  <c r="C145" i="13"/>
  <c r="D145" i="13"/>
  <c r="B146" i="13"/>
  <c r="C146" i="13"/>
  <c r="D146" i="13"/>
  <c r="B147" i="13"/>
  <c r="C147" i="13"/>
  <c r="D147" i="13"/>
  <c r="B148" i="13"/>
  <c r="C148" i="13"/>
  <c r="D148" i="13"/>
  <c r="B150" i="13"/>
  <c r="C150" i="13"/>
  <c r="D150" i="13"/>
  <c r="B151" i="13"/>
  <c r="C151" i="13"/>
  <c r="D151" i="13"/>
  <c r="D135" i="13"/>
  <c r="B135" i="13"/>
  <c r="D134" i="13"/>
  <c r="C134" i="13"/>
  <c r="B134" i="13"/>
  <c r="D133" i="13"/>
  <c r="C133" i="13"/>
  <c r="B133" i="13"/>
  <c r="D132" i="13"/>
  <c r="C132" i="13"/>
  <c r="B132" i="13"/>
  <c r="D131" i="13"/>
  <c r="C131" i="13"/>
  <c r="B131" i="13"/>
  <c r="D130" i="13"/>
  <c r="C130" i="13"/>
  <c r="B130" i="13"/>
  <c r="D129" i="13"/>
  <c r="C129" i="13"/>
  <c r="B129" i="13"/>
  <c r="D127" i="13"/>
  <c r="C127" i="13"/>
  <c r="B127" i="13"/>
  <c r="D126" i="13"/>
  <c r="C126" i="13"/>
  <c r="B126" i="13"/>
  <c r="D125" i="13"/>
  <c r="C125" i="13"/>
  <c r="B125" i="13"/>
  <c r="D124" i="13"/>
  <c r="C124" i="13"/>
  <c r="B124" i="13"/>
  <c r="D123" i="13"/>
  <c r="C123" i="13"/>
  <c r="B123" i="13"/>
  <c r="B70" i="13"/>
  <c r="C70" i="13"/>
  <c r="D70" i="13"/>
  <c r="B71" i="13"/>
  <c r="C71" i="13"/>
  <c r="D71" i="13"/>
  <c r="B72" i="13"/>
  <c r="C72" i="13"/>
  <c r="D72" i="13"/>
  <c r="B73" i="13"/>
  <c r="C73" i="13"/>
  <c r="D73" i="13"/>
  <c r="B74" i="13"/>
  <c r="C74" i="13"/>
  <c r="D74" i="13"/>
  <c r="B75" i="13"/>
  <c r="C75" i="13"/>
  <c r="D75" i="13"/>
  <c r="B76" i="13"/>
  <c r="C76" i="13"/>
  <c r="D76" i="13"/>
  <c r="B77" i="13"/>
  <c r="C77" i="13"/>
  <c r="D77" i="13"/>
  <c r="B78" i="13"/>
  <c r="C78" i="13"/>
  <c r="D78" i="13"/>
  <c r="B79" i="13"/>
  <c r="C79" i="13"/>
  <c r="D79" i="13"/>
  <c r="B80" i="13"/>
  <c r="C80" i="13"/>
  <c r="D80" i="13"/>
  <c r="B81" i="13"/>
  <c r="C81" i="13"/>
  <c r="D81" i="13"/>
  <c r="B82" i="13"/>
  <c r="C82" i="13"/>
  <c r="D82" i="13"/>
  <c r="B83" i="13"/>
  <c r="C83" i="13"/>
  <c r="D83" i="13"/>
  <c r="B84" i="13"/>
  <c r="C84" i="13"/>
  <c r="D84" i="13"/>
  <c r="B85" i="13"/>
  <c r="C85" i="13"/>
  <c r="D85" i="13"/>
  <c r="B86" i="13"/>
  <c r="C86" i="13"/>
  <c r="D86" i="13"/>
  <c r="B87" i="13"/>
  <c r="C87" i="13"/>
  <c r="D87" i="13"/>
  <c r="B88" i="13"/>
  <c r="C88" i="13"/>
  <c r="D88" i="13"/>
  <c r="B89" i="13"/>
  <c r="C89" i="13"/>
  <c r="D89" i="13"/>
  <c r="B90" i="13"/>
  <c r="C90" i="13"/>
  <c r="D90" i="13"/>
  <c r="B91" i="13"/>
  <c r="C91" i="13"/>
  <c r="D91" i="13"/>
  <c r="B92" i="13"/>
  <c r="C92" i="13"/>
  <c r="D92" i="13"/>
  <c r="B93" i="13"/>
  <c r="C93" i="13"/>
  <c r="D93" i="13"/>
  <c r="B94" i="13"/>
  <c r="C94" i="13"/>
  <c r="D94" i="13"/>
  <c r="B95" i="13"/>
  <c r="C95" i="13"/>
  <c r="D95" i="13"/>
  <c r="B96" i="13"/>
  <c r="C96" i="13"/>
  <c r="D96" i="13"/>
  <c r="B97" i="13"/>
  <c r="C97" i="13"/>
  <c r="D97" i="13"/>
  <c r="B98" i="13"/>
  <c r="C98" i="13"/>
  <c r="D98" i="13"/>
  <c r="B99" i="13"/>
  <c r="C99" i="13"/>
  <c r="D99" i="13"/>
  <c r="B100" i="13"/>
  <c r="C100" i="13"/>
  <c r="D100" i="13"/>
  <c r="B101" i="13"/>
  <c r="C101" i="13"/>
  <c r="D101" i="13"/>
  <c r="B102" i="13"/>
  <c r="C102" i="13"/>
  <c r="D102" i="13"/>
  <c r="B103" i="13"/>
  <c r="C103" i="13"/>
  <c r="D103" i="13"/>
  <c r="B54" i="13"/>
  <c r="C54" i="13"/>
  <c r="D54" i="13"/>
  <c r="B29" i="13"/>
  <c r="C29" i="13"/>
  <c r="D29" i="13"/>
  <c r="B30" i="13"/>
  <c r="C30" i="13"/>
  <c r="D30" i="13"/>
  <c r="B31" i="13"/>
  <c r="C31" i="13"/>
  <c r="D31" i="13"/>
  <c r="B32" i="13"/>
  <c r="C32" i="13"/>
  <c r="D32" i="13"/>
  <c r="B33" i="13"/>
  <c r="C33" i="13"/>
  <c r="D33" i="13"/>
  <c r="B34" i="13"/>
  <c r="C34" i="13"/>
  <c r="D34" i="13"/>
  <c r="B35" i="13"/>
  <c r="C35" i="13"/>
  <c r="D35" i="13"/>
  <c r="B36" i="13"/>
  <c r="C36" i="13"/>
  <c r="D36" i="13"/>
  <c r="B37" i="13"/>
  <c r="C37" i="13"/>
  <c r="D37" i="13"/>
  <c r="B38" i="13"/>
  <c r="C38" i="13"/>
  <c r="D38" i="13"/>
  <c r="B39" i="13"/>
  <c r="C39" i="13"/>
  <c r="D39" i="13"/>
  <c r="B40" i="13"/>
  <c r="C40" i="13"/>
  <c r="D40" i="13"/>
  <c r="B41" i="13"/>
  <c r="C41" i="13"/>
  <c r="D41" i="13"/>
  <c r="B42" i="13"/>
  <c r="C42" i="13"/>
  <c r="D42" i="13"/>
  <c r="B43" i="13"/>
  <c r="C43" i="13"/>
  <c r="D43" i="13"/>
  <c r="B44" i="13"/>
  <c r="C44" i="13"/>
  <c r="D44" i="13"/>
  <c r="B45" i="13"/>
  <c r="C45" i="13"/>
  <c r="D45" i="13"/>
  <c r="B46" i="13"/>
  <c r="C46" i="13"/>
  <c r="D46" i="13"/>
  <c r="B47" i="13"/>
  <c r="C47" i="13"/>
  <c r="D47" i="13"/>
  <c r="B48" i="13"/>
  <c r="C48" i="13"/>
  <c r="D48" i="13"/>
  <c r="B49" i="13"/>
  <c r="C49" i="13"/>
  <c r="D49" i="13"/>
  <c r="B50" i="13"/>
  <c r="C50" i="13"/>
  <c r="D50" i="13"/>
  <c r="B51" i="13"/>
  <c r="C51" i="13"/>
  <c r="D51" i="13"/>
  <c r="B52" i="13"/>
  <c r="C52" i="13"/>
  <c r="D52" i="13"/>
  <c r="B53" i="13"/>
  <c r="C53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D16" i="13"/>
  <c r="B17" i="13"/>
  <c r="C17" i="13"/>
  <c r="D17" i="13"/>
  <c r="B18" i="13"/>
  <c r="C18" i="13"/>
  <c r="D18" i="13"/>
  <c r="B19" i="13"/>
  <c r="C19" i="13"/>
  <c r="D19" i="13"/>
  <c r="B20" i="13"/>
  <c r="C20" i="13"/>
  <c r="D20" i="13"/>
  <c r="B21" i="13"/>
  <c r="C21" i="13"/>
  <c r="D21" i="13"/>
  <c r="B22" i="13"/>
  <c r="C22" i="13"/>
  <c r="D22" i="13"/>
  <c r="B23" i="13"/>
  <c r="C23" i="13"/>
  <c r="D23" i="13"/>
  <c r="B24" i="13"/>
  <c r="C24" i="13"/>
  <c r="D24" i="13"/>
  <c r="B25" i="13"/>
  <c r="C25" i="13"/>
  <c r="D25" i="13"/>
  <c r="B26" i="13"/>
  <c r="C26" i="13"/>
  <c r="D26" i="13"/>
  <c r="B27" i="13"/>
  <c r="C27" i="13"/>
  <c r="D27" i="13"/>
  <c r="B28" i="13"/>
  <c r="C28" i="13"/>
  <c r="D28" i="13"/>
  <c r="D10" i="13"/>
  <c r="C10" i="13"/>
  <c r="B10" i="13"/>
  <c r="A28" i="8"/>
  <c r="A52" i="8"/>
  <c r="B52" i="8"/>
  <c r="C51" i="8"/>
  <c r="AD109" i="8"/>
  <c r="AE109" i="8"/>
  <c r="AD108" i="8"/>
  <c r="AE108" i="8"/>
  <c r="AD107" i="8"/>
  <c r="AE107" i="8"/>
  <c r="AD106" i="8"/>
  <c r="AE106" i="8"/>
  <c r="AD105" i="8"/>
  <c r="AE105" i="8"/>
  <c r="AD104" i="8"/>
  <c r="AE104" i="8"/>
  <c r="AD100" i="8"/>
  <c r="AE100" i="8"/>
  <c r="AE96" i="8"/>
  <c r="AD96" i="8"/>
  <c r="AE97" i="8"/>
  <c r="AD97" i="8"/>
  <c r="AE98" i="8"/>
  <c r="AD98" i="8"/>
  <c r="AE76" i="8"/>
  <c r="AD76" i="8"/>
  <c r="AE77" i="8"/>
  <c r="AD77" i="8"/>
  <c r="AE78" i="8"/>
  <c r="AD78" i="8"/>
  <c r="AE11" i="8"/>
  <c r="AK91" i="7"/>
  <c r="AJ91" i="7"/>
  <c r="P115" i="7"/>
  <c r="P116" i="7"/>
  <c r="P117" i="7"/>
  <c r="P118" i="7"/>
  <c r="AE52" i="8"/>
  <c r="AD52" i="8"/>
  <c r="Q118" i="7" l="1"/>
  <c r="R118" i="7"/>
  <c r="R117" i="7"/>
  <c r="Q117" i="7"/>
  <c r="Q116" i="7"/>
  <c r="R116" i="7"/>
  <c r="R115" i="7"/>
  <c r="Q115" i="7"/>
  <c r="AV14" i="5"/>
  <c r="AW14" i="5"/>
  <c r="AX14" i="5"/>
  <c r="B28" i="8" l="1"/>
  <c r="U540" i="5"/>
  <c r="U538" i="5"/>
  <c r="U528" i="5"/>
  <c r="U526" i="5"/>
  <c r="U524" i="5"/>
  <c r="U522" i="5"/>
  <c r="U517" i="5"/>
  <c r="U516" i="5"/>
  <c r="U514" i="5"/>
  <c r="U508" i="5"/>
  <c r="U506" i="5"/>
  <c r="Z554" i="5"/>
  <c r="AE554" i="5" s="1"/>
  <c r="U554" i="5"/>
  <c r="Y554" i="5" s="1"/>
  <c r="T554" i="5"/>
  <c r="AI554" i="5"/>
  <c r="AJ554" i="5" s="1"/>
  <c r="V553" i="5"/>
  <c r="AA553" i="5"/>
  <c r="U553" i="5"/>
  <c r="Y552" i="5"/>
  <c r="U550" i="5"/>
  <c r="AA551" i="5"/>
  <c r="V551" i="5"/>
  <c r="Y551" i="5" s="1"/>
  <c r="AA550" i="5"/>
  <c r="Z553" i="5"/>
  <c r="Z552" i="5"/>
  <c r="Z551" i="5"/>
  <c r="Z550" i="5"/>
  <c r="V550" i="5"/>
  <c r="T551" i="5"/>
  <c r="T552" i="5"/>
  <c r="T553" i="5"/>
  <c r="AI552" i="5"/>
  <c r="AJ552" i="5" s="1"/>
  <c r="T550" i="5"/>
  <c r="Z549" i="5"/>
  <c r="AE549" i="5" s="1"/>
  <c r="Y549" i="5"/>
  <c r="Z548" i="5"/>
  <c r="AE548" i="5" s="1"/>
  <c r="O546" i="5"/>
  <c r="T546" i="5" s="1"/>
  <c r="O547" i="5"/>
  <c r="T547" i="5" s="1"/>
  <c r="Z547" i="5"/>
  <c r="AE547" i="5" s="1"/>
  <c r="Z546" i="5"/>
  <c r="T549" i="5"/>
  <c r="Y546" i="5"/>
  <c r="Y547" i="5"/>
  <c r="Y548" i="5"/>
  <c r="AI546" i="5"/>
  <c r="AJ546" i="5" s="1"/>
  <c r="AI547" i="5"/>
  <c r="AJ547" i="5" s="1"/>
  <c r="AI548" i="5"/>
  <c r="AJ548" i="5" s="1"/>
  <c r="AI549" i="5"/>
  <c r="AJ549" i="5" s="1"/>
  <c r="FM31" i="7"/>
  <c r="FL31" i="7"/>
  <c r="FM29" i="7"/>
  <c r="FL29" i="7"/>
  <c r="FM28" i="7"/>
  <c r="FL28" i="7"/>
  <c r="FM27" i="7"/>
  <c r="FL27" i="7"/>
  <c r="FM26" i="7"/>
  <c r="FL26" i="7"/>
  <c r="FM25" i="7"/>
  <c r="FL25" i="7"/>
  <c r="FM24" i="7"/>
  <c r="FL24" i="7"/>
  <c r="FM23" i="7"/>
  <c r="FL23" i="7"/>
  <c r="FM22" i="7"/>
  <c r="FL22" i="7"/>
  <c r="FM21" i="7"/>
  <c r="FL21" i="7"/>
  <c r="FM20" i="7"/>
  <c r="FL20" i="7"/>
  <c r="FM19" i="7"/>
  <c r="FL19" i="7"/>
  <c r="FM18" i="7"/>
  <c r="FL18" i="7"/>
  <c r="FM17" i="7"/>
  <c r="FL17" i="7"/>
  <c r="FM16" i="7"/>
  <c r="FL16" i="7"/>
  <c r="FM15" i="7"/>
  <c r="FL15" i="7"/>
  <c r="FM14" i="7"/>
  <c r="FL14" i="7"/>
  <c r="FM13" i="7"/>
  <c r="FL13" i="7"/>
  <c r="FM12" i="7"/>
  <c r="FL12" i="7"/>
  <c r="FM11" i="7"/>
  <c r="FL11" i="7"/>
  <c r="FM10" i="7"/>
  <c r="FL10" i="7"/>
  <c r="FM9" i="7"/>
  <c r="FL9" i="7"/>
  <c r="FM8" i="7"/>
  <c r="FL8" i="7"/>
  <c r="FM7" i="7"/>
  <c r="FL7" i="7"/>
  <c r="FM6" i="7"/>
  <c r="FL6" i="7"/>
  <c r="P114" i="7"/>
  <c r="P113" i="7"/>
  <c r="P111" i="7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K123" i="7"/>
  <c r="AK90" i="7"/>
  <c r="AK89" i="7"/>
  <c r="AK88" i="7"/>
  <c r="AK87" i="7"/>
  <c r="AK86" i="7"/>
  <c r="AK85" i="7"/>
  <c r="AK84" i="7"/>
  <c r="AK83" i="7"/>
  <c r="AK82" i="7"/>
  <c r="AK81" i="7"/>
  <c r="AK80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62" i="7"/>
  <c r="AK61" i="7"/>
  <c r="AK60" i="7"/>
  <c r="AK59" i="7"/>
  <c r="AK58" i="7"/>
  <c r="AK57" i="7"/>
  <c r="AK56" i="7"/>
  <c r="AK55" i="7"/>
  <c r="AK54" i="7"/>
  <c r="AK53" i="7"/>
  <c r="AK52" i="7"/>
  <c r="AK51" i="7"/>
  <c r="AK50" i="7"/>
  <c r="AK49" i="7"/>
  <c r="AK48" i="7"/>
  <c r="AK47" i="7"/>
  <c r="AK29" i="7"/>
  <c r="AK28" i="7"/>
  <c r="AK27" i="7"/>
  <c r="AK26" i="7"/>
  <c r="AK25" i="7"/>
  <c r="AK24" i="7"/>
  <c r="AK23" i="7"/>
  <c r="AK22" i="7"/>
  <c r="AK21" i="7"/>
  <c r="AK20" i="7"/>
  <c r="AK19" i="7"/>
  <c r="AK18" i="7"/>
  <c r="AK17" i="7"/>
  <c r="AK16" i="7"/>
  <c r="AK15" i="7"/>
  <c r="AK14" i="7"/>
  <c r="AK13" i="7"/>
  <c r="AK12" i="7"/>
  <c r="AK11" i="7"/>
  <c r="AK10" i="7"/>
  <c r="AK9" i="7"/>
  <c r="AK8" i="7"/>
  <c r="AK7" i="7"/>
  <c r="AE51" i="8"/>
  <c r="AD51" i="8"/>
  <c r="AE50" i="8"/>
  <c r="AD50" i="8"/>
  <c r="AE49" i="8"/>
  <c r="AD49" i="8"/>
  <c r="AE48" i="8"/>
  <c r="AD48" i="8"/>
  <c r="AJ90" i="7"/>
  <c r="Z544" i="5"/>
  <c r="AG544" i="5" s="1"/>
  <c r="AH544" i="5" s="1"/>
  <c r="Z545" i="5"/>
  <c r="AE545" i="5" s="1"/>
  <c r="Z543" i="5"/>
  <c r="AE543" i="5" s="1"/>
  <c r="Z542" i="5"/>
  <c r="HH52" i="13"/>
  <c r="AD95" i="8"/>
  <c r="AE95" i="8"/>
  <c r="AD94" i="8"/>
  <c r="BJ4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8" i="8"/>
  <c r="BF104" i="7"/>
  <c r="T545" i="5"/>
  <c r="Y544" i="5"/>
  <c r="Y545" i="5"/>
  <c r="AI544" i="5"/>
  <c r="AJ544" i="5" s="1"/>
  <c r="AI545" i="5"/>
  <c r="AJ545" i="5" s="1"/>
  <c r="T542" i="5"/>
  <c r="T543" i="5"/>
  <c r="Y542" i="5"/>
  <c r="Y543" i="5"/>
  <c r="AI542" i="5"/>
  <c r="AJ542" i="5" s="1"/>
  <c r="AI543" i="5"/>
  <c r="AJ543" i="5" s="1"/>
  <c r="AA541" i="5"/>
  <c r="V541" i="5"/>
  <c r="Y541" i="5" s="1"/>
  <c r="Z540" i="5"/>
  <c r="AV540" i="5" s="1"/>
  <c r="T540" i="5"/>
  <c r="AA539" i="5"/>
  <c r="V539" i="5"/>
  <c r="Y539" i="5" s="1"/>
  <c r="AA538" i="5"/>
  <c r="Z541" i="5"/>
  <c r="Z539" i="5"/>
  <c r="Z538" i="5"/>
  <c r="V538" i="5"/>
  <c r="T538" i="5"/>
  <c r="T539" i="5"/>
  <c r="T541" i="5"/>
  <c r="Y540" i="5"/>
  <c r="AI540" i="5"/>
  <c r="AJ540" i="5" s="1"/>
  <c r="U530" i="5"/>
  <c r="DV34" i="7"/>
  <c r="DU34" i="7"/>
  <c r="DT34" i="7"/>
  <c r="DS34" i="7"/>
  <c r="DV35" i="7"/>
  <c r="DU35" i="7"/>
  <c r="DT35" i="7"/>
  <c r="DS35" i="7"/>
  <c r="DS29" i="7"/>
  <c r="DT29" i="7"/>
  <c r="DU29" i="7"/>
  <c r="DV29" i="7"/>
  <c r="DS30" i="7"/>
  <c r="DT30" i="7"/>
  <c r="DU30" i="7"/>
  <c r="DV30" i="7"/>
  <c r="DS31" i="7"/>
  <c r="DT31" i="7"/>
  <c r="DU31" i="7"/>
  <c r="DV31" i="7"/>
  <c r="DV28" i="7"/>
  <c r="DU28" i="7"/>
  <c r="DT28" i="7"/>
  <c r="DS28" i="7"/>
  <c r="DV25" i="7"/>
  <c r="DU25" i="7"/>
  <c r="DT25" i="7"/>
  <c r="DS25" i="7"/>
  <c r="DV24" i="7"/>
  <c r="DU24" i="7"/>
  <c r="DT24" i="7"/>
  <c r="DS24" i="7"/>
  <c r="DV23" i="7"/>
  <c r="DU23" i="7"/>
  <c r="DT23" i="7"/>
  <c r="DS23" i="7"/>
  <c r="DV22" i="7"/>
  <c r="DU22" i="7"/>
  <c r="DT22" i="7"/>
  <c r="DS22" i="7"/>
  <c r="DV21" i="7"/>
  <c r="DU21" i="7"/>
  <c r="DT21" i="7"/>
  <c r="DS21" i="7"/>
  <c r="DV17" i="7"/>
  <c r="DU17" i="7"/>
  <c r="DT17" i="7"/>
  <c r="DS17" i="7"/>
  <c r="DV16" i="7"/>
  <c r="DU16" i="7"/>
  <c r="DT16" i="7"/>
  <c r="DS16" i="7"/>
  <c r="DV15" i="7"/>
  <c r="DU15" i="7"/>
  <c r="DT15" i="7"/>
  <c r="DS15" i="7"/>
  <c r="DV14" i="7"/>
  <c r="DU14" i="7"/>
  <c r="DT14" i="7"/>
  <c r="DS14" i="7"/>
  <c r="DV13" i="7"/>
  <c r="DU13" i="7"/>
  <c r="DT13" i="7"/>
  <c r="DS13" i="7"/>
  <c r="DV12" i="7"/>
  <c r="DU12" i="7"/>
  <c r="DT12" i="7"/>
  <c r="DS12" i="7"/>
  <c r="DV11" i="7"/>
  <c r="DU11" i="7"/>
  <c r="DT11" i="7"/>
  <c r="DS11" i="7"/>
  <c r="DV10" i="7"/>
  <c r="DU10" i="7"/>
  <c r="DT10" i="7"/>
  <c r="DS10" i="7"/>
  <c r="DV9" i="7"/>
  <c r="DU9" i="7"/>
  <c r="DT9" i="7"/>
  <c r="DS9" i="7"/>
  <c r="DV8" i="7"/>
  <c r="ES31" i="7"/>
  <c r="ER31" i="7"/>
  <c r="ES29" i="7"/>
  <c r="ER29" i="7"/>
  <c r="ES28" i="7"/>
  <c r="ER28" i="7"/>
  <c r="ES27" i="7"/>
  <c r="ER27" i="7"/>
  <c r="ES26" i="7"/>
  <c r="ER26" i="7"/>
  <c r="ES25" i="7"/>
  <c r="ER25" i="7"/>
  <c r="ES24" i="7"/>
  <c r="ER24" i="7"/>
  <c r="ES23" i="7"/>
  <c r="ER23" i="7"/>
  <c r="ES22" i="7"/>
  <c r="ER22" i="7"/>
  <c r="ES21" i="7"/>
  <c r="ER21" i="7"/>
  <c r="ES20" i="7"/>
  <c r="ER20" i="7"/>
  <c r="ES19" i="7"/>
  <c r="ER19" i="7"/>
  <c r="ES18" i="7"/>
  <c r="ER18" i="7"/>
  <c r="ES17" i="7"/>
  <c r="ER17" i="7"/>
  <c r="ES16" i="7"/>
  <c r="ER16" i="7"/>
  <c r="ES15" i="7"/>
  <c r="ER15" i="7"/>
  <c r="ES14" i="7"/>
  <c r="ER14" i="7"/>
  <c r="ES13" i="7"/>
  <c r="ER13" i="7"/>
  <c r="ES12" i="7"/>
  <c r="ER12" i="7"/>
  <c r="ES11" i="7"/>
  <c r="ER11" i="7"/>
  <c r="ES10" i="7"/>
  <c r="ER10" i="7"/>
  <c r="ES9" i="7"/>
  <c r="ER9" i="7"/>
  <c r="ES8" i="7"/>
  <c r="ER8" i="7"/>
  <c r="ES7" i="7"/>
  <c r="ER7" i="7"/>
  <c r="ES6" i="7"/>
  <c r="ER6" i="7"/>
  <c r="EA31" i="7"/>
  <c r="DZ31" i="7"/>
  <c r="EA29" i="7"/>
  <c r="DZ29" i="7"/>
  <c r="EA28" i="7"/>
  <c r="DZ28" i="7"/>
  <c r="EA27" i="7"/>
  <c r="DZ27" i="7"/>
  <c r="EA26" i="7"/>
  <c r="DZ26" i="7"/>
  <c r="EA25" i="7"/>
  <c r="DZ25" i="7"/>
  <c r="EA24" i="7"/>
  <c r="DZ24" i="7"/>
  <c r="EA23" i="7"/>
  <c r="DZ23" i="7"/>
  <c r="EA22" i="7"/>
  <c r="DZ22" i="7"/>
  <c r="EA21" i="7"/>
  <c r="DZ21" i="7"/>
  <c r="EA20" i="7"/>
  <c r="DZ20" i="7"/>
  <c r="EA19" i="7"/>
  <c r="DZ19" i="7"/>
  <c r="EA18" i="7"/>
  <c r="DZ18" i="7"/>
  <c r="EA17" i="7"/>
  <c r="DZ17" i="7"/>
  <c r="EA16" i="7"/>
  <c r="DZ16" i="7"/>
  <c r="EA15" i="7"/>
  <c r="DZ15" i="7"/>
  <c r="EA14" i="7"/>
  <c r="DZ14" i="7"/>
  <c r="EA13" i="7"/>
  <c r="DZ13" i="7"/>
  <c r="EA12" i="7"/>
  <c r="DZ12" i="7"/>
  <c r="EA11" i="7"/>
  <c r="DZ11" i="7"/>
  <c r="EA10" i="7"/>
  <c r="DZ10" i="7"/>
  <c r="EA9" i="7"/>
  <c r="DZ9" i="7"/>
  <c r="EA8" i="7"/>
  <c r="DZ8" i="7"/>
  <c r="EA7" i="7"/>
  <c r="DZ7" i="7"/>
  <c r="EA6" i="7"/>
  <c r="DZ6" i="7"/>
  <c r="Y538" i="5" l="1"/>
  <c r="Q111" i="7"/>
  <c r="R111" i="7"/>
  <c r="Q113" i="7"/>
  <c r="R113" i="7"/>
  <c r="Q114" i="7"/>
  <c r="R114" i="7"/>
  <c r="AI553" i="5"/>
  <c r="AJ553" i="5" s="1"/>
  <c r="AE551" i="5"/>
  <c r="AF551" i="5" s="1"/>
  <c r="Y553" i="5"/>
  <c r="AE553" i="5"/>
  <c r="AI550" i="5"/>
  <c r="AJ550" i="5" s="1"/>
  <c r="AI538" i="5"/>
  <c r="AJ538" i="5" s="1"/>
  <c r="AI539" i="5"/>
  <c r="AJ539" i="5" s="1"/>
  <c r="AI551" i="5"/>
  <c r="AJ551" i="5" s="1"/>
  <c r="AG543" i="5"/>
  <c r="AH543" i="5" s="1"/>
  <c r="Y550" i="5"/>
  <c r="AG547" i="5"/>
  <c r="AH547" i="5" s="1"/>
  <c r="AF548" i="5"/>
  <c r="AE550" i="5"/>
  <c r="AG546" i="5"/>
  <c r="AH546" i="5" s="1"/>
  <c r="AG551" i="5"/>
  <c r="AH551" i="5" s="1"/>
  <c r="AG548" i="5"/>
  <c r="AH548" i="5" s="1"/>
  <c r="AG550" i="5"/>
  <c r="AH550" i="5" s="1"/>
  <c r="AF554" i="5"/>
  <c r="AI541" i="5"/>
  <c r="AJ541" i="5" s="1"/>
  <c r="FC37" i="7"/>
  <c r="AE541" i="5"/>
  <c r="AF541" i="5" s="1"/>
  <c r="AE538" i="5"/>
  <c r="AF538" i="5" s="1"/>
  <c r="AX538" i="5"/>
  <c r="AV538" i="5"/>
  <c r="AW538" i="5"/>
  <c r="AG545" i="5"/>
  <c r="AH545" i="5" s="1"/>
  <c r="AE552" i="5"/>
  <c r="AF552" i="5" s="1"/>
  <c r="AX552" i="5"/>
  <c r="AW552" i="5"/>
  <c r="AV552" i="5"/>
  <c r="AW540" i="5"/>
  <c r="AX540" i="5"/>
  <c r="AE542" i="5"/>
  <c r="AF542" i="5" s="1"/>
  <c r="AV542" i="5"/>
  <c r="AW542" i="5"/>
  <c r="AX542" i="5"/>
  <c r="AX543" i="5"/>
  <c r="AV543" i="5"/>
  <c r="AW543" i="5"/>
  <c r="AG553" i="5"/>
  <c r="AH553" i="5" s="1"/>
  <c r="AG554" i="5"/>
  <c r="AH554" i="5" s="1"/>
  <c r="AE546" i="5"/>
  <c r="AF546" i="5" s="1"/>
  <c r="AW546" i="5"/>
  <c r="AV546" i="5"/>
  <c r="AX546" i="5"/>
  <c r="AW550" i="5"/>
  <c r="AV550" i="5"/>
  <c r="AX550" i="5"/>
  <c r="AE544" i="5"/>
  <c r="AF544" i="5" s="1"/>
  <c r="AE539" i="5"/>
  <c r="AF539" i="5" s="1"/>
  <c r="AW539" i="5"/>
  <c r="AV539" i="5"/>
  <c r="AX539" i="5"/>
  <c r="AV547" i="5"/>
  <c r="AW547" i="5"/>
  <c r="AX547" i="5"/>
  <c r="AV551" i="5"/>
  <c r="AX551" i="5"/>
  <c r="AW551" i="5"/>
  <c r="AF549" i="5"/>
  <c r="AF547" i="5"/>
  <c r="AF543" i="5"/>
  <c r="AG549" i="5"/>
  <c r="AH549" i="5" s="1"/>
  <c r="AG552" i="5"/>
  <c r="AH552" i="5" s="1"/>
  <c r="AG542" i="5"/>
  <c r="AH542" i="5" s="1"/>
  <c r="AF545" i="5"/>
  <c r="BG104" i="7"/>
  <c r="BI104" i="7"/>
  <c r="BH104" i="7"/>
  <c r="AG538" i="5"/>
  <c r="AH538" i="5" s="1"/>
  <c r="AG540" i="5"/>
  <c r="AH540" i="5" s="1"/>
  <c r="AG539" i="5"/>
  <c r="AH539" i="5" s="1"/>
  <c r="AE540" i="5"/>
  <c r="AF540" i="5" s="1"/>
  <c r="AG541" i="5"/>
  <c r="AH541" i="5" s="1"/>
  <c r="AF553" i="5" l="1"/>
  <c r="AF550" i="5"/>
  <c r="Z528" i="5"/>
  <c r="BF78" i="7"/>
  <c r="BG78" i="7" s="1"/>
  <c r="P112" i="7"/>
  <c r="P110" i="7"/>
  <c r="P109" i="7"/>
  <c r="BF103" i="7"/>
  <c r="Q109" i="7" l="1"/>
  <c r="R109" i="7"/>
  <c r="Q110" i="7"/>
  <c r="R110" i="7"/>
  <c r="R112" i="7"/>
  <c r="Q112" i="7"/>
  <c r="AW528" i="5"/>
  <c r="AX528" i="5"/>
  <c r="AV528" i="5"/>
  <c r="BG103" i="7"/>
  <c r="BH103" i="7"/>
  <c r="BI103" i="7"/>
  <c r="AA537" i="5"/>
  <c r="AA533" i="5"/>
  <c r="AB537" i="5"/>
  <c r="AB533" i="5"/>
  <c r="N534" i="5"/>
  <c r="N530" i="5"/>
  <c r="Z536" i="5" l="1"/>
  <c r="Z532" i="5"/>
  <c r="Z533" i="5"/>
  <c r="Z537" i="5"/>
  <c r="V537" i="5"/>
  <c r="V533" i="5"/>
  <c r="O533" i="5"/>
  <c r="T533" i="5" s="1"/>
  <c r="O537" i="5"/>
  <c r="AA530" i="5"/>
  <c r="V530" i="5"/>
  <c r="O534" i="5"/>
  <c r="O530" i="5"/>
  <c r="AC535" i="5"/>
  <c r="AC531" i="5"/>
  <c r="AA535" i="5"/>
  <c r="AA531" i="5"/>
  <c r="Z531" i="5"/>
  <c r="Z535" i="5"/>
  <c r="V531" i="5"/>
  <c r="V535" i="5"/>
  <c r="U535" i="5"/>
  <c r="U531" i="5"/>
  <c r="O535" i="5"/>
  <c r="O531" i="5"/>
  <c r="N535" i="5"/>
  <c r="N531" i="5"/>
  <c r="Y531" i="5" l="1"/>
  <c r="AW531" i="5"/>
  <c r="AX531" i="5"/>
  <c r="AV531" i="5"/>
  <c r="AV535" i="5"/>
  <c r="AX535" i="5"/>
  <c r="AW535" i="5"/>
  <c r="AG528" i="5"/>
  <c r="AH528" i="5" s="1"/>
  <c r="AC534" i="5"/>
  <c r="AC530" i="5"/>
  <c r="AA534" i="5"/>
  <c r="Z534" i="5"/>
  <c r="Z530" i="5"/>
  <c r="V534" i="5"/>
  <c r="AI534" i="5" s="1"/>
  <c r="AJ534" i="5" s="1"/>
  <c r="U534" i="5"/>
  <c r="T530" i="5"/>
  <c r="K534" i="5"/>
  <c r="K530" i="5"/>
  <c r="AI535" i="5"/>
  <c r="AJ535" i="5" s="1"/>
  <c r="AI536" i="5"/>
  <c r="AJ536" i="5" s="1"/>
  <c r="AI537" i="5"/>
  <c r="AJ537" i="5" s="1"/>
  <c r="AE535" i="5"/>
  <c r="AE536" i="5"/>
  <c r="AE537" i="5"/>
  <c r="Y535" i="5"/>
  <c r="Y536" i="5"/>
  <c r="Y537" i="5"/>
  <c r="T534" i="5"/>
  <c r="T535" i="5"/>
  <c r="AG535" i="5" s="1"/>
  <c r="T536" i="5"/>
  <c r="T537" i="5"/>
  <c r="AI530" i="5"/>
  <c r="AJ530" i="5" s="1"/>
  <c r="AI531" i="5"/>
  <c r="AJ531" i="5" s="1"/>
  <c r="AI532" i="5"/>
  <c r="AJ532" i="5" s="1"/>
  <c r="AI533" i="5"/>
  <c r="AJ533" i="5" s="1"/>
  <c r="AE531" i="5"/>
  <c r="AE533" i="5"/>
  <c r="Y530" i="5"/>
  <c r="Y532" i="5"/>
  <c r="Y533" i="5"/>
  <c r="T531" i="5"/>
  <c r="AG531" i="5" s="1"/>
  <c r="T532" i="5"/>
  <c r="AG533" i="5"/>
  <c r="AH533" i="5" s="1"/>
  <c r="P108" i="7"/>
  <c r="P107" i="7"/>
  <c r="Z524" i="5"/>
  <c r="AA527" i="5"/>
  <c r="V527" i="5"/>
  <c r="Y527" i="5" s="1"/>
  <c r="AA523" i="5"/>
  <c r="Z527" i="5"/>
  <c r="Z523" i="5"/>
  <c r="V523" i="5"/>
  <c r="Y523" i="5" s="1"/>
  <c r="AA526" i="5"/>
  <c r="Z526" i="5"/>
  <c r="V526" i="5"/>
  <c r="Y526" i="5" s="1"/>
  <c r="AA522" i="5"/>
  <c r="Z522" i="5"/>
  <c r="V522" i="5"/>
  <c r="Y522" i="5" s="1"/>
  <c r="AA529" i="5"/>
  <c r="Z529" i="5"/>
  <c r="V529" i="5"/>
  <c r="Y529" i="5" s="1"/>
  <c r="AA525" i="5"/>
  <c r="Z525" i="5"/>
  <c r="V525" i="5"/>
  <c r="Y525" i="5" s="1"/>
  <c r="T525" i="5"/>
  <c r="T526" i="5"/>
  <c r="T527" i="5"/>
  <c r="T529" i="5"/>
  <c r="Y528" i="5"/>
  <c r="AE528" i="5"/>
  <c r="AI528" i="5"/>
  <c r="AJ528" i="5" s="1"/>
  <c r="T522" i="5"/>
  <c r="T523" i="5"/>
  <c r="AI524" i="5"/>
  <c r="AJ524" i="5" s="1"/>
  <c r="AJ28" i="7"/>
  <c r="BE19" i="13"/>
  <c r="BD19" i="13"/>
  <c r="BE30" i="13"/>
  <c r="BD30" i="13"/>
  <c r="BE54" i="13"/>
  <c r="BD54" i="13"/>
  <c r="BE53" i="13"/>
  <c r="BD53" i="13"/>
  <c r="BE52" i="13"/>
  <c r="BD52" i="13"/>
  <c r="BE51" i="13"/>
  <c r="BD51" i="13"/>
  <c r="BE50" i="13"/>
  <c r="BD50" i="13"/>
  <c r="BE49" i="13"/>
  <c r="BD49" i="13"/>
  <c r="BE48" i="13"/>
  <c r="BD48" i="13"/>
  <c r="BE47" i="13"/>
  <c r="BD47" i="13"/>
  <c r="BE46" i="13"/>
  <c r="BD46" i="13"/>
  <c r="BE45" i="13"/>
  <c r="BD45" i="13"/>
  <c r="BD42" i="13"/>
  <c r="BE42" i="13"/>
  <c r="BD41" i="13"/>
  <c r="BE41" i="13"/>
  <c r="BD40" i="13"/>
  <c r="BE40" i="13"/>
  <c r="BD39" i="13"/>
  <c r="BE39" i="13"/>
  <c r="BD29" i="13"/>
  <c r="BE29" i="13"/>
  <c r="BD28" i="13"/>
  <c r="BE28" i="13"/>
  <c r="BD10" i="13"/>
  <c r="P106" i="7"/>
  <c r="P100" i="7"/>
  <c r="P98" i="7"/>
  <c r="BF75" i="7"/>
  <c r="BG75" i="7" s="1"/>
  <c r="BF76" i="7"/>
  <c r="BG76" i="7" s="1"/>
  <c r="BF77" i="7"/>
  <c r="BG77" i="7" s="1"/>
  <c r="BF71" i="7"/>
  <c r="BG71" i="7" s="1"/>
  <c r="BF72" i="7"/>
  <c r="BG72" i="7" s="1"/>
  <c r="BF73" i="7"/>
  <c r="BG73" i="7" s="1"/>
  <c r="BF74" i="7"/>
  <c r="BG74" i="7" s="1"/>
  <c r="BF102" i="7"/>
  <c r="BF101" i="7"/>
  <c r="BF89" i="7"/>
  <c r="BF90" i="7"/>
  <c r="BF91" i="7"/>
  <c r="BF92" i="7"/>
  <c r="BF93" i="7"/>
  <c r="BF94" i="7"/>
  <c r="BF95" i="7"/>
  <c r="BF96" i="7"/>
  <c r="BF97" i="7"/>
  <c r="BF98" i="7"/>
  <c r="BF99" i="7"/>
  <c r="BF100" i="7"/>
  <c r="AJ88" i="7"/>
  <c r="AJ89" i="7"/>
  <c r="AJ87" i="7"/>
  <c r="Z521" i="5"/>
  <c r="AE521" i="5" s="1"/>
  <c r="T521" i="5"/>
  <c r="Z520" i="5"/>
  <c r="AE520" i="5" s="1"/>
  <c r="Z519" i="5"/>
  <c r="Y519" i="5"/>
  <c r="Z518" i="5"/>
  <c r="Y518" i="5"/>
  <c r="V509" i="5"/>
  <c r="Y509" i="5" s="1"/>
  <c r="V507" i="5"/>
  <c r="Y507" i="5" s="1"/>
  <c r="V514" i="5"/>
  <c r="V517" i="5"/>
  <c r="Y517" i="5" s="1"/>
  <c r="AI519" i="5"/>
  <c r="AJ519" i="5" s="1"/>
  <c r="AI520" i="5"/>
  <c r="AJ520" i="5" s="1"/>
  <c r="AI521" i="5"/>
  <c r="AJ521" i="5" s="1"/>
  <c r="Y521" i="5"/>
  <c r="T519" i="5"/>
  <c r="T520" i="5"/>
  <c r="AA517" i="5"/>
  <c r="Z517" i="5"/>
  <c r="Z516" i="5"/>
  <c r="AA515" i="5"/>
  <c r="Z515" i="5"/>
  <c r="V515" i="5"/>
  <c r="Y515" i="5" s="1"/>
  <c r="AA514" i="5"/>
  <c r="Z514" i="5"/>
  <c r="T514" i="5"/>
  <c r="T515" i="5"/>
  <c r="T517" i="5"/>
  <c r="Y516" i="5"/>
  <c r="AI516" i="5"/>
  <c r="AJ516" i="5" s="1"/>
  <c r="CI13" i="7"/>
  <c r="CI14" i="7" s="1"/>
  <c r="CI7" i="7"/>
  <c r="CI8" i="7" s="1"/>
  <c r="CI11" i="7"/>
  <c r="T513" i="5"/>
  <c r="Z513" i="5"/>
  <c r="AE513" i="5" s="1"/>
  <c r="Z512" i="5"/>
  <c r="AE512" i="5" s="1"/>
  <c r="Z511" i="5"/>
  <c r="Z510" i="5"/>
  <c r="Y510" i="5"/>
  <c r="T510" i="5"/>
  <c r="T511" i="5"/>
  <c r="T512" i="5"/>
  <c r="Y511" i="5"/>
  <c r="Y513" i="5"/>
  <c r="AI510" i="5"/>
  <c r="AJ510" i="5" s="1"/>
  <c r="AI511" i="5"/>
  <c r="AJ511" i="5" s="1"/>
  <c r="AI512" i="5"/>
  <c r="AJ512" i="5" s="1"/>
  <c r="AI513" i="5"/>
  <c r="AJ513" i="5" s="1"/>
  <c r="Z508" i="5"/>
  <c r="Y508" i="5"/>
  <c r="AA507" i="5"/>
  <c r="Z507" i="5"/>
  <c r="AA506" i="5"/>
  <c r="Z506" i="5"/>
  <c r="V506" i="5"/>
  <c r="Y506" i="5" s="1"/>
  <c r="AA509" i="5"/>
  <c r="Z509" i="5"/>
  <c r="T509" i="5"/>
  <c r="T506" i="5"/>
  <c r="T507" i="5"/>
  <c r="AI508" i="5"/>
  <c r="AJ508" i="5" s="1"/>
  <c r="M5" i="13"/>
  <c r="BE18" i="13"/>
  <c r="BD18" i="13"/>
  <c r="BD32" i="13"/>
  <c r="BE32" i="13"/>
  <c r="BD34" i="13"/>
  <c r="BE34" i="13"/>
  <c r="BD35" i="13"/>
  <c r="BE35" i="13"/>
  <c r="BD36" i="13"/>
  <c r="BE36" i="13"/>
  <c r="BD37" i="13"/>
  <c r="BE37" i="13"/>
  <c r="BD38" i="13"/>
  <c r="BE38" i="13"/>
  <c r="BD43" i="13"/>
  <c r="BE43" i="13"/>
  <c r="BD21" i="13"/>
  <c r="BE21" i="13"/>
  <c r="BD22" i="13"/>
  <c r="BE22" i="13"/>
  <c r="BD23" i="13"/>
  <c r="BE23" i="13"/>
  <c r="BD24" i="13"/>
  <c r="BE24" i="13"/>
  <c r="BD25" i="13"/>
  <c r="BE25" i="13"/>
  <c r="BD26" i="13"/>
  <c r="BE26" i="13"/>
  <c r="BD27" i="13"/>
  <c r="BE27" i="13"/>
  <c r="Z499" i="5"/>
  <c r="Z498" i="5"/>
  <c r="Y499" i="5"/>
  <c r="Y498" i="5"/>
  <c r="Z500" i="5"/>
  <c r="Z501" i="5"/>
  <c r="AA505" i="5"/>
  <c r="V505" i="5"/>
  <c r="Y505" i="5" s="1"/>
  <c r="AA503" i="5"/>
  <c r="V503" i="5"/>
  <c r="Y503" i="5" s="1"/>
  <c r="AA502" i="5"/>
  <c r="Z505" i="5"/>
  <c r="Z504" i="5"/>
  <c r="Z503" i="5"/>
  <c r="Z502" i="5"/>
  <c r="V502" i="5"/>
  <c r="Y502" i="5" s="1"/>
  <c r="T502" i="5"/>
  <c r="T503" i="5"/>
  <c r="T504" i="5"/>
  <c r="T505" i="5"/>
  <c r="Y504" i="5"/>
  <c r="AI504" i="5"/>
  <c r="AJ504" i="5" s="1"/>
  <c r="T500" i="5"/>
  <c r="T501" i="5"/>
  <c r="Y501" i="5"/>
  <c r="AI500" i="5"/>
  <c r="AJ500" i="5" s="1"/>
  <c r="AI501" i="5"/>
  <c r="AJ501" i="5" s="1"/>
  <c r="T498" i="5"/>
  <c r="T499" i="5"/>
  <c r="AI498" i="5"/>
  <c r="AJ498" i="5" s="1"/>
  <c r="AI499" i="5"/>
  <c r="AJ499" i="5" s="1"/>
  <c r="O490" i="5"/>
  <c r="T490" i="5" s="1"/>
  <c r="O489" i="5"/>
  <c r="T489" i="5" s="1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9" i="7"/>
  <c r="P101" i="7"/>
  <c r="P102" i="7"/>
  <c r="P103" i="7"/>
  <c r="P104" i="7"/>
  <c r="P105" i="7"/>
  <c r="AJ86" i="7"/>
  <c r="AB490" i="5"/>
  <c r="AB489" i="5"/>
  <c r="Z490" i="5"/>
  <c r="Z489" i="5"/>
  <c r="V490" i="5"/>
  <c r="Y490" i="5" s="1"/>
  <c r="V489" i="5"/>
  <c r="Y489" i="5" s="1"/>
  <c r="AA490" i="5"/>
  <c r="AA489" i="5"/>
  <c r="Z488" i="5"/>
  <c r="AE488" i="5" s="1"/>
  <c r="Z487" i="5"/>
  <c r="AE487" i="5" s="1"/>
  <c r="AF487" i="5" s="1"/>
  <c r="AE47" i="8"/>
  <c r="AE46" i="8"/>
  <c r="AA496" i="5"/>
  <c r="AA495" i="5"/>
  <c r="Z494" i="5"/>
  <c r="AE494" i="5" s="1"/>
  <c r="AA497" i="5"/>
  <c r="V497" i="5"/>
  <c r="Y497" i="5" s="1"/>
  <c r="T497" i="5"/>
  <c r="AA493" i="5"/>
  <c r="Z497" i="5"/>
  <c r="Z493" i="5"/>
  <c r="V493" i="5"/>
  <c r="Y493" i="5" s="1"/>
  <c r="Z495" i="5"/>
  <c r="Z491" i="5"/>
  <c r="AA492" i="5"/>
  <c r="V492" i="5"/>
  <c r="Y492" i="5" s="1"/>
  <c r="Z496" i="5"/>
  <c r="Z492" i="5"/>
  <c r="V496" i="5"/>
  <c r="Y496" i="5" s="1"/>
  <c r="V495" i="5"/>
  <c r="Y495" i="5" s="1"/>
  <c r="AA491" i="5"/>
  <c r="V491" i="5"/>
  <c r="Y491" i="5" s="1"/>
  <c r="T495" i="5"/>
  <c r="T496" i="5"/>
  <c r="T491" i="5"/>
  <c r="T492" i="5"/>
  <c r="T493" i="5"/>
  <c r="T494" i="5"/>
  <c r="Y494" i="5"/>
  <c r="AI494" i="5"/>
  <c r="AJ494" i="5" s="1"/>
  <c r="AC484" i="5"/>
  <c r="AC483" i="5"/>
  <c r="Z484" i="5"/>
  <c r="Z483" i="5"/>
  <c r="V484" i="5"/>
  <c r="V483" i="5"/>
  <c r="Y483" i="5" s="1"/>
  <c r="AA484" i="5"/>
  <c r="AA483" i="5"/>
  <c r="O484" i="5"/>
  <c r="O483" i="5"/>
  <c r="N484" i="5"/>
  <c r="N483" i="5"/>
  <c r="K484" i="5"/>
  <c r="K483" i="5"/>
  <c r="AC486" i="5"/>
  <c r="AC485" i="5"/>
  <c r="AA486" i="5"/>
  <c r="AA485" i="5"/>
  <c r="Z486" i="5"/>
  <c r="Z485" i="5"/>
  <c r="V486" i="5"/>
  <c r="Y486" i="5" s="1"/>
  <c r="V485" i="5"/>
  <c r="O486" i="5"/>
  <c r="O485" i="5"/>
  <c r="N486" i="5"/>
  <c r="N485" i="5"/>
  <c r="T488" i="5"/>
  <c r="Y488" i="5"/>
  <c r="AI488" i="5"/>
  <c r="AJ488" i="5" s="1"/>
  <c r="AI487" i="5"/>
  <c r="AJ487" i="5" s="1"/>
  <c r="AJ85" i="7"/>
  <c r="O482" i="5"/>
  <c r="T482" i="5" s="1"/>
  <c r="Z482" i="5"/>
  <c r="AE482" i="5" s="1"/>
  <c r="O480" i="5"/>
  <c r="O479" i="5"/>
  <c r="AA479" i="5"/>
  <c r="AI479" i="5" s="1"/>
  <c r="AJ479" i="5" s="1"/>
  <c r="Z481" i="5"/>
  <c r="AE481" i="5" s="1"/>
  <c r="Z479" i="5"/>
  <c r="AA480" i="5"/>
  <c r="AI480" i="5" s="1"/>
  <c r="AJ480" i="5" s="1"/>
  <c r="Z480" i="5"/>
  <c r="Y479" i="5"/>
  <c r="Y480" i="5"/>
  <c r="Y482" i="5"/>
  <c r="AI481" i="5"/>
  <c r="AJ481" i="5" s="1"/>
  <c r="AI482" i="5"/>
  <c r="AJ482" i="5" s="1"/>
  <c r="AE45" i="8"/>
  <c r="Z478" i="5"/>
  <c r="Z477" i="5"/>
  <c r="AA477" i="5"/>
  <c r="V477" i="5"/>
  <c r="AA476" i="5"/>
  <c r="AA475" i="5"/>
  <c r="Z476" i="5"/>
  <c r="V476" i="5"/>
  <c r="Y476" i="5" s="1"/>
  <c r="T476" i="5"/>
  <c r="Z475" i="5"/>
  <c r="V475" i="5"/>
  <c r="Y475" i="5" s="1"/>
  <c r="T477" i="5"/>
  <c r="T478" i="5"/>
  <c r="Y477" i="5"/>
  <c r="Y478" i="5"/>
  <c r="AI478" i="5"/>
  <c r="AJ478" i="5" s="1"/>
  <c r="T475" i="5"/>
  <c r="AL84" i="7"/>
  <c r="AL83" i="7"/>
  <c r="AL82" i="7"/>
  <c r="AL81" i="7"/>
  <c r="AL80" i="7"/>
  <c r="AL79" i="7"/>
  <c r="AL78" i="7"/>
  <c r="Z473" i="5"/>
  <c r="AJ84" i="7"/>
  <c r="HH165" i="13"/>
  <c r="HI165" i="13" s="1"/>
  <c r="HJ165" i="13"/>
  <c r="HK165" i="13" s="1"/>
  <c r="HH166" i="13"/>
  <c r="HI166" i="13" s="1"/>
  <c r="HJ166" i="13"/>
  <c r="HK166" i="13" s="1"/>
  <c r="HH167" i="13"/>
  <c r="HI167" i="13" s="1"/>
  <c r="HJ167" i="13"/>
  <c r="HK167" i="13" s="1"/>
  <c r="HH168" i="13"/>
  <c r="HI168" i="13" s="1"/>
  <c r="HJ168" i="13"/>
  <c r="HK168" i="13" s="1"/>
  <c r="HH169" i="13"/>
  <c r="HI169" i="13" s="1"/>
  <c r="HJ169" i="13"/>
  <c r="HK169" i="13" s="1"/>
  <c r="HH170" i="13"/>
  <c r="HI170" i="13" s="1"/>
  <c r="HJ170" i="13"/>
  <c r="HK170" i="13" s="1"/>
  <c r="HH171" i="13"/>
  <c r="HI171" i="13" s="1"/>
  <c r="HJ171" i="13"/>
  <c r="HK171" i="13" s="1"/>
  <c r="HH172" i="13"/>
  <c r="HI172" i="13" s="1"/>
  <c r="HJ172" i="13"/>
  <c r="HK172" i="13" s="1"/>
  <c r="HH173" i="13"/>
  <c r="HI173" i="13" s="1"/>
  <c r="HJ173" i="13"/>
  <c r="HK173" i="13" s="1"/>
  <c r="HH174" i="13"/>
  <c r="HI174" i="13" s="1"/>
  <c r="HJ174" i="13"/>
  <c r="HK174" i="13" s="1"/>
  <c r="HH175" i="13"/>
  <c r="HI175" i="13" s="1"/>
  <c r="HJ175" i="13"/>
  <c r="HK175" i="13" s="1"/>
  <c r="HH176" i="13"/>
  <c r="HI176" i="13" s="1"/>
  <c r="HJ176" i="13"/>
  <c r="HK176" i="13" s="1"/>
  <c r="HH126" i="13"/>
  <c r="HI126" i="13" s="1"/>
  <c r="HJ126" i="13"/>
  <c r="HK126" i="13" s="1"/>
  <c r="HH127" i="13"/>
  <c r="HI127" i="13" s="1"/>
  <c r="HJ127" i="13"/>
  <c r="HK127" i="13" s="1"/>
  <c r="HH128" i="13"/>
  <c r="HI128" i="13" s="1"/>
  <c r="HJ128" i="13"/>
  <c r="HK128" i="13" s="1"/>
  <c r="HH129" i="13"/>
  <c r="HI129" i="13" s="1"/>
  <c r="HJ129" i="13"/>
  <c r="HK129" i="13" s="1"/>
  <c r="HH130" i="13"/>
  <c r="HI130" i="13" s="1"/>
  <c r="HJ130" i="13"/>
  <c r="HK130" i="13" s="1"/>
  <c r="HH131" i="13"/>
  <c r="HI131" i="13" s="1"/>
  <c r="HJ131" i="13"/>
  <c r="HK131" i="13" s="1"/>
  <c r="HH132" i="13"/>
  <c r="HI132" i="13" s="1"/>
  <c r="HJ132" i="13"/>
  <c r="HK132" i="13" s="1"/>
  <c r="HH133" i="13"/>
  <c r="HI133" i="13" s="1"/>
  <c r="HJ133" i="13"/>
  <c r="HK133" i="13" s="1"/>
  <c r="HH134" i="13"/>
  <c r="HI134" i="13" s="1"/>
  <c r="HJ134" i="13"/>
  <c r="HK134" i="13" s="1"/>
  <c r="HH135" i="13"/>
  <c r="HI135" i="13" s="1"/>
  <c r="HJ135" i="13"/>
  <c r="HK135" i="13" s="1"/>
  <c r="HH136" i="13"/>
  <c r="HI136" i="13" s="1"/>
  <c r="HJ136" i="13"/>
  <c r="HK136" i="13" s="1"/>
  <c r="HH137" i="13"/>
  <c r="HI137" i="13" s="1"/>
  <c r="HJ137" i="13"/>
  <c r="HK137" i="13" s="1"/>
  <c r="HH138" i="13"/>
  <c r="HI138" i="13" s="1"/>
  <c r="HJ138" i="13"/>
  <c r="HK138" i="13" s="1"/>
  <c r="HH139" i="13"/>
  <c r="HI139" i="13" s="1"/>
  <c r="HJ139" i="13"/>
  <c r="HK139" i="13" s="1"/>
  <c r="HH140" i="13"/>
  <c r="HI140" i="13" s="1"/>
  <c r="HJ140" i="13"/>
  <c r="HK140" i="13" s="1"/>
  <c r="HH141" i="13"/>
  <c r="HI141" i="13" s="1"/>
  <c r="HJ141" i="13"/>
  <c r="HK141" i="13" s="1"/>
  <c r="HH142" i="13"/>
  <c r="HI142" i="13" s="1"/>
  <c r="HJ142" i="13"/>
  <c r="HK142" i="13" s="1"/>
  <c r="HH143" i="13"/>
  <c r="HI143" i="13" s="1"/>
  <c r="HJ143" i="13"/>
  <c r="HK143" i="13" s="1"/>
  <c r="HH144" i="13"/>
  <c r="HI144" i="13" s="1"/>
  <c r="HJ144" i="13"/>
  <c r="HK144" i="13" s="1"/>
  <c r="HH145" i="13"/>
  <c r="HI145" i="13" s="1"/>
  <c r="HJ145" i="13"/>
  <c r="HK145" i="13" s="1"/>
  <c r="HH146" i="13"/>
  <c r="HI146" i="13" s="1"/>
  <c r="HJ146" i="13"/>
  <c r="HK146" i="13" s="1"/>
  <c r="HH147" i="13"/>
  <c r="HI147" i="13" s="1"/>
  <c r="HJ147" i="13"/>
  <c r="HK147" i="13" s="1"/>
  <c r="HH148" i="13"/>
  <c r="HI148" i="13" s="1"/>
  <c r="HJ148" i="13"/>
  <c r="HK148" i="13" s="1"/>
  <c r="HH149" i="13"/>
  <c r="HI149" i="13" s="1"/>
  <c r="HJ149" i="13"/>
  <c r="HK149" i="13" s="1"/>
  <c r="HH150" i="13"/>
  <c r="HI150" i="13" s="1"/>
  <c r="HJ150" i="13"/>
  <c r="HK150" i="13" s="1"/>
  <c r="HH151" i="13"/>
  <c r="HI151" i="13" s="1"/>
  <c r="HJ151" i="13"/>
  <c r="HK151" i="13" s="1"/>
  <c r="HH152" i="13"/>
  <c r="HI152" i="13" s="1"/>
  <c r="HJ152" i="13"/>
  <c r="HK152" i="13" s="1"/>
  <c r="HH153" i="13"/>
  <c r="HI153" i="13" s="1"/>
  <c r="HJ153" i="13"/>
  <c r="HK153" i="13" s="1"/>
  <c r="HH154" i="13"/>
  <c r="HI154" i="13" s="1"/>
  <c r="HJ154" i="13"/>
  <c r="HK154" i="13" s="1"/>
  <c r="HH155" i="13"/>
  <c r="HI155" i="13" s="1"/>
  <c r="HJ155" i="13"/>
  <c r="HK155" i="13" s="1"/>
  <c r="HH156" i="13"/>
  <c r="HI156" i="13" s="1"/>
  <c r="HJ156" i="13"/>
  <c r="HK156" i="13" s="1"/>
  <c r="HH157" i="13"/>
  <c r="HI157" i="13" s="1"/>
  <c r="HJ157" i="13"/>
  <c r="HK157" i="13" s="1"/>
  <c r="HH158" i="13"/>
  <c r="HI158" i="13" s="1"/>
  <c r="HJ158" i="13"/>
  <c r="HK158" i="13" s="1"/>
  <c r="HH159" i="13"/>
  <c r="HI159" i="13" s="1"/>
  <c r="HJ159" i="13"/>
  <c r="HK159" i="13" s="1"/>
  <c r="HH160" i="13"/>
  <c r="HI160" i="13" s="1"/>
  <c r="HJ160" i="13"/>
  <c r="HK160" i="13" s="1"/>
  <c r="HH161" i="13"/>
  <c r="HI161" i="13" s="1"/>
  <c r="HJ161" i="13"/>
  <c r="HK161" i="13" s="1"/>
  <c r="HH162" i="13"/>
  <c r="HI162" i="13" s="1"/>
  <c r="HJ162" i="13"/>
  <c r="HK162" i="13" s="1"/>
  <c r="HH163" i="13"/>
  <c r="HI163" i="13" s="1"/>
  <c r="HJ163" i="13"/>
  <c r="HK163" i="13" s="1"/>
  <c r="HH164" i="13"/>
  <c r="HI164" i="13" s="1"/>
  <c r="HJ164" i="13"/>
  <c r="HK164" i="13" s="1"/>
  <c r="HH100" i="13"/>
  <c r="HI100" i="13" s="1"/>
  <c r="HJ100" i="13"/>
  <c r="HK100" i="13" s="1"/>
  <c r="HH101" i="13"/>
  <c r="HI101" i="13" s="1"/>
  <c r="HJ101" i="13"/>
  <c r="HK101" i="13" s="1"/>
  <c r="HH102" i="13"/>
  <c r="HI102" i="13" s="1"/>
  <c r="HJ102" i="13"/>
  <c r="HK102" i="13" s="1"/>
  <c r="HH103" i="13"/>
  <c r="HI103" i="13" s="1"/>
  <c r="HJ103" i="13"/>
  <c r="HK103" i="13" s="1"/>
  <c r="HH104" i="13"/>
  <c r="HI104" i="13" s="1"/>
  <c r="HJ104" i="13"/>
  <c r="HK104" i="13" s="1"/>
  <c r="HH105" i="13"/>
  <c r="HI105" i="13" s="1"/>
  <c r="HJ105" i="13"/>
  <c r="HK105" i="13" s="1"/>
  <c r="HH106" i="13"/>
  <c r="HI106" i="13" s="1"/>
  <c r="HJ106" i="13"/>
  <c r="HK106" i="13" s="1"/>
  <c r="HH107" i="13"/>
  <c r="HI107" i="13" s="1"/>
  <c r="HJ107" i="13"/>
  <c r="HK107" i="13" s="1"/>
  <c r="HH108" i="13"/>
  <c r="HI108" i="13" s="1"/>
  <c r="HJ108" i="13"/>
  <c r="HK108" i="13" s="1"/>
  <c r="HH109" i="13"/>
  <c r="HI109" i="13" s="1"/>
  <c r="HJ109" i="13"/>
  <c r="HK109" i="13" s="1"/>
  <c r="HH110" i="13"/>
  <c r="HI110" i="13" s="1"/>
  <c r="HJ110" i="13"/>
  <c r="HK110" i="13" s="1"/>
  <c r="HH111" i="13"/>
  <c r="HI111" i="13" s="1"/>
  <c r="HJ111" i="13"/>
  <c r="HK111" i="13" s="1"/>
  <c r="HH112" i="13"/>
  <c r="HI112" i="13" s="1"/>
  <c r="HJ112" i="13"/>
  <c r="HK112" i="13" s="1"/>
  <c r="HH113" i="13"/>
  <c r="HI113" i="13" s="1"/>
  <c r="HJ113" i="13"/>
  <c r="HK113" i="13" s="1"/>
  <c r="HH114" i="13"/>
  <c r="HI114" i="13" s="1"/>
  <c r="HJ114" i="13"/>
  <c r="HK114" i="13" s="1"/>
  <c r="HH115" i="13"/>
  <c r="HI115" i="13" s="1"/>
  <c r="HJ115" i="13"/>
  <c r="HK115" i="13" s="1"/>
  <c r="HH116" i="13"/>
  <c r="HI116" i="13" s="1"/>
  <c r="HJ116" i="13"/>
  <c r="HK116" i="13" s="1"/>
  <c r="HH117" i="13"/>
  <c r="HI117" i="13" s="1"/>
  <c r="HJ117" i="13"/>
  <c r="HK117" i="13" s="1"/>
  <c r="HH118" i="13"/>
  <c r="HI118" i="13" s="1"/>
  <c r="HJ118" i="13"/>
  <c r="HK118" i="13" s="1"/>
  <c r="HH119" i="13"/>
  <c r="HI119" i="13" s="1"/>
  <c r="HJ119" i="13"/>
  <c r="HK119" i="13" s="1"/>
  <c r="HH120" i="13"/>
  <c r="HI120" i="13" s="1"/>
  <c r="HJ120" i="13"/>
  <c r="HK120" i="13" s="1"/>
  <c r="HH121" i="13"/>
  <c r="HI121" i="13" s="1"/>
  <c r="HJ121" i="13"/>
  <c r="HK121" i="13" s="1"/>
  <c r="HH122" i="13"/>
  <c r="HI122" i="13" s="1"/>
  <c r="HJ122" i="13"/>
  <c r="HK122" i="13" s="1"/>
  <c r="HH123" i="13"/>
  <c r="HI123" i="13" s="1"/>
  <c r="HJ123" i="13"/>
  <c r="HK123" i="13" s="1"/>
  <c r="HH124" i="13"/>
  <c r="HI124" i="13" s="1"/>
  <c r="HJ124" i="13"/>
  <c r="HK124" i="13" s="1"/>
  <c r="HH125" i="13"/>
  <c r="HI125" i="13" s="1"/>
  <c r="HJ125" i="13"/>
  <c r="HK125" i="13" s="1"/>
  <c r="HH85" i="13"/>
  <c r="HI85" i="13" s="1"/>
  <c r="HJ85" i="13"/>
  <c r="HK85" i="13" s="1"/>
  <c r="HH86" i="13"/>
  <c r="HI86" i="13" s="1"/>
  <c r="HJ86" i="13"/>
  <c r="HK86" i="13" s="1"/>
  <c r="HH87" i="13"/>
  <c r="HI87" i="13" s="1"/>
  <c r="HJ87" i="13"/>
  <c r="HK87" i="13" s="1"/>
  <c r="HH88" i="13"/>
  <c r="HI88" i="13" s="1"/>
  <c r="HJ88" i="13"/>
  <c r="HK88" i="13" s="1"/>
  <c r="HH89" i="13"/>
  <c r="HI89" i="13" s="1"/>
  <c r="HJ89" i="13"/>
  <c r="HK89" i="13" s="1"/>
  <c r="HH90" i="13"/>
  <c r="HI90" i="13" s="1"/>
  <c r="HJ90" i="13"/>
  <c r="HK90" i="13" s="1"/>
  <c r="HH91" i="13"/>
  <c r="HI91" i="13" s="1"/>
  <c r="HJ91" i="13"/>
  <c r="HK91" i="13" s="1"/>
  <c r="HH92" i="13"/>
  <c r="HI92" i="13" s="1"/>
  <c r="HJ92" i="13"/>
  <c r="HK92" i="13" s="1"/>
  <c r="HH93" i="13"/>
  <c r="HI93" i="13" s="1"/>
  <c r="HJ93" i="13"/>
  <c r="HK93" i="13" s="1"/>
  <c r="HH94" i="13"/>
  <c r="HI94" i="13" s="1"/>
  <c r="HJ94" i="13"/>
  <c r="HK94" i="13" s="1"/>
  <c r="HH95" i="13"/>
  <c r="HI95" i="13" s="1"/>
  <c r="HJ95" i="13"/>
  <c r="HK95" i="13" s="1"/>
  <c r="HH96" i="13"/>
  <c r="HI96" i="13" s="1"/>
  <c r="HJ96" i="13"/>
  <c r="HK96" i="13" s="1"/>
  <c r="HH97" i="13"/>
  <c r="HI97" i="13" s="1"/>
  <c r="HJ97" i="13"/>
  <c r="HK97" i="13" s="1"/>
  <c r="HH98" i="13"/>
  <c r="HI98" i="13" s="1"/>
  <c r="HJ98" i="13"/>
  <c r="HK98" i="13" s="1"/>
  <c r="HH99" i="13"/>
  <c r="HI99" i="13" s="1"/>
  <c r="HJ99" i="13"/>
  <c r="HK99" i="13" s="1"/>
  <c r="HH45" i="13"/>
  <c r="HI45" i="13" s="1"/>
  <c r="HJ45" i="13"/>
  <c r="HK45" i="13" s="1"/>
  <c r="HH46" i="13"/>
  <c r="HI46" i="13" s="1"/>
  <c r="HJ46" i="13"/>
  <c r="HK46" i="13" s="1"/>
  <c r="HH47" i="13"/>
  <c r="HI47" i="13" s="1"/>
  <c r="HJ47" i="13"/>
  <c r="HK47" i="13" s="1"/>
  <c r="HH48" i="13"/>
  <c r="HI48" i="13" s="1"/>
  <c r="HJ48" i="13"/>
  <c r="HK48" i="13" s="1"/>
  <c r="HH49" i="13"/>
  <c r="HI49" i="13" s="1"/>
  <c r="HJ49" i="13"/>
  <c r="HK49" i="13" s="1"/>
  <c r="HH50" i="13"/>
  <c r="HI50" i="13" s="1"/>
  <c r="HJ50" i="13"/>
  <c r="HK50" i="13" s="1"/>
  <c r="HH51" i="13"/>
  <c r="HI51" i="13" s="1"/>
  <c r="HJ51" i="13"/>
  <c r="HK51" i="13" s="1"/>
  <c r="HI52" i="13"/>
  <c r="HJ52" i="13"/>
  <c r="HK52" i="13" s="1"/>
  <c r="HH53" i="13"/>
  <c r="HI53" i="13" s="1"/>
  <c r="HJ53" i="13"/>
  <c r="HK53" i="13" s="1"/>
  <c r="HH54" i="13"/>
  <c r="HI54" i="13" s="1"/>
  <c r="HJ54" i="13"/>
  <c r="HK54" i="13" s="1"/>
  <c r="HH9" i="13"/>
  <c r="HI9" i="13" s="1"/>
  <c r="BS5" i="13"/>
  <c r="AE44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84" i="8"/>
  <c r="AD85" i="8"/>
  <c r="AD86" i="8"/>
  <c r="AD87" i="8"/>
  <c r="AD88" i="8"/>
  <c r="AD89" i="8"/>
  <c r="AD90" i="8"/>
  <c r="AD91" i="8"/>
  <c r="AD92" i="8"/>
  <c r="AD93" i="8"/>
  <c r="AE87" i="8"/>
  <c r="AE88" i="8"/>
  <c r="AE89" i="8"/>
  <c r="AE90" i="8"/>
  <c r="AE91" i="8"/>
  <c r="AE92" i="8"/>
  <c r="AE93" i="8"/>
  <c r="AE94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84" i="8"/>
  <c r="AE85" i="8"/>
  <c r="AE86" i="8"/>
  <c r="Z474" i="5"/>
  <c r="AA473" i="5"/>
  <c r="V473" i="5"/>
  <c r="Y473" i="5" s="1"/>
  <c r="AA472" i="5"/>
  <c r="Z472" i="5"/>
  <c r="V472" i="5"/>
  <c r="Y472" i="5" s="1"/>
  <c r="AA471" i="5"/>
  <c r="Z471" i="5"/>
  <c r="V471" i="5"/>
  <c r="Y471" i="5" s="1"/>
  <c r="T471" i="5"/>
  <c r="T472" i="5"/>
  <c r="T473" i="5"/>
  <c r="T474" i="5"/>
  <c r="Y474" i="5"/>
  <c r="AI474" i="5"/>
  <c r="AJ474" i="5" s="1"/>
  <c r="Z470" i="5"/>
  <c r="AI470" i="5"/>
  <c r="AJ470" i="5" s="1"/>
  <c r="AA468" i="5"/>
  <c r="AA463" i="5"/>
  <c r="Z468" i="5"/>
  <c r="O468" i="5"/>
  <c r="T468" i="5" s="1"/>
  <c r="AA469" i="5"/>
  <c r="AI469" i="5" s="1"/>
  <c r="AJ469" i="5" s="1"/>
  <c r="Z469" i="5"/>
  <c r="Y469" i="5"/>
  <c r="O469" i="5"/>
  <c r="T469" i="5" s="1"/>
  <c r="Y468" i="5"/>
  <c r="AJ83" i="7"/>
  <c r="AE43" i="8"/>
  <c r="HJ10" i="13"/>
  <c r="HK10" i="13" s="1"/>
  <c r="HJ11" i="13"/>
  <c r="HK11" i="13" s="1"/>
  <c r="HJ12" i="13"/>
  <c r="HK12" i="13" s="1"/>
  <c r="HJ13" i="13"/>
  <c r="HK13" i="13" s="1"/>
  <c r="HJ14" i="13"/>
  <c r="HK14" i="13" s="1"/>
  <c r="HJ15" i="13"/>
  <c r="HK15" i="13" s="1"/>
  <c r="HJ16" i="13"/>
  <c r="HK16" i="13" s="1"/>
  <c r="HJ17" i="13"/>
  <c r="HK17" i="13" s="1"/>
  <c r="HJ18" i="13"/>
  <c r="HK18" i="13" s="1"/>
  <c r="HJ19" i="13"/>
  <c r="HK19" i="13" s="1"/>
  <c r="HJ20" i="13"/>
  <c r="HK20" i="13" s="1"/>
  <c r="HJ21" i="13"/>
  <c r="HK21" i="13" s="1"/>
  <c r="HJ22" i="13"/>
  <c r="HK22" i="13" s="1"/>
  <c r="HJ23" i="13"/>
  <c r="HK23" i="13" s="1"/>
  <c r="HJ24" i="13"/>
  <c r="HK24" i="13" s="1"/>
  <c r="HJ25" i="13"/>
  <c r="HK25" i="13" s="1"/>
  <c r="HJ26" i="13"/>
  <c r="HK26" i="13" s="1"/>
  <c r="HJ27" i="13"/>
  <c r="HK27" i="13" s="1"/>
  <c r="HJ28" i="13"/>
  <c r="HK28" i="13" s="1"/>
  <c r="HJ29" i="13"/>
  <c r="HK29" i="13" s="1"/>
  <c r="HJ30" i="13"/>
  <c r="HK30" i="13" s="1"/>
  <c r="HJ31" i="13"/>
  <c r="HK31" i="13" s="1"/>
  <c r="HJ32" i="13"/>
  <c r="HK32" i="13" s="1"/>
  <c r="HJ33" i="13"/>
  <c r="HK33" i="13" s="1"/>
  <c r="HJ34" i="13"/>
  <c r="HK34" i="13" s="1"/>
  <c r="HJ35" i="13"/>
  <c r="HK35" i="13" s="1"/>
  <c r="HJ36" i="13"/>
  <c r="HK36" i="13" s="1"/>
  <c r="HJ37" i="13"/>
  <c r="HK37" i="13" s="1"/>
  <c r="HJ38" i="13"/>
  <c r="HK38" i="13" s="1"/>
  <c r="HJ39" i="13"/>
  <c r="HK39" i="13" s="1"/>
  <c r="HJ40" i="13"/>
  <c r="HK40" i="13" s="1"/>
  <c r="HJ41" i="13"/>
  <c r="HK41" i="13" s="1"/>
  <c r="HJ42" i="13"/>
  <c r="HK42" i="13" s="1"/>
  <c r="HJ43" i="13"/>
  <c r="HK43" i="13" s="1"/>
  <c r="HJ44" i="13"/>
  <c r="HK44" i="13" s="1"/>
  <c r="HJ55" i="13"/>
  <c r="HK55" i="13" s="1"/>
  <c r="HJ56" i="13"/>
  <c r="HK56" i="13" s="1"/>
  <c r="HJ57" i="13"/>
  <c r="HK57" i="13" s="1"/>
  <c r="HJ58" i="13"/>
  <c r="HK58" i="13" s="1"/>
  <c r="HJ59" i="13"/>
  <c r="HK59" i="13" s="1"/>
  <c r="HJ60" i="13"/>
  <c r="HK60" i="13" s="1"/>
  <c r="HJ61" i="13"/>
  <c r="HK61" i="13" s="1"/>
  <c r="HJ62" i="13"/>
  <c r="HK62" i="13" s="1"/>
  <c r="HJ63" i="13"/>
  <c r="HK63" i="13" s="1"/>
  <c r="HJ64" i="13"/>
  <c r="HK64" i="13" s="1"/>
  <c r="HJ65" i="13"/>
  <c r="HK65" i="13" s="1"/>
  <c r="HJ66" i="13"/>
  <c r="HK66" i="13" s="1"/>
  <c r="HJ67" i="13"/>
  <c r="HK67" i="13" s="1"/>
  <c r="HJ68" i="13"/>
  <c r="HK68" i="13" s="1"/>
  <c r="HJ69" i="13"/>
  <c r="HK69" i="13" s="1"/>
  <c r="HJ70" i="13"/>
  <c r="HK70" i="13" s="1"/>
  <c r="HJ71" i="13"/>
  <c r="HK71" i="13" s="1"/>
  <c r="HJ72" i="13"/>
  <c r="HK72" i="13" s="1"/>
  <c r="HJ73" i="13"/>
  <c r="HK73" i="13" s="1"/>
  <c r="HJ74" i="13"/>
  <c r="HK74" i="13" s="1"/>
  <c r="HJ75" i="13"/>
  <c r="HK75" i="13" s="1"/>
  <c r="HJ76" i="13"/>
  <c r="HK76" i="13" s="1"/>
  <c r="HJ77" i="13"/>
  <c r="HK77" i="13" s="1"/>
  <c r="HJ78" i="13"/>
  <c r="HK78" i="13" s="1"/>
  <c r="HJ79" i="13"/>
  <c r="HK79" i="13" s="1"/>
  <c r="HJ80" i="13"/>
  <c r="HK80" i="13" s="1"/>
  <c r="HJ81" i="13"/>
  <c r="HK81" i="13" s="1"/>
  <c r="HJ82" i="13"/>
  <c r="HK82" i="13" s="1"/>
  <c r="HJ83" i="13"/>
  <c r="HK83" i="13" s="1"/>
  <c r="HJ84" i="13"/>
  <c r="HK84" i="13" s="1"/>
  <c r="HJ9" i="13"/>
  <c r="HK9" i="13" s="1"/>
  <c r="HH55" i="13"/>
  <c r="HI55" i="13" s="1"/>
  <c r="HH56" i="13"/>
  <c r="HI56" i="13" s="1"/>
  <c r="HH57" i="13"/>
  <c r="HI57" i="13" s="1"/>
  <c r="HH58" i="13"/>
  <c r="HI58" i="13" s="1"/>
  <c r="HH59" i="13"/>
  <c r="HI59" i="13" s="1"/>
  <c r="HH60" i="13"/>
  <c r="HI60" i="13" s="1"/>
  <c r="HH61" i="13"/>
  <c r="HI61" i="13" s="1"/>
  <c r="HH62" i="13"/>
  <c r="HI62" i="13" s="1"/>
  <c r="HH63" i="13"/>
  <c r="HI63" i="13" s="1"/>
  <c r="HH64" i="13"/>
  <c r="HI64" i="13" s="1"/>
  <c r="HH65" i="13"/>
  <c r="HI65" i="13" s="1"/>
  <c r="HH66" i="13"/>
  <c r="HI66" i="13" s="1"/>
  <c r="HH67" i="13"/>
  <c r="HI67" i="13" s="1"/>
  <c r="HH68" i="13"/>
  <c r="HI68" i="13" s="1"/>
  <c r="HH69" i="13"/>
  <c r="HI69" i="13" s="1"/>
  <c r="HH70" i="13"/>
  <c r="HI70" i="13" s="1"/>
  <c r="HH71" i="13"/>
  <c r="HI71" i="13" s="1"/>
  <c r="HH72" i="13"/>
  <c r="HI72" i="13" s="1"/>
  <c r="HH73" i="13"/>
  <c r="HI73" i="13" s="1"/>
  <c r="HH74" i="13"/>
  <c r="HI74" i="13" s="1"/>
  <c r="HH75" i="13"/>
  <c r="HI75" i="13" s="1"/>
  <c r="HH76" i="13"/>
  <c r="HI76" i="13" s="1"/>
  <c r="HH77" i="13"/>
  <c r="HI77" i="13" s="1"/>
  <c r="HH78" i="13"/>
  <c r="HI78" i="13" s="1"/>
  <c r="HH79" i="13"/>
  <c r="HI79" i="13" s="1"/>
  <c r="HH80" i="13"/>
  <c r="HI80" i="13" s="1"/>
  <c r="HH81" i="13"/>
  <c r="HI81" i="13" s="1"/>
  <c r="HH82" i="13"/>
  <c r="HI82" i="13" s="1"/>
  <c r="HH83" i="13"/>
  <c r="HI83" i="13" s="1"/>
  <c r="HH84" i="13"/>
  <c r="HI84" i="13" s="1"/>
  <c r="HH10" i="13"/>
  <c r="HI10" i="13" s="1"/>
  <c r="HH11" i="13"/>
  <c r="HI11" i="13" s="1"/>
  <c r="HH12" i="13"/>
  <c r="HI12" i="13" s="1"/>
  <c r="HH13" i="13"/>
  <c r="HI13" i="13" s="1"/>
  <c r="HH14" i="13"/>
  <c r="HI14" i="13" s="1"/>
  <c r="HH15" i="13"/>
  <c r="HI15" i="13" s="1"/>
  <c r="HH16" i="13"/>
  <c r="HI16" i="13" s="1"/>
  <c r="HH17" i="13"/>
  <c r="HI17" i="13" s="1"/>
  <c r="HH18" i="13"/>
  <c r="HI18" i="13" s="1"/>
  <c r="HH19" i="13"/>
  <c r="HI19" i="13" s="1"/>
  <c r="HH20" i="13"/>
  <c r="HI20" i="13" s="1"/>
  <c r="HH21" i="13"/>
  <c r="HI21" i="13" s="1"/>
  <c r="HH22" i="13"/>
  <c r="HI22" i="13" s="1"/>
  <c r="HH23" i="13"/>
  <c r="HI23" i="13" s="1"/>
  <c r="HH24" i="13"/>
  <c r="HI24" i="13" s="1"/>
  <c r="HH25" i="13"/>
  <c r="HI25" i="13" s="1"/>
  <c r="HH26" i="13"/>
  <c r="HI26" i="13" s="1"/>
  <c r="HH27" i="13"/>
  <c r="HI27" i="13" s="1"/>
  <c r="HH28" i="13"/>
  <c r="HI28" i="13" s="1"/>
  <c r="HH29" i="13"/>
  <c r="HI29" i="13" s="1"/>
  <c r="HH30" i="13"/>
  <c r="HI30" i="13" s="1"/>
  <c r="HH31" i="13"/>
  <c r="HI31" i="13" s="1"/>
  <c r="HH32" i="13"/>
  <c r="HI32" i="13" s="1"/>
  <c r="HH33" i="13"/>
  <c r="HI33" i="13" s="1"/>
  <c r="HH34" i="13"/>
  <c r="HI34" i="13" s="1"/>
  <c r="HH35" i="13"/>
  <c r="HI35" i="13" s="1"/>
  <c r="HH36" i="13"/>
  <c r="HI36" i="13" s="1"/>
  <c r="HH37" i="13"/>
  <c r="HI37" i="13" s="1"/>
  <c r="HH38" i="13"/>
  <c r="HI38" i="13" s="1"/>
  <c r="HH39" i="13"/>
  <c r="HI39" i="13" s="1"/>
  <c r="HH40" i="13"/>
  <c r="HI40" i="13" s="1"/>
  <c r="HH41" i="13"/>
  <c r="HI41" i="13" s="1"/>
  <c r="HH42" i="13"/>
  <c r="HI42" i="13" s="1"/>
  <c r="HH43" i="13"/>
  <c r="HI43" i="13" s="1"/>
  <c r="HH44" i="13"/>
  <c r="HI44" i="13" s="1"/>
  <c r="Z109" i="5"/>
  <c r="AE109" i="5" s="1"/>
  <c r="AA467" i="5"/>
  <c r="V467" i="5"/>
  <c r="Y467" i="5" s="1"/>
  <c r="Z467" i="5"/>
  <c r="Z463" i="5"/>
  <c r="Z462" i="5"/>
  <c r="V463" i="5"/>
  <c r="Y463" i="5" s="1"/>
  <c r="AA462" i="5"/>
  <c r="V462" i="5"/>
  <c r="Y462" i="5" s="1"/>
  <c r="T462" i="5"/>
  <c r="T463" i="5"/>
  <c r="T467" i="5"/>
  <c r="T109" i="5"/>
  <c r="Y109" i="5"/>
  <c r="AI109" i="5"/>
  <c r="AJ109" i="5" s="1"/>
  <c r="Z465" i="5"/>
  <c r="Y465" i="5"/>
  <c r="Z460" i="5"/>
  <c r="O461" i="5"/>
  <c r="T461" i="5" s="1"/>
  <c r="Z461" i="5"/>
  <c r="T460" i="5"/>
  <c r="Y460" i="5"/>
  <c r="Y461" i="5"/>
  <c r="AI460" i="5"/>
  <c r="AJ460" i="5" s="1"/>
  <c r="AI461" i="5"/>
  <c r="AJ461" i="5" s="1"/>
  <c r="AI465" i="5"/>
  <c r="AJ465" i="5" s="1"/>
  <c r="AE41" i="8"/>
  <c r="AE42" i="8"/>
  <c r="AJ82" i="7"/>
  <c r="BF66" i="7"/>
  <c r="BG66" i="7" s="1"/>
  <c r="BF67" i="7"/>
  <c r="BG67" i="7" s="1"/>
  <c r="BF68" i="7"/>
  <c r="BG68" i="7" s="1"/>
  <c r="BF69" i="7"/>
  <c r="BG69" i="7" s="1"/>
  <c r="BF70" i="7"/>
  <c r="BG70" i="7" s="1"/>
  <c r="BD11" i="13"/>
  <c r="BE11" i="13"/>
  <c r="BD12" i="13"/>
  <c r="BE12" i="13"/>
  <c r="BD13" i="13"/>
  <c r="BE13" i="13"/>
  <c r="BD14" i="13"/>
  <c r="BE14" i="13"/>
  <c r="BD15" i="13"/>
  <c r="BE15" i="13"/>
  <c r="BD16" i="13"/>
  <c r="BE16" i="13"/>
  <c r="BD17" i="13"/>
  <c r="BE17" i="13"/>
  <c r="AJ81" i="7"/>
  <c r="Z464" i="5"/>
  <c r="Z453" i="5"/>
  <c r="AE453" i="5" s="1"/>
  <c r="Z458" i="5"/>
  <c r="O458" i="5"/>
  <c r="T458" i="5" s="1"/>
  <c r="AA459" i="5"/>
  <c r="AI459" i="5" s="1"/>
  <c r="AJ459" i="5" s="1"/>
  <c r="Y459" i="5"/>
  <c r="Z459" i="5"/>
  <c r="O459" i="5"/>
  <c r="T459" i="5" s="1"/>
  <c r="Y458" i="5"/>
  <c r="Y464" i="5"/>
  <c r="AI458" i="5"/>
  <c r="AJ458" i="5" s="1"/>
  <c r="AI464" i="5"/>
  <c r="AJ464" i="5" s="1"/>
  <c r="AE108" i="5"/>
  <c r="V466" i="5"/>
  <c r="V457" i="5"/>
  <c r="AI457" i="5" s="1"/>
  <c r="AJ457" i="5" s="1"/>
  <c r="Z466" i="5"/>
  <c r="AE466" i="5" s="1"/>
  <c r="Z457" i="5"/>
  <c r="Z456" i="5"/>
  <c r="V456" i="5"/>
  <c r="Y456" i="5" s="1"/>
  <c r="T456" i="5"/>
  <c r="T457" i="5"/>
  <c r="T466" i="5"/>
  <c r="T108" i="5"/>
  <c r="Y108" i="5"/>
  <c r="AI108" i="5"/>
  <c r="AJ108" i="5" s="1"/>
  <c r="Z430" i="5"/>
  <c r="AG430" i="5" s="1"/>
  <c r="AH430" i="5" s="1"/>
  <c r="Z438" i="5"/>
  <c r="AE438" i="5" s="1"/>
  <c r="AJ80" i="7"/>
  <c r="AJ27" i="7"/>
  <c r="BE10" i="13"/>
  <c r="Z441" i="5"/>
  <c r="Z452" i="5"/>
  <c r="Z451" i="5"/>
  <c r="T451" i="5"/>
  <c r="T452" i="5"/>
  <c r="Y451" i="5"/>
  <c r="Y452" i="5"/>
  <c r="Y453" i="5"/>
  <c r="AI451" i="5"/>
  <c r="AJ451" i="5" s="1"/>
  <c r="AI452" i="5"/>
  <c r="AJ452" i="5" s="1"/>
  <c r="AI453" i="5"/>
  <c r="AJ453" i="5" s="1"/>
  <c r="Z450" i="5"/>
  <c r="V449" i="5"/>
  <c r="Y449" i="5" s="1"/>
  <c r="AA448" i="5"/>
  <c r="V448" i="5"/>
  <c r="Y448" i="5" s="1"/>
  <c r="AA447" i="5"/>
  <c r="Z449" i="5"/>
  <c r="Z448" i="5"/>
  <c r="Z447" i="5"/>
  <c r="V447" i="5"/>
  <c r="Y447" i="5" s="1"/>
  <c r="T447" i="5"/>
  <c r="T448" i="5"/>
  <c r="T449" i="5"/>
  <c r="T450" i="5"/>
  <c r="Y450" i="5"/>
  <c r="AI450" i="5"/>
  <c r="AJ450" i="5" s="1"/>
  <c r="L2" i="8"/>
  <c r="L3" i="8"/>
  <c r="AK4" i="8"/>
  <c r="AI439" i="5"/>
  <c r="AJ439" i="5" s="1"/>
  <c r="Z446" i="5"/>
  <c r="Z445" i="5"/>
  <c r="AE445" i="5" s="1"/>
  <c r="V444" i="5"/>
  <c r="Y444" i="5" s="1"/>
  <c r="V443" i="5"/>
  <c r="Y443" i="5" s="1"/>
  <c r="Z444" i="5"/>
  <c r="AE444" i="5" s="1"/>
  <c r="Z443" i="5"/>
  <c r="Z442" i="5"/>
  <c r="V442" i="5"/>
  <c r="AI442" i="5" s="1"/>
  <c r="AJ442" i="5" s="1"/>
  <c r="T442" i="5"/>
  <c r="T443" i="5"/>
  <c r="T444" i="5"/>
  <c r="T445" i="5"/>
  <c r="T446" i="5"/>
  <c r="Y445" i="5"/>
  <c r="Y446" i="5"/>
  <c r="AI445" i="5"/>
  <c r="AJ445" i="5" s="1"/>
  <c r="AI446" i="5"/>
  <c r="AJ446" i="5" s="1"/>
  <c r="AJ79" i="7"/>
  <c r="Z440" i="5"/>
  <c r="Z439" i="5"/>
  <c r="AI440" i="5"/>
  <c r="AJ440" i="5" s="1"/>
  <c r="AI441" i="5"/>
  <c r="AJ441" i="5" s="1"/>
  <c r="Y439" i="5"/>
  <c r="Y440" i="5"/>
  <c r="Y441" i="5"/>
  <c r="T439" i="5"/>
  <c r="T440" i="5"/>
  <c r="AE9" i="8"/>
  <c r="AE10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8" i="8"/>
  <c r="AT2" i="7" a="1"/>
  <c r="AT2" i="7" s="1"/>
  <c r="AJ74" i="7"/>
  <c r="AJ75" i="7"/>
  <c r="AJ76" i="7"/>
  <c r="AJ77" i="7"/>
  <c r="AJ78" i="7"/>
  <c r="Z437" i="5"/>
  <c r="Z436" i="5"/>
  <c r="V435" i="5"/>
  <c r="T436" i="5"/>
  <c r="T437" i="5"/>
  <c r="T438" i="5"/>
  <c r="Y436" i="5"/>
  <c r="Y437" i="5"/>
  <c r="Y438" i="5"/>
  <c r="AI436" i="5"/>
  <c r="AJ436" i="5" s="1"/>
  <c r="AI437" i="5"/>
  <c r="AJ437" i="5" s="1"/>
  <c r="AI438" i="5"/>
  <c r="AJ438" i="5" s="1"/>
  <c r="Z435" i="5"/>
  <c r="AE435" i="5" s="1"/>
  <c r="Z434" i="5"/>
  <c r="AE434" i="5" s="1"/>
  <c r="X435" i="5"/>
  <c r="X434" i="5"/>
  <c r="Y434" i="5" s="1"/>
  <c r="T434" i="5"/>
  <c r="T435" i="5"/>
  <c r="AI434" i="5"/>
  <c r="AJ434" i="5" s="1"/>
  <c r="V433" i="5"/>
  <c r="Y433" i="5" s="1"/>
  <c r="V432" i="5"/>
  <c r="AI432" i="5" s="1"/>
  <c r="AJ432" i="5" s="1"/>
  <c r="T432" i="5"/>
  <c r="Z433" i="5"/>
  <c r="AE433" i="5" s="1"/>
  <c r="Z432" i="5"/>
  <c r="Z431" i="5"/>
  <c r="V431" i="5"/>
  <c r="AI431" i="5" s="1"/>
  <c r="AJ431" i="5" s="1"/>
  <c r="T431" i="5"/>
  <c r="T433" i="5"/>
  <c r="U94" i="7"/>
  <c r="Y405" i="5"/>
  <c r="Z428" i="5"/>
  <c r="Y423" i="5"/>
  <c r="Y430" i="5"/>
  <c r="AI430" i="5"/>
  <c r="AJ430" i="5" s="1"/>
  <c r="Z429" i="5"/>
  <c r="Y428" i="5"/>
  <c r="T428" i="5"/>
  <c r="T429" i="5"/>
  <c r="Y429" i="5"/>
  <c r="AI428" i="5"/>
  <c r="AJ428" i="5" s="1"/>
  <c r="AI429" i="5"/>
  <c r="AJ429" i="5" s="1"/>
  <c r="AA427" i="5"/>
  <c r="V427" i="5"/>
  <c r="Y427" i="5" s="1"/>
  <c r="AA426" i="5"/>
  <c r="V426" i="5"/>
  <c r="Y426" i="5" s="1"/>
  <c r="AA425" i="5"/>
  <c r="V425" i="5"/>
  <c r="Y425" i="5" s="1"/>
  <c r="Z427" i="5"/>
  <c r="Z426" i="5"/>
  <c r="Z425" i="5"/>
  <c r="T425" i="5"/>
  <c r="T426" i="5"/>
  <c r="T427" i="5"/>
  <c r="CI30" i="7"/>
  <c r="CI24" i="7"/>
  <c r="CI20" i="7"/>
  <c r="BF65" i="7"/>
  <c r="Y424" i="5"/>
  <c r="M424" i="5"/>
  <c r="Z424" i="5" s="1"/>
  <c r="M423" i="5"/>
  <c r="Z423" i="5" s="1"/>
  <c r="AE423" i="5" s="1"/>
  <c r="T424" i="5"/>
  <c r="AE408" i="5"/>
  <c r="Y408" i="5"/>
  <c r="T423" i="5"/>
  <c r="AA422" i="5"/>
  <c r="AA421" i="5"/>
  <c r="V422" i="5"/>
  <c r="Y422" i="5" s="1"/>
  <c r="V421" i="5"/>
  <c r="Y421" i="5" s="1"/>
  <c r="O422" i="5"/>
  <c r="O421" i="5"/>
  <c r="N422" i="5"/>
  <c r="N421" i="5"/>
  <c r="M422" i="5"/>
  <c r="Z422" i="5" s="1"/>
  <c r="M421" i="5"/>
  <c r="Z421" i="5" s="1"/>
  <c r="AB420" i="5"/>
  <c r="AA420" i="5"/>
  <c r="AA419" i="5"/>
  <c r="V420" i="5"/>
  <c r="Y420" i="5" s="1"/>
  <c r="V419" i="5"/>
  <c r="Y419" i="5" s="1"/>
  <c r="O420" i="5"/>
  <c r="N420" i="5"/>
  <c r="M420" i="5"/>
  <c r="Z420" i="5" s="1"/>
  <c r="AB419" i="5"/>
  <c r="O419" i="5"/>
  <c r="N419" i="5"/>
  <c r="M419" i="5"/>
  <c r="Z419" i="5" s="1"/>
  <c r="AA418" i="5"/>
  <c r="V418" i="5"/>
  <c r="V417" i="5"/>
  <c r="U418" i="5"/>
  <c r="U416" i="5"/>
  <c r="U415" i="5"/>
  <c r="U417" i="5"/>
  <c r="O418" i="5"/>
  <c r="N418" i="5"/>
  <c r="M418" i="5"/>
  <c r="Z418" i="5" s="1"/>
  <c r="AA416" i="5"/>
  <c r="V416" i="5"/>
  <c r="V415" i="5"/>
  <c r="O416" i="5"/>
  <c r="N416" i="5"/>
  <c r="M416" i="5"/>
  <c r="Z416" i="5" s="1"/>
  <c r="AA415" i="5"/>
  <c r="O415" i="5"/>
  <c r="N415" i="5"/>
  <c r="M415" i="5"/>
  <c r="Z415" i="5" s="1"/>
  <c r="AA417" i="5"/>
  <c r="O417" i="5"/>
  <c r="N417" i="5"/>
  <c r="M417" i="5"/>
  <c r="Z417" i="5" s="1"/>
  <c r="V414" i="5"/>
  <c r="V411" i="5"/>
  <c r="V413" i="5"/>
  <c r="AI413" i="5" s="1"/>
  <c r="AJ413" i="5" s="1"/>
  <c r="U413" i="5"/>
  <c r="V412" i="5"/>
  <c r="AI412" i="5" s="1"/>
  <c r="AJ412" i="5" s="1"/>
  <c r="U412" i="5"/>
  <c r="V410" i="5"/>
  <c r="AI410" i="5" s="1"/>
  <c r="AJ410" i="5" s="1"/>
  <c r="U410" i="5"/>
  <c r="Z414" i="5"/>
  <c r="AE414" i="5" s="1"/>
  <c r="Z413" i="5"/>
  <c r="Z412" i="5"/>
  <c r="Z411" i="5"/>
  <c r="AE411" i="5" s="1"/>
  <c r="Z410" i="5"/>
  <c r="Z409" i="5"/>
  <c r="V409" i="5"/>
  <c r="AI409" i="5" s="1"/>
  <c r="AJ409" i="5" s="1"/>
  <c r="U409" i="5"/>
  <c r="T412" i="5"/>
  <c r="T413" i="5"/>
  <c r="T414" i="5"/>
  <c r="T409" i="5"/>
  <c r="T410" i="5"/>
  <c r="T411" i="5"/>
  <c r="O369" i="5"/>
  <c r="T369" i="5" s="1"/>
  <c r="M369" i="5"/>
  <c r="Z369" i="5" s="1"/>
  <c r="AE369" i="5" s="1"/>
  <c r="O382" i="5"/>
  <c r="T382" i="5" s="1"/>
  <c r="M382" i="5"/>
  <c r="Z382" i="5" s="1"/>
  <c r="O380" i="5"/>
  <c r="T380" i="5" s="1"/>
  <c r="M380" i="5"/>
  <c r="Z380" i="5" s="1"/>
  <c r="AI380" i="5"/>
  <c r="AJ380" i="5" s="1"/>
  <c r="Y380" i="5"/>
  <c r="V369" i="5"/>
  <c r="Y369" i="5" s="1"/>
  <c r="V370" i="5"/>
  <c r="M370" i="5"/>
  <c r="Z370" i="5" s="1"/>
  <c r="T370" i="5"/>
  <c r="AJ60" i="7"/>
  <c r="AJ54" i="7"/>
  <c r="AJ48" i="7"/>
  <c r="AJ47" i="7"/>
  <c r="AJ19" i="7"/>
  <c r="AJ26" i="7"/>
  <c r="AJ25" i="7"/>
  <c r="AJ24" i="7"/>
  <c r="AJ23" i="7"/>
  <c r="AJ22" i="7"/>
  <c r="AJ21" i="7"/>
  <c r="AJ20" i="7"/>
  <c r="AJ18" i="7"/>
  <c r="AJ17" i="7"/>
  <c r="AJ16" i="7"/>
  <c r="AJ15" i="7"/>
  <c r="AJ14" i="7"/>
  <c r="AJ13" i="7"/>
  <c r="AJ8" i="7"/>
  <c r="AJ9" i="7"/>
  <c r="AJ10" i="7"/>
  <c r="AJ11" i="7"/>
  <c r="AJ12" i="7"/>
  <c r="AJ7" i="7"/>
  <c r="BF64" i="7"/>
  <c r="BF54" i="7"/>
  <c r="BH54" i="7" s="1"/>
  <c r="BI54" i="7" s="1"/>
  <c r="BF63" i="7"/>
  <c r="AJ49" i="7"/>
  <c r="AJ50" i="7"/>
  <c r="AJ51" i="7"/>
  <c r="AJ52" i="7"/>
  <c r="AJ53" i="7"/>
  <c r="AJ55" i="7"/>
  <c r="AJ56" i="7"/>
  <c r="AJ57" i="7"/>
  <c r="AJ58" i="7"/>
  <c r="AJ59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123" i="7"/>
  <c r="Z393" i="5"/>
  <c r="AI393" i="5"/>
  <c r="AJ393" i="5" s="1"/>
  <c r="Y393" i="5"/>
  <c r="T393" i="5"/>
  <c r="T404" i="5"/>
  <c r="AI408" i="5"/>
  <c r="AJ408" i="5" s="1"/>
  <c r="T408" i="5"/>
  <c r="AG408" i="5" s="1"/>
  <c r="AH408" i="5" s="1"/>
  <c r="Z407" i="5"/>
  <c r="AE407" i="5" s="1"/>
  <c r="V407" i="5"/>
  <c r="Y407" i="5" s="1"/>
  <c r="Z406" i="5"/>
  <c r="V406" i="5"/>
  <c r="Y406" i="5" s="1"/>
  <c r="Z404" i="5"/>
  <c r="Z405" i="5"/>
  <c r="T405" i="5"/>
  <c r="T406" i="5"/>
  <c r="T407" i="5"/>
  <c r="Y404" i="5"/>
  <c r="AI404" i="5"/>
  <c r="AJ404" i="5" s="1"/>
  <c r="AI405" i="5"/>
  <c r="AJ405" i="5" s="1"/>
  <c r="V403" i="5"/>
  <c r="Y403" i="5" s="1"/>
  <c r="Z403" i="5"/>
  <c r="Z402" i="5"/>
  <c r="V402" i="5"/>
  <c r="AI402" i="5" s="1"/>
  <c r="AJ402" i="5" s="1"/>
  <c r="T402" i="5"/>
  <c r="T403" i="5"/>
  <c r="BF62" i="7"/>
  <c r="BH62" i="7" s="1"/>
  <c r="BI62" i="7" s="1"/>
  <c r="Z398" i="5"/>
  <c r="AE398" i="5" s="1"/>
  <c r="Z401" i="5"/>
  <c r="V401" i="5"/>
  <c r="Y401" i="5" s="1"/>
  <c r="AI424" i="5"/>
  <c r="AJ424" i="5" s="1"/>
  <c r="AI423" i="5"/>
  <c r="AJ423" i="5" s="1"/>
  <c r="Z400" i="5"/>
  <c r="V400" i="5"/>
  <c r="AI400" i="5" s="1"/>
  <c r="AJ400" i="5" s="1"/>
  <c r="T400" i="5"/>
  <c r="T401" i="5"/>
  <c r="Z399" i="5"/>
  <c r="AE399" i="5" s="1"/>
  <c r="V399" i="5"/>
  <c r="AI399" i="5" s="1"/>
  <c r="AJ399" i="5" s="1"/>
  <c r="Z395" i="5"/>
  <c r="Z392" i="5"/>
  <c r="AE392" i="5" s="1"/>
  <c r="Z397" i="5"/>
  <c r="O397" i="5"/>
  <c r="T397" i="5" s="1"/>
  <c r="Z396" i="5"/>
  <c r="O396" i="5"/>
  <c r="T396" i="5" s="1"/>
  <c r="AI396" i="5"/>
  <c r="AJ396" i="5" s="1"/>
  <c r="AI397" i="5"/>
  <c r="AJ397" i="5" s="1"/>
  <c r="AI398" i="5"/>
  <c r="AJ398" i="5" s="1"/>
  <c r="Y396" i="5"/>
  <c r="Y397" i="5"/>
  <c r="Y398" i="5"/>
  <c r="T398" i="5"/>
  <c r="T399" i="5"/>
  <c r="AK6" i="7"/>
  <c r="AJ6" i="7"/>
  <c r="V387" i="5"/>
  <c r="AI387" i="5" s="1"/>
  <c r="AJ387" i="5" s="1"/>
  <c r="V388" i="5"/>
  <c r="Y388" i="5" s="1"/>
  <c r="H4" i="8"/>
  <c r="BF60" i="7"/>
  <c r="BH60" i="7" s="1"/>
  <c r="BI60" i="7" s="1"/>
  <c r="Z394" i="5"/>
  <c r="Z391" i="5"/>
  <c r="AE391" i="5" s="1"/>
  <c r="T395" i="5"/>
  <c r="Y395" i="5"/>
  <c r="AI395" i="5"/>
  <c r="AJ395" i="5" s="1"/>
  <c r="T391" i="5"/>
  <c r="T392" i="5"/>
  <c r="T394" i="5"/>
  <c r="Y391" i="5"/>
  <c r="Y392" i="5"/>
  <c r="Y394" i="5"/>
  <c r="AI391" i="5"/>
  <c r="AJ391" i="5" s="1"/>
  <c r="AI392" i="5"/>
  <c r="AJ392" i="5" s="1"/>
  <c r="AI394" i="5"/>
  <c r="AJ394" i="5" s="1"/>
  <c r="Z390" i="5"/>
  <c r="V389" i="5"/>
  <c r="Y389" i="5" s="1"/>
  <c r="Z389" i="5"/>
  <c r="O389" i="5"/>
  <c r="T389" i="5" s="1"/>
  <c r="T390" i="5"/>
  <c r="Y390" i="5"/>
  <c r="AI390" i="5"/>
  <c r="AJ390" i="5" s="1"/>
  <c r="Z388" i="5"/>
  <c r="Z387" i="5"/>
  <c r="T387" i="5"/>
  <c r="T388" i="5"/>
  <c r="BF61" i="7"/>
  <c r="BH61" i="7" s="1"/>
  <c r="BI61" i="7" s="1"/>
  <c r="BF59" i="7"/>
  <c r="BH59" i="7" s="1"/>
  <c r="BI59" i="7" s="1"/>
  <c r="BF58" i="7"/>
  <c r="BH58" i="7" s="1"/>
  <c r="BI58" i="7" s="1"/>
  <c r="BF56" i="7"/>
  <c r="BH56" i="7" s="1"/>
  <c r="BI56" i="7" s="1"/>
  <c r="BF55" i="7"/>
  <c r="U372" i="5"/>
  <c r="U371" i="5"/>
  <c r="AA372" i="5"/>
  <c r="AA371" i="5"/>
  <c r="Z386" i="5"/>
  <c r="Z385" i="5"/>
  <c r="AA379" i="5"/>
  <c r="AA381" i="5"/>
  <c r="V381" i="5"/>
  <c r="Y381" i="5" s="1"/>
  <c r="V379" i="5"/>
  <c r="Y379" i="5" s="1"/>
  <c r="O381" i="5"/>
  <c r="O379" i="5"/>
  <c r="N381" i="5"/>
  <c r="N379" i="5"/>
  <c r="M379" i="5"/>
  <c r="M381" i="5" s="1"/>
  <c r="Z381" i="5" s="1"/>
  <c r="Z377" i="5"/>
  <c r="AE377" i="5" s="1"/>
  <c r="V377" i="5"/>
  <c r="Y377" i="5" s="1"/>
  <c r="V378" i="5"/>
  <c r="O377" i="5"/>
  <c r="O378" i="5"/>
  <c r="N377" i="5"/>
  <c r="N378" i="5"/>
  <c r="M378" i="5"/>
  <c r="Z378" i="5" s="1"/>
  <c r="AE378" i="5" s="1"/>
  <c r="AB375" i="5"/>
  <c r="AB376" i="5"/>
  <c r="AA375" i="5"/>
  <c r="AA376" i="5"/>
  <c r="Z375" i="5"/>
  <c r="V375" i="5"/>
  <c r="Y375" i="5" s="1"/>
  <c r="V376" i="5"/>
  <c r="Y376" i="5" s="1"/>
  <c r="O375" i="5"/>
  <c r="O376" i="5"/>
  <c r="N376" i="5"/>
  <c r="N375" i="5"/>
  <c r="L375" i="5"/>
  <c r="L376" i="5"/>
  <c r="M376" i="5"/>
  <c r="Z376" i="5" s="1"/>
  <c r="AA373" i="5"/>
  <c r="AA374" i="5"/>
  <c r="Z374" i="5"/>
  <c r="Z373" i="5"/>
  <c r="V374" i="5"/>
  <c r="V373" i="5"/>
  <c r="U373" i="5"/>
  <c r="U374" i="5"/>
  <c r="O373" i="5"/>
  <c r="O374" i="5"/>
  <c r="N374" i="5"/>
  <c r="N373" i="5"/>
  <c r="Z372" i="5"/>
  <c r="Z371" i="5"/>
  <c r="V372" i="5"/>
  <c r="V371" i="5"/>
  <c r="O372" i="5"/>
  <c r="O371" i="5"/>
  <c r="V384" i="5"/>
  <c r="Y384" i="5" s="1"/>
  <c r="V383" i="5"/>
  <c r="Y383" i="5" s="1"/>
  <c r="N372" i="5"/>
  <c r="N371" i="5"/>
  <c r="V386" i="5"/>
  <c r="Y386" i="5" s="1"/>
  <c r="V385" i="5"/>
  <c r="AI385" i="5" s="1"/>
  <c r="AJ385" i="5" s="1"/>
  <c r="T385" i="5"/>
  <c r="T386" i="5"/>
  <c r="Z384" i="5"/>
  <c r="Z383" i="5"/>
  <c r="T383" i="5"/>
  <c r="T384" i="5"/>
  <c r="P365" i="5"/>
  <c r="T365" i="5" s="1"/>
  <c r="P364" i="5"/>
  <c r="T364" i="5" s="1"/>
  <c r="Y382" i="5"/>
  <c r="AI382" i="5"/>
  <c r="AJ382" i="5" s="1"/>
  <c r="Z366" i="5"/>
  <c r="Z357" i="5"/>
  <c r="Z336" i="5"/>
  <c r="AE336" i="5" s="1"/>
  <c r="Z339" i="5"/>
  <c r="AE339" i="5" s="1"/>
  <c r="Z346" i="5"/>
  <c r="AE346" i="5" s="1"/>
  <c r="Z360" i="5"/>
  <c r="AE360" i="5" s="1"/>
  <c r="Y346" i="5"/>
  <c r="BF57" i="7"/>
  <c r="BH57" i="7" s="1"/>
  <c r="BI57" i="7" s="1"/>
  <c r="Z368" i="5"/>
  <c r="AE368" i="5" s="1"/>
  <c r="Z367" i="5"/>
  <c r="Y367" i="5"/>
  <c r="T366" i="5"/>
  <c r="Z365" i="5"/>
  <c r="Z364" i="5"/>
  <c r="T367" i="5"/>
  <c r="T368" i="5"/>
  <c r="Y364" i="5"/>
  <c r="Y365" i="5"/>
  <c r="Y366" i="5"/>
  <c r="Y368" i="5"/>
  <c r="AI364" i="5"/>
  <c r="AJ364" i="5" s="1"/>
  <c r="AI365" i="5"/>
  <c r="AJ365" i="5" s="1"/>
  <c r="AI366" i="5"/>
  <c r="AJ366" i="5" s="1"/>
  <c r="AI367" i="5"/>
  <c r="AJ367" i="5" s="1"/>
  <c r="AI368" i="5"/>
  <c r="AJ368" i="5" s="1"/>
  <c r="V363" i="5"/>
  <c r="Y363" i="5" s="1"/>
  <c r="Z363" i="5"/>
  <c r="Z362" i="5"/>
  <c r="V362" i="5"/>
  <c r="Y362" i="5" s="1"/>
  <c r="T362" i="5"/>
  <c r="T363" i="5"/>
  <c r="Z354" i="5"/>
  <c r="Z353" i="5"/>
  <c r="AB267" i="5"/>
  <c r="AB257" i="5"/>
  <c r="AB249" i="5"/>
  <c r="AB208" i="5"/>
  <c r="AB199" i="5"/>
  <c r="AB330" i="5"/>
  <c r="AB316" i="5"/>
  <c r="AB329" i="5"/>
  <c r="AB314" i="5"/>
  <c r="AB315" i="5"/>
  <c r="AB310" i="5"/>
  <c r="AI310" i="5" s="1"/>
  <c r="AJ310" i="5" s="1"/>
  <c r="AB299" i="5"/>
  <c r="AI299" i="5" s="1"/>
  <c r="AJ299" i="5" s="1"/>
  <c r="AB289" i="5"/>
  <c r="AI289" i="5" s="1"/>
  <c r="AJ289" i="5" s="1"/>
  <c r="AB279" i="5"/>
  <c r="AB313" i="5"/>
  <c r="AB309" i="5"/>
  <c r="AI309" i="5" s="1"/>
  <c r="AJ309" i="5" s="1"/>
  <c r="AB298" i="5"/>
  <c r="AI298" i="5" s="1"/>
  <c r="AJ298" i="5" s="1"/>
  <c r="AB288" i="5"/>
  <c r="AI288" i="5" s="1"/>
  <c r="AJ288" i="5" s="1"/>
  <c r="AB277" i="5"/>
  <c r="AI277" i="5" s="1"/>
  <c r="AJ277" i="5" s="1"/>
  <c r="AB278" i="5"/>
  <c r="AB260" i="5"/>
  <c r="AI260" i="5" s="1"/>
  <c r="AJ260" i="5" s="1"/>
  <c r="AB234" i="5"/>
  <c r="AI234" i="5" s="1"/>
  <c r="AJ234" i="5" s="1"/>
  <c r="AB216" i="5"/>
  <c r="AI216" i="5" s="1"/>
  <c r="AJ216" i="5" s="1"/>
  <c r="AB189" i="5"/>
  <c r="AI189" i="5" s="1"/>
  <c r="AJ189" i="5" s="1"/>
  <c r="AB276" i="5"/>
  <c r="AI276" i="5" s="1"/>
  <c r="AJ276" i="5" s="1"/>
  <c r="AB259" i="5"/>
  <c r="AI259" i="5" s="1"/>
  <c r="AJ259" i="5" s="1"/>
  <c r="AB233" i="5"/>
  <c r="AI233" i="5" s="1"/>
  <c r="AJ233" i="5" s="1"/>
  <c r="AB215" i="5"/>
  <c r="AI215" i="5" s="1"/>
  <c r="AJ215" i="5" s="1"/>
  <c r="AB188" i="5"/>
  <c r="AI188" i="5" s="1"/>
  <c r="AJ188" i="5" s="1"/>
  <c r="AB186" i="5"/>
  <c r="AI186" i="5" s="1"/>
  <c r="AJ186" i="5" s="1"/>
  <c r="AB183" i="5"/>
  <c r="AI183" i="5" s="1"/>
  <c r="AJ183" i="5" s="1"/>
  <c r="AB169" i="5"/>
  <c r="AI169" i="5" s="1"/>
  <c r="AJ169" i="5" s="1"/>
  <c r="AB165" i="5"/>
  <c r="AI165" i="5" s="1"/>
  <c r="AJ165" i="5" s="1"/>
  <c r="AB151" i="5"/>
  <c r="AI151" i="5" s="1"/>
  <c r="AJ151" i="5" s="1"/>
  <c r="AB139" i="5"/>
  <c r="AB185" i="5"/>
  <c r="AI185" i="5" s="1"/>
  <c r="AJ185" i="5" s="1"/>
  <c r="AB182" i="5"/>
  <c r="AI182" i="5" s="1"/>
  <c r="AJ182" i="5" s="1"/>
  <c r="AB168" i="5"/>
  <c r="AI168" i="5" s="1"/>
  <c r="AJ168" i="5" s="1"/>
  <c r="AB164" i="5"/>
  <c r="AI164" i="5" s="1"/>
  <c r="AJ164" i="5" s="1"/>
  <c r="AB150" i="5"/>
  <c r="AI150" i="5" s="1"/>
  <c r="AJ150" i="5" s="1"/>
  <c r="AB137" i="5"/>
  <c r="AB136" i="5"/>
  <c r="AB35" i="5"/>
  <c r="AB124" i="5"/>
  <c r="AB15" i="5"/>
  <c r="AI15" i="5" s="1"/>
  <c r="AJ15" i="5" s="1"/>
  <c r="AB11" i="5"/>
  <c r="AI11" i="5" s="1"/>
  <c r="AJ11" i="5" s="1"/>
  <c r="AB138" i="5"/>
  <c r="AB37" i="5"/>
  <c r="AB125" i="5"/>
  <c r="AB23" i="5"/>
  <c r="AI23" i="5" s="1"/>
  <c r="AJ23" i="5" s="1"/>
  <c r="AB12" i="5"/>
  <c r="AI12" i="5" s="1"/>
  <c r="AJ12" i="5" s="1"/>
  <c r="AB63" i="5"/>
  <c r="AB56" i="5"/>
  <c r="AI56" i="5" s="1"/>
  <c r="AJ56" i="5" s="1"/>
  <c r="AB51" i="5"/>
  <c r="AI51" i="5" s="1"/>
  <c r="AJ51" i="5" s="1"/>
  <c r="AB45" i="5"/>
  <c r="AI45" i="5" s="1"/>
  <c r="AJ45" i="5" s="1"/>
  <c r="AB36" i="5"/>
  <c r="AB34" i="5"/>
  <c r="AB50" i="5"/>
  <c r="AI50" i="5" s="1"/>
  <c r="AJ50" i="5" s="1"/>
  <c r="AB44" i="5"/>
  <c r="AI44" i="5" s="1"/>
  <c r="AJ44" i="5" s="1"/>
  <c r="AB55" i="5"/>
  <c r="AI55" i="5" s="1"/>
  <c r="AJ55" i="5" s="1"/>
  <c r="AB61" i="5"/>
  <c r="AB335" i="5"/>
  <c r="AI335" i="5" s="1"/>
  <c r="AJ335" i="5" s="1"/>
  <c r="AB322" i="5"/>
  <c r="AB334" i="5"/>
  <c r="AI334" i="5" s="1"/>
  <c r="AJ334" i="5" s="1"/>
  <c r="AB320" i="5"/>
  <c r="AB319" i="5"/>
  <c r="AB301" i="5"/>
  <c r="AI301" i="5" s="1"/>
  <c r="AJ301" i="5" s="1"/>
  <c r="AB291" i="5"/>
  <c r="AI291" i="5" s="1"/>
  <c r="AJ291" i="5" s="1"/>
  <c r="AB281" i="5"/>
  <c r="AI281" i="5" s="1"/>
  <c r="AJ281" i="5" s="1"/>
  <c r="AB268" i="5"/>
  <c r="AB321" i="5"/>
  <c r="AB302" i="5"/>
  <c r="AI302" i="5" s="1"/>
  <c r="AJ302" i="5" s="1"/>
  <c r="AB292" i="5"/>
  <c r="AI292" i="5" s="1"/>
  <c r="AJ292" i="5" s="1"/>
  <c r="AB282" i="5"/>
  <c r="AI282" i="5" s="1"/>
  <c r="AJ282" i="5" s="1"/>
  <c r="AB270" i="5"/>
  <c r="AB269" i="5"/>
  <c r="AB258" i="5"/>
  <c r="AI258" i="5" s="1"/>
  <c r="AJ258" i="5" s="1"/>
  <c r="AB250" i="5"/>
  <c r="AI250" i="5" s="1"/>
  <c r="AJ250" i="5" s="1"/>
  <c r="AB209" i="5"/>
  <c r="AI209" i="5" s="1"/>
  <c r="AJ209" i="5" s="1"/>
  <c r="AB201" i="5"/>
  <c r="AA267" i="5"/>
  <c r="AA257" i="5"/>
  <c r="AA249" i="5"/>
  <c r="AA208" i="5"/>
  <c r="AA199" i="5"/>
  <c r="AB198" i="5"/>
  <c r="AB180" i="5"/>
  <c r="AI180" i="5" s="1"/>
  <c r="AJ180" i="5" s="1"/>
  <c r="AB172" i="5"/>
  <c r="AI172" i="5" s="1"/>
  <c r="AJ172" i="5" s="1"/>
  <c r="AB158" i="5"/>
  <c r="AI158" i="5" s="1"/>
  <c r="AJ158" i="5" s="1"/>
  <c r="AB149" i="5"/>
  <c r="AI149" i="5" s="1"/>
  <c r="AJ149" i="5" s="1"/>
  <c r="AB143" i="5"/>
  <c r="AB181" i="5"/>
  <c r="AI181" i="5" s="1"/>
  <c r="AJ181" i="5" s="1"/>
  <c r="AB200" i="5"/>
  <c r="AB171" i="5"/>
  <c r="AI171" i="5" s="1"/>
  <c r="AJ171" i="5" s="1"/>
  <c r="AB159" i="5"/>
  <c r="AI159" i="5" s="1"/>
  <c r="AJ159" i="5" s="1"/>
  <c r="AB152" i="5"/>
  <c r="AI152" i="5" s="1"/>
  <c r="AJ152" i="5" s="1"/>
  <c r="AB141" i="5"/>
  <c r="AB140" i="5"/>
  <c r="AB33" i="5"/>
  <c r="AB127" i="5"/>
  <c r="AI127" i="5" s="1"/>
  <c r="AJ127" i="5" s="1"/>
  <c r="AB14" i="5"/>
  <c r="AI14" i="5" s="1"/>
  <c r="AJ14" i="5" s="1"/>
  <c r="AB3" i="5"/>
  <c r="AI3" i="5" s="1"/>
  <c r="AJ3" i="5" s="1"/>
  <c r="AB142" i="5"/>
  <c r="AB126" i="5"/>
  <c r="AI126" i="5" s="1"/>
  <c r="AJ126" i="5" s="1"/>
  <c r="AB2" i="5"/>
  <c r="AI2" i="5" s="1"/>
  <c r="AJ2" i="5" s="1"/>
  <c r="AB13" i="5"/>
  <c r="AI13" i="5" s="1"/>
  <c r="AJ13" i="5" s="1"/>
  <c r="AB31" i="5"/>
  <c r="AB32" i="5"/>
  <c r="AB49" i="5"/>
  <c r="AI49" i="5" s="1"/>
  <c r="AJ49" i="5" s="1"/>
  <c r="AB43" i="5"/>
  <c r="AI43" i="5" s="1"/>
  <c r="AJ43" i="5" s="1"/>
  <c r="AB58" i="5"/>
  <c r="AB67" i="5"/>
  <c r="AB30" i="5"/>
  <c r="AB42" i="5"/>
  <c r="AI42" i="5" s="1"/>
  <c r="AJ42" i="5" s="1"/>
  <c r="AB48" i="5"/>
  <c r="AI48" i="5" s="1"/>
  <c r="AJ48" i="5" s="1"/>
  <c r="AB57" i="5"/>
  <c r="AI57" i="5" s="1"/>
  <c r="AJ57" i="5" s="1"/>
  <c r="AB65" i="5"/>
  <c r="Z341" i="5"/>
  <c r="Z296" i="5"/>
  <c r="AE296" i="5" s="1"/>
  <c r="Z361" i="5"/>
  <c r="AE361" i="5" s="1"/>
  <c r="Z347" i="5"/>
  <c r="AE347" i="5" s="1"/>
  <c r="Z340" i="5"/>
  <c r="AE340" i="5" s="1"/>
  <c r="Z327" i="5"/>
  <c r="AE327" i="5" s="1"/>
  <c r="Z307" i="5"/>
  <c r="AE307" i="5" s="1"/>
  <c r="Z286" i="5"/>
  <c r="AE286" i="5" s="1"/>
  <c r="Z274" i="5"/>
  <c r="AE274" i="5" s="1"/>
  <c r="Z265" i="5"/>
  <c r="AE265" i="5" s="1"/>
  <c r="Z255" i="5"/>
  <c r="AE255" i="5" s="1"/>
  <c r="Z213" i="5"/>
  <c r="AE213" i="5" s="1"/>
  <c r="Z206" i="5"/>
  <c r="AE206" i="5" s="1"/>
  <c r="Z196" i="5"/>
  <c r="Z178" i="5"/>
  <c r="Z359" i="5"/>
  <c r="AE359" i="5" s="1"/>
  <c r="Z358" i="5"/>
  <c r="Z356" i="5"/>
  <c r="Y356" i="5"/>
  <c r="Z355" i="5"/>
  <c r="T355" i="5"/>
  <c r="T356" i="5"/>
  <c r="T357" i="5"/>
  <c r="T358" i="5"/>
  <c r="T359" i="5"/>
  <c r="T360" i="5"/>
  <c r="T361" i="5"/>
  <c r="Y355" i="5"/>
  <c r="Y357" i="5"/>
  <c r="Y358" i="5"/>
  <c r="Y359" i="5"/>
  <c r="Y360" i="5"/>
  <c r="Y361" i="5"/>
  <c r="AI355" i="5"/>
  <c r="AJ355" i="5" s="1"/>
  <c r="AI356" i="5"/>
  <c r="AJ356" i="5" s="1"/>
  <c r="AI357" i="5"/>
  <c r="AJ357" i="5" s="1"/>
  <c r="AI358" i="5"/>
  <c r="AJ358" i="5" s="1"/>
  <c r="AI359" i="5"/>
  <c r="AJ359" i="5" s="1"/>
  <c r="AI360" i="5"/>
  <c r="AJ360" i="5" s="1"/>
  <c r="AI361" i="5"/>
  <c r="AJ361" i="5" s="1"/>
  <c r="V354" i="5"/>
  <c r="Y354" i="5" s="1"/>
  <c r="V353" i="5"/>
  <c r="Y353" i="5" s="1"/>
  <c r="T353" i="5"/>
  <c r="T354" i="5"/>
  <c r="U342" i="5"/>
  <c r="Y342" i="5" s="1"/>
  <c r="U341" i="5"/>
  <c r="Y341" i="5" s="1"/>
  <c r="Z349" i="5"/>
  <c r="Z348" i="5"/>
  <c r="Y347" i="5"/>
  <c r="Z344" i="5"/>
  <c r="AE344" i="5" s="1"/>
  <c r="Z345" i="5"/>
  <c r="AE345" i="5" s="1"/>
  <c r="T345" i="5"/>
  <c r="Y345" i="5"/>
  <c r="AI345" i="5"/>
  <c r="AJ345" i="5" s="1"/>
  <c r="Z337" i="5"/>
  <c r="Z343" i="5"/>
  <c r="V352" i="5"/>
  <c r="AI352" i="5" s="1"/>
  <c r="AJ352" i="5" s="1"/>
  <c r="V350" i="5"/>
  <c r="Y350" i="5" s="1"/>
  <c r="Z342" i="5"/>
  <c r="V349" i="5"/>
  <c r="AI349" i="5" s="1"/>
  <c r="AJ349" i="5" s="1"/>
  <c r="V348" i="5"/>
  <c r="Y348" i="5" s="1"/>
  <c r="T348" i="5"/>
  <c r="Z352" i="5"/>
  <c r="AE352" i="5" s="1"/>
  <c r="Z351" i="5"/>
  <c r="AE351" i="5" s="1"/>
  <c r="Z350" i="5"/>
  <c r="AE350" i="5" s="1"/>
  <c r="T349" i="5"/>
  <c r="T350" i="5"/>
  <c r="T351" i="5"/>
  <c r="T352" i="5"/>
  <c r="Y351" i="5"/>
  <c r="AI351" i="5"/>
  <c r="AJ351" i="5" s="1"/>
  <c r="T341" i="5"/>
  <c r="T342" i="5"/>
  <c r="T343" i="5"/>
  <c r="T344" i="5"/>
  <c r="T346" i="5"/>
  <c r="T347" i="5"/>
  <c r="Y343" i="5"/>
  <c r="Y344" i="5"/>
  <c r="AI341" i="5"/>
  <c r="AJ341" i="5" s="1"/>
  <c r="AI342" i="5"/>
  <c r="AJ342" i="5" s="1"/>
  <c r="AI343" i="5"/>
  <c r="AJ343" i="5" s="1"/>
  <c r="AI344" i="5"/>
  <c r="AJ344" i="5" s="1"/>
  <c r="AI346" i="5"/>
  <c r="AJ346" i="5" s="1"/>
  <c r="AI347" i="5"/>
  <c r="AJ347" i="5" s="1"/>
  <c r="T147" i="5"/>
  <c r="AA322" i="5"/>
  <c r="X322" i="5"/>
  <c r="V322" i="5"/>
  <c r="U322" i="5"/>
  <c r="O322" i="5"/>
  <c r="N322" i="5"/>
  <c r="AA321" i="5"/>
  <c r="X321" i="5"/>
  <c r="V321" i="5"/>
  <c r="U321" i="5"/>
  <c r="O321" i="5"/>
  <c r="N321" i="5"/>
  <c r="Z322" i="5"/>
  <c r="AA320" i="5"/>
  <c r="X320" i="5"/>
  <c r="V320" i="5"/>
  <c r="U320" i="5"/>
  <c r="O320" i="5"/>
  <c r="N320" i="5"/>
  <c r="AA319" i="5"/>
  <c r="X319" i="5"/>
  <c r="V319" i="5"/>
  <c r="U319" i="5"/>
  <c r="O319" i="5"/>
  <c r="N319" i="5"/>
  <c r="Z320" i="5"/>
  <c r="AA316" i="5"/>
  <c r="Z316" i="5"/>
  <c r="V316" i="5"/>
  <c r="Y316" i="5" s="1"/>
  <c r="P316" i="5"/>
  <c r="O316" i="5"/>
  <c r="N316" i="5"/>
  <c r="AA315" i="5"/>
  <c r="V315" i="5"/>
  <c r="Y315" i="5" s="1"/>
  <c r="P315" i="5"/>
  <c r="O315" i="5"/>
  <c r="N315" i="5"/>
  <c r="AA314" i="5"/>
  <c r="Z314" i="5"/>
  <c r="V314" i="5"/>
  <c r="U314" i="5"/>
  <c r="P314" i="5"/>
  <c r="O314" i="5"/>
  <c r="N314" i="5"/>
  <c r="AA313" i="5"/>
  <c r="V313" i="5"/>
  <c r="U313" i="5"/>
  <c r="P313" i="5"/>
  <c r="O313" i="5"/>
  <c r="N313" i="5"/>
  <c r="AA279" i="5"/>
  <c r="Z279" i="5"/>
  <c r="V279" i="5"/>
  <c r="Y279" i="5" s="1"/>
  <c r="N279" i="5"/>
  <c r="O279" i="5"/>
  <c r="AA278" i="5"/>
  <c r="V278" i="5"/>
  <c r="O278" i="5"/>
  <c r="N278" i="5"/>
  <c r="Z277" i="5"/>
  <c r="U277" i="5"/>
  <c r="Y277" i="5" s="1"/>
  <c r="N277" i="5"/>
  <c r="O277" i="5"/>
  <c r="U276" i="5"/>
  <c r="Y276" i="5" s="1"/>
  <c r="O276" i="5"/>
  <c r="N276" i="5"/>
  <c r="AA270" i="5"/>
  <c r="X270" i="5"/>
  <c r="V270" i="5"/>
  <c r="N270" i="5"/>
  <c r="O270" i="5"/>
  <c r="AA269" i="5"/>
  <c r="X269" i="5"/>
  <c r="V269" i="5"/>
  <c r="O269" i="5"/>
  <c r="N269" i="5"/>
  <c r="Z270" i="5"/>
  <c r="AA268" i="5"/>
  <c r="X268" i="5"/>
  <c r="V268" i="5"/>
  <c r="U268" i="5"/>
  <c r="O268" i="5"/>
  <c r="N268" i="5"/>
  <c r="X267" i="5"/>
  <c r="V267" i="5"/>
  <c r="U267" i="5"/>
  <c r="O267" i="5"/>
  <c r="N267" i="5"/>
  <c r="Z268" i="5"/>
  <c r="AA201" i="5"/>
  <c r="AA200" i="5"/>
  <c r="X201" i="5"/>
  <c r="X200" i="5"/>
  <c r="V201" i="5"/>
  <c r="V200" i="5"/>
  <c r="O201" i="5"/>
  <c r="O200" i="5"/>
  <c r="N201" i="5"/>
  <c r="N200" i="5"/>
  <c r="M198" i="5"/>
  <c r="Z198" i="5" s="1"/>
  <c r="U335" i="5"/>
  <c r="Y335" i="5" s="1"/>
  <c r="U334" i="5"/>
  <c r="Y334" i="5" s="1"/>
  <c r="M200" i="5"/>
  <c r="Z200" i="5" s="1"/>
  <c r="L200" i="5"/>
  <c r="L198" i="5"/>
  <c r="Z201" i="5"/>
  <c r="X199" i="5"/>
  <c r="V199" i="5"/>
  <c r="U199" i="5"/>
  <c r="O199" i="5"/>
  <c r="N199" i="5"/>
  <c r="AA198" i="5"/>
  <c r="X198" i="5"/>
  <c r="V198" i="5"/>
  <c r="U198" i="5"/>
  <c r="O198" i="5"/>
  <c r="N198" i="5"/>
  <c r="Z199" i="5"/>
  <c r="AA143" i="5"/>
  <c r="X143" i="5"/>
  <c r="V143" i="5"/>
  <c r="U143" i="5"/>
  <c r="O143" i="5"/>
  <c r="N143" i="5"/>
  <c r="AA142" i="5"/>
  <c r="X142" i="5"/>
  <c r="V142" i="5"/>
  <c r="U142" i="5"/>
  <c r="O142" i="5"/>
  <c r="N142" i="5"/>
  <c r="Z143" i="5"/>
  <c r="AA141" i="5"/>
  <c r="X141" i="5"/>
  <c r="V141" i="5"/>
  <c r="O141" i="5"/>
  <c r="N141" i="5"/>
  <c r="AA140" i="5"/>
  <c r="X140" i="5"/>
  <c r="V140" i="5"/>
  <c r="O140" i="5"/>
  <c r="N140" i="5"/>
  <c r="Z141" i="5"/>
  <c r="AA139" i="5"/>
  <c r="Z139" i="5"/>
  <c r="X139" i="5"/>
  <c r="V139" i="5"/>
  <c r="O139" i="5"/>
  <c r="N139" i="5"/>
  <c r="AA138" i="5"/>
  <c r="X138" i="5"/>
  <c r="V138" i="5"/>
  <c r="O138" i="5"/>
  <c r="N138" i="5"/>
  <c r="Z137" i="5"/>
  <c r="AA137" i="5"/>
  <c r="V137" i="5"/>
  <c r="U137" i="5"/>
  <c r="O137" i="5"/>
  <c r="N137" i="5"/>
  <c r="AA136" i="5"/>
  <c r="V136" i="5"/>
  <c r="U136" i="5"/>
  <c r="O136" i="5"/>
  <c r="N136" i="5"/>
  <c r="AA37" i="5"/>
  <c r="V37" i="5"/>
  <c r="Y37" i="5" s="1"/>
  <c r="O37" i="5"/>
  <c r="N37" i="5"/>
  <c r="AA36" i="5"/>
  <c r="V36" i="5"/>
  <c r="Y36" i="5" s="1"/>
  <c r="O36" i="5"/>
  <c r="N36" i="5"/>
  <c r="Z37" i="5"/>
  <c r="Z35" i="5"/>
  <c r="Z33" i="5"/>
  <c r="AA35" i="5"/>
  <c r="V35" i="5"/>
  <c r="U35" i="5"/>
  <c r="O35" i="5"/>
  <c r="N35" i="5"/>
  <c r="AA34" i="5"/>
  <c r="V34" i="5"/>
  <c r="U34" i="5"/>
  <c r="O34" i="5"/>
  <c r="N34" i="5"/>
  <c r="AA33" i="5"/>
  <c r="X33" i="5"/>
  <c r="V33" i="5"/>
  <c r="O33" i="5"/>
  <c r="N33" i="5"/>
  <c r="AA32" i="5"/>
  <c r="X32" i="5"/>
  <c r="V32" i="5"/>
  <c r="O32" i="5"/>
  <c r="N32" i="5"/>
  <c r="AA31" i="5"/>
  <c r="X31" i="5"/>
  <c r="V31" i="5"/>
  <c r="O31" i="5"/>
  <c r="N31" i="5"/>
  <c r="AA30" i="5"/>
  <c r="X30" i="5"/>
  <c r="V30" i="5"/>
  <c r="O30" i="5"/>
  <c r="N30" i="5"/>
  <c r="Z31" i="5"/>
  <c r="AB66" i="5"/>
  <c r="AA67" i="5"/>
  <c r="AA66" i="5"/>
  <c r="X67" i="5"/>
  <c r="X66" i="5"/>
  <c r="X65" i="5"/>
  <c r="X64" i="5"/>
  <c r="V67" i="5"/>
  <c r="V66" i="5"/>
  <c r="O67" i="5"/>
  <c r="O66" i="5"/>
  <c r="N67" i="5"/>
  <c r="N66" i="5"/>
  <c r="Z67" i="5"/>
  <c r="AB64" i="5"/>
  <c r="AA65" i="5"/>
  <c r="AA64" i="5"/>
  <c r="V65" i="5"/>
  <c r="V64" i="5"/>
  <c r="O65" i="5"/>
  <c r="O64" i="5"/>
  <c r="N65" i="5"/>
  <c r="N64" i="5"/>
  <c r="Z65" i="5"/>
  <c r="AB62" i="5"/>
  <c r="AA63" i="5"/>
  <c r="AA62" i="5"/>
  <c r="Z63" i="5"/>
  <c r="V63" i="5"/>
  <c r="Y63" i="5" s="1"/>
  <c r="V62" i="5"/>
  <c r="Y62" i="5" s="1"/>
  <c r="O63" i="5"/>
  <c r="O62" i="5"/>
  <c r="N63" i="5"/>
  <c r="N62" i="5"/>
  <c r="AB60" i="5"/>
  <c r="AA61" i="5"/>
  <c r="AA60" i="5"/>
  <c r="Z61" i="5"/>
  <c r="V61" i="5"/>
  <c r="V60" i="5"/>
  <c r="Y60" i="5" s="1"/>
  <c r="O61" i="5"/>
  <c r="O60" i="5"/>
  <c r="N60" i="5"/>
  <c r="N61" i="5"/>
  <c r="Y337" i="5"/>
  <c r="Z338" i="5"/>
  <c r="AE338" i="5" s="1"/>
  <c r="Z335" i="5"/>
  <c r="T334" i="5"/>
  <c r="T335" i="5"/>
  <c r="T336" i="5"/>
  <c r="T337" i="5"/>
  <c r="T338" i="5"/>
  <c r="T339" i="5"/>
  <c r="T340" i="5"/>
  <c r="Y336" i="5"/>
  <c r="Y338" i="5"/>
  <c r="Y339" i="5"/>
  <c r="Y340" i="5"/>
  <c r="Z334" i="5"/>
  <c r="AI336" i="5"/>
  <c r="AJ336" i="5" s="1"/>
  <c r="AI337" i="5"/>
  <c r="AJ337" i="5" s="1"/>
  <c r="AI338" i="5"/>
  <c r="AJ338" i="5" s="1"/>
  <c r="AI339" i="5"/>
  <c r="AJ339" i="5" s="1"/>
  <c r="AI340" i="5"/>
  <c r="AJ340" i="5" s="1"/>
  <c r="Y332" i="5"/>
  <c r="V333" i="5"/>
  <c r="AI333" i="5" s="1"/>
  <c r="AJ333" i="5" s="1"/>
  <c r="T333" i="5"/>
  <c r="V331" i="5"/>
  <c r="Y331" i="5" s="1"/>
  <c r="V330" i="5"/>
  <c r="Y330" i="5" s="1"/>
  <c r="V329" i="5"/>
  <c r="Y329" i="5" s="1"/>
  <c r="Z331" i="5"/>
  <c r="AE331" i="5" s="1"/>
  <c r="Z330" i="5"/>
  <c r="Z329" i="5"/>
  <c r="Z333" i="5"/>
  <c r="Z332" i="5"/>
  <c r="AE332" i="5" s="1"/>
  <c r="T332" i="5"/>
  <c r="AI332" i="5"/>
  <c r="AJ332" i="5" s="1"/>
  <c r="T329" i="5"/>
  <c r="T330" i="5"/>
  <c r="T331" i="5"/>
  <c r="Z324" i="5"/>
  <c r="AE324" i="5" s="1"/>
  <c r="Z323" i="5"/>
  <c r="AE323" i="5" s="1"/>
  <c r="AI326" i="5"/>
  <c r="AJ326" i="5" s="1"/>
  <c r="Z325" i="5"/>
  <c r="AE325" i="5" s="1"/>
  <c r="Z326" i="5"/>
  <c r="AE326" i="5" s="1"/>
  <c r="Z328" i="5"/>
  <c r="T323" i="5"/>
  <c r="Y323" i="5"/>
  <c r="Z319" i="5"/>
  <c r="Z321" i="5"/>
  <c r="T324" i="5"/>
  <c r="T325" i="5"/>
  <c r="T326" i="5"/>
  <c r="T327" i="5"/>
  <c r="T328" i="5"/>
  <c r="Y324" i="5"/>
  <c r="Y325" i="5"/>
  <c r="Y326" i="5"/>
  <c r="Y327" i="5"/>
  <c r="Y328" i="5"/>
  <c r="AI323" i="5"/>
  <c r="AJ323" i="5" s="1"/>
  <c r="AI324" i="5"/>
  <c r="AJ324" i="5" s="1"/>
  <c r="AI325" i="5"/>
  <c r="AJ325" i="5" s="1"/>
  <c r="AI327" i="5"/>
  <c r="AJ327" i="5" s="1"/>
  <c r="AI328" i="5"/>
  <c r="AJ328" i="5" s="1"/>
  <c r="Z318" i="5"/>
  <c r="AE318" i="5" s="1"/>
  <c r="Z317" i="5"/>
  <c r="AE317" i="5" s="1"/>
  <c r="Z315" i="5"/>
  <c r="Z313" i="5"/>
  <c r="T317" i="5"/>
  <c r="T318" i="5"/>
  <c r="Y317" i="5"/>
  <c r="Y318" i="5"/>
  <c r="AI317" i="5"/>
  <c r="AJ317" i="5" s="1"/>
  <c r="AI318" i="5"/>
  <c r="AJ318" i="5" s="1"/>
  <c r="U302" i="5"/>
  <c r="Y302" i="5" s="1"/>
  <c r="U301" i="5"/>
  <c r="Y301" i="5" s="1"/>
  <c r="Z310" i="5"/>
  <c r="Z309" i="5"/>
  <c r="Z312" i="5"/>
  <c r="AE312" i="5" s="1"/>
  <c r="Z311" i="5"/>
  <c r="Y311" i="5"/>
  <c r="T311" i="5"/>
  <c r="T312" i="5"/>
  <c r="Y312" i="5"/>
  <c r="AI312" i="5"/>
  <c r="AJ312" i="5" s="1"/>
  <c r="T310" i="5"/>
  <c r="Y310" i="5"/>
  <c r="AI311" i="5"/>
  <c r="AJ311" i="5" s="1"/>
  <c r="Z308" i="5"/>
  <c r="AE308" i="5" s="1"/>
  <c r="Y307" i="5"/>
  <c r="T307" i="5"/>
  <c r="Z306" i="5"/>
  <c r="Z305" i="5"/>
  <c r="AE305" i="5" s="1"/>
  <c r="T306" i="5"/>
  <c r="Y306" i="5"/>
  <c r="AI306" i="5"/>
  <c r="AJ306" i="5" s="1"/>
  <c r="Z304" i="5"/>
  <c r="Y304" i="5"/>
  <c r="T303" i="5"/>
  <c r="T309" i="5"/>
  <c r="Y309" i="5"/>
  <c r="Z303" i="5"/>
  <c r="AE303" i="5" s="1"/>
  <c r="Y303" i="5"/>
  <c r="Z301" i="5"/>
  <c r="Y305" i="5"/>
  <c r="T300" i="5"/>
  <c r="T301" i="5"/>
  <c r="T302" i="5"/>
  <c r="Z302" i="5"/>
  <c r="T304" i="5"/>
  <c r="T305" i="5"/>
  <c r="T308" i="5"/>
  <c r="Y308" i="5"/>
  <c r="AI303" i="5"/>
  <c r="AJ303" i="5" s="1"/>
  <c r="AI304" i="5"/>
  <c r="AJ304" i="5" s="1"/>
  <c r="AI305" i="5"/>
  <c r="AJ305" i="5" s="1"/>
  <c r="AI307" i="5"/>
  <c r="AJ307" i="5" s="1"/>
  <c r="AI308" i="5"/>
  <c r="AJ308" i="5" s="1"/>
  <c r="Y297" i="5"/>
  <c r="Z300" i="5"/>
  <c r="AE300" i="5" s="1"/>
  <c r="Z299" i="5"/>
  <c r="Z298" i="5"/>
  <c r="AI300" i="5"/>
  <c r="AJ300" i="5" s="1"/>
  <c r="Y298" i="5"/>
  <c r="Y299" i="5"/>
  <c r="Y300" i="5"/>
  <c r="T298" i="5"/>
  <c r="T299" i="5"/>
  <c r="Z297" i="5"/>
  <c r="AE297" i="5" s="1"/>
  <c r="Y296" i="5"/>
  <c r="Z295" i="5"/>
  <c r="AE295" i="5" s="1"/>
  <c r="Z294" i="5"/>
  <c r="AE294" i="5" s="1"/>
  <c r="Z293" i="5"/>
  <c r="AE293" i="5" s="1"/>
  <c r="T293" i="5"/>
  <c r="T294" i="5"/>
  <c r="T295" i="5"/>
  <c r="T296" i="5"/>
  <c r="T297" i="5"/>
  <c r="Y293" i="5"/>
  <c r="Y294" i="5"/>
  <c r="Y295" i="5"/>
  <c r="AI293" i="5"/>
  <c r="AJ293" i="5" s="1"/>
  <c r="AI294" i="5"/>
  <c r="AJ294" i="5" s="1"/>
  <c r="AI295" i="5"/>
  <c r="AJ295" i="5" s="1"/>
  <c r="AI296" i="5"/>
  <c r="AJ296" i="5" s="1"/>
  <c r="AI297" i="5"/>
  <c r="AJ297" i="5" s="1"/>
  <c r="Z292" i="5"/>
  <c r="Z291" i="5"/>
  <c r="Y291" i="5"/>
  <c r="T291" i="5"/>
  <c r="T292" i="5"/>
  <c r="Y292" i="5"/>
  <c r="Z91" i="5"/>
  <c r="Z287" i="5"/>
  <c r="AE287" i="5" s="1"/>
  <c r="Z285" i="5"/>
  <c r="AE285" i="5" s="1"/>
  <c r="Z283" i="5"/>
  <c r="Z284" i="5"/>
  <c r="Y284" i="5"/>
  <c r="T284" i="5"/>
  <c r="Z282" i="5"/>
  <c r="T290" i="5"/>
  <c r="Z290" i="5"/>
  <c r="Z289" i="5"/>
  <c r="Z288" i="5"/>
  <c r="AI290" i="5"/>
  <c r="AJ290" i="5" s="1"/>
  <c r="Y288" i="5"/>
  <c r="Y289" i="5"/>
  <c r="Y290" i="5"/>
  <c r="T288" i="5"/>
  <c r="T289" i="5"/>
  <c r="AI283" i="5"/>
  <c r="AJ283" i="5" s="1"/>
  <c r="AI284" i="5"/>
  <c r="AJ284" i="5" s="1"/>
  <c r="AI285" i="5"/>
  <c r="AJ285" i="5" s="1"/>
  <c r="AI286" i="5"/>
  <c r="AJ286" i="5" s="1"/>
  <c r="AI287" i="5"/>
  <c r="AJ287" i="5" s="1"/>
  <c r="Z281" i="5"/>
  <c r="Y281" i="5"/>
  <c r="Y282" i="5"/>
  <c r="Y283" i="5"/>
  <c r="Y285" i="5"/>
  <c r="Y286" i="5"/>
  <c r="Y287" i="5"/>
  <c r="T281" i="5"/>
  <c r="T282" i="5"/>
  <c r="T283" i="5"/>
  <c r="T285" i="5"/>
  <c r="T286" i="5"/>
  <c r="T287" i="5"/>
  <c r="Z272" i="5"/>
  <c r="AE272" i="5" s="1"/>
  <c r="Z273" i="5"/>
  <c r="Z275" i="5"/>
  <c r="AE275" i="5" s="1"/>
  <c r="Z271" i="5"/>
  <c r="AE271" i="5" s="1"/>
  <c r="T272" i="5"/>
  <c r="Z73" i="5"/>
  <c r="Z69" i="5"/>
  <c r="Z280" i="5"/>
  <c r="AE280" i="5" s="1"/>
  <c r="Z278" i="5"/>
  <c r="Z276" i="5"/>
  <c r="AI280" i="5"/>
  <c r="AJ280" i="5" s="1"/>
  <c r="Y280" i="5"/>
  <c r="T271" i="5"/>
  <c r="T273" i="5"/>
  <c r="T274" i="5"/>
  <c r="T275" i="5"/>
  <c r="Y271" i="5"/>
  <c r="Y272" i="5"/>
  <c r="Y273" i="5"/>
  <c r="Y274" i="5"/>
  <c r="Y275" i="5"/>
  <c r="AI271" i="5"/>
  <c r="AJ271" i="5" s="1"/>
  <c r="AI272" i="5"/>
  <c r="AJ272" i="5" s="1"/>
  <c r="AI273" i="5"/>
  <c r="AJ273" i="5" s="1"/>
  <c r="AI274" i="5"/>
  <c r="AJ274" i="5" s="1"/>
  <c r="AI275" i="5"/>
  <c r="AJ275" i="5" s="1"/>
  <c r="Z267" i="5"/>
  <c r="Z269" i="5"/>
  <c r="Z260" i="5"/>
  <c r="Z259" i="5"/>
  <c r="Z261" i="5"/>
  <c r="U257" i="5"/>
  <c r="Y257" i="5" s="1"/>
  <c r="Z263" i="5"/>
  <c r="AE263" i="5" s="1"/>
  <c r="Z264" i="5"/>
  <c r="AE264" i="5" s="1"/>
  <c r="Z266" i="5"/>
  <c r="AE266" i="5" s="1"/>
  <c r="Z262" i="5"/>
  <c r="Y262" i="5"/>
  <c r="Y263" i="5"/>
  <c r="AI262" i="5"/>
  <c r="AJ262" i="5" s="1"/>
  <c r="AI263" i="5"/>
  <c r="AJ263" i="5" s="1"/>
  <c r="AI264" i="5"/>
  <c r="AJ264" i="5" s="1"/>
  <c r="AI265" i="5"/>
  <c r="AJ265" i="5" s="1"/>
  <c r="AI266" i="5"/>
  <c r="AJ266" i="5" s="1"/>
  <c r="Y264" i="5"/>
  <c r="Y265" i="5"/>
  <c r="Y266" i="5"/>
  <c r="T262" i="5"/>
  <c r="T263" i="5"/>
  <c r="T264" i="5"/>
  <c r="T265" i="5"/>
  <c r="T266" i="5"/>
  <c r="T261" i="5"/>
  <c r="AI261" i="5"/>
  <c r="AJ261" i="5" s="1"/>
  <c r="Y259" i="5"/>
  <c r="Y260" i="5"/>
  <c r="Y261" i="5"/>
  <c r="T259" i="5"/>
  <c r="T260" i="5"/>
  <c r="T257" i="5"/>
  <c r="T258" i="5"/>
  <c r="Y258" i="5"/>
  <c r="Z257" i="5"/>
  <c r="Z258" i="5"/>
  <c r="T253" i="5"/>
  <c r="Z252" i="5"/>
  <c r="Z253" i="5"/>
  <c r="Z254" i="5"/>
  <c r="AE254" i="5" s="1"/>
  <c r="Z256" i="5"/>
  <c r="AE256" i="5" s="1"/>
  <c r="Z251" i="5"/>
  <c r="T251" i="5"/>
  <c r="T252" i="5"/>
  <c r="T254" i="5"/>
  <c r="T255" i="5"/>
  <c r="T256" i="5"/>
  <c r="Y251" i="5"/>
  <c r="Y252" i="5"/>
  <c r="Y253" i="5"/>
  <c r="Y254" i="5"/>
  <c r="Y255" i="5"/>
  <c r="Y256" i="5"/>
  <c r="AI251" i="5"/>
  <c r="AJ251" i="5" s="1"/>
  <c r="AI252" i="5"/>
  <c r="AJ252" i="5" s="1"/>
  <c r="AI253" i="5"/>
  <c r="AJ253" i="5" s="1"/>
  <c r="AI254" i="5"/>
  <c r="AJ254" i="5" s="1"/>
  <c r="AI255" i="5"/>
  <c r="AJ255" i="5" s="1"/>
  <c r="AI256" i="5"/>
  <c r="AJ256" i="5" s="1"/>
  <c r="T250" i="5"/>
  <c r="Y250" i="5"/>
  <c r="Z250" i="5"/>
  <c r="T249" i="5"/>
  <c r="Y249" i="5"/>
  <c r="Z249" i="5"/>
  <c r="T248" i="5"/>
  <c r="Y248" i="5"/>
  <c r="Z248" i="5"/>
  <c r="AI248" i="5"/>
  <c r="AJ248" i="5" s="1"/>
  <c r="T247" i="5"/>
  <c r="Y247" i="5"/>
  <c r="Z247" i="5"/>
  <c r="AI247" i="5"/>
  <c r="AJ247" i="5" s="1"/>
  <c r="T246" i="5"/>
  <c r="Y246" i="5"/>
  <c r="Z246" i="5"/>
  <c r="AI246" i="5"/>
  <c r="AJ246" i="5" s="1"/>
  <c r="T245" i="5"/>
  <c r="Y245" i="5"/>
  <c r="Z245" i="5"/>
  <c r="AI245" i="5"/>
  <c r="AJ245" i="5" s="1"/>
  <c r="T244" i="5"/>
  <c r="Y244" i="5"/>
  <c r="Z244" i="5"/>
  <c r="AI244" i="5"/>
  <c r="AJ244" i="5" s="1"/>
  <c r="T243" i="5"/>
  <c r="Y243" i="5"/>
  <c r="Z243" i="5"/>
  <c r="AI243" i="5"/>
  <c r="AJ243" i="5" s="1"/>
  <c r="Y241" i="5"/>
  <c r="Y242" i="5"/>
  <c r="T242" i="5"/>
  <c r="Z242" i="5"/>
  <c r="AI242" i="5"/>
  <c r="AJ242" i="5" s="1"/>
  <c r="T241" i="5"/>
  <c r="Z241" i="5"/>
  <c r="AI241" i="5"/>
  <c r="AJ241" i="5" s="1"/>
  <c r="T240" i="5"/>
  <c r="Y240" i="5"/>
  <c r="Z240" i="5"/>
  <c r="AI240" i="5"/>
  <c r="AJ240" i="5" s="1"/>
  <c r="T239" i="5"/>
  <c r="Y239" i="5"/>
  <c r="Z239" i="5"/>
  <c r="AI239" i="5"/>
  <c r="AJ239" i="5" s="1"/>
  <c r="T238" i="5"/>
  <c r="Z238" i="5"/>
  <c r="AI238" i="5"/>
  <c r="AJ238" i="5" s="1"/>
  <c r="P237" i="5"/>
  <c r="T237" i="5" s="1"/>
  <c r="Z234" i="5"/>
  <c r="Z233" i="5"/>
  <c r="Z235" i="5"/>
  <c r="AE235" i="5" s="1"/>
  <c r="T235" i="5"/>
  <c r="Y237" i="5"/>
  <c r="Z237" i="5"/>
  <c r="AI237" i="5"/>
  <c r="AJ237" i="5" s="1"/>
  <c r="AB236" i="5"/>
  <c r="V236" i="5"/>
  <c r="Y236" i="5" s="1"/>
  <c r="T236" i="5"/>
  <c r="Z236" i="5"/>
  <c r="T233" i="5"/>
  <c r="AB232" i="5"/>
  <c r="V232" i="5"/>
  <c r="AI235" i="5"/>
  <c r="AJ235" i="5" s="1"/>
  <c r="Y233" i="5"/>
  <c r="Y234" i="5"/>
  <c r="Y235" i="5"/>
  <c r="T234" i="5"/>
  <c r="AB231" i="5"/>
  <c r="AA231" i="5"/>
  <c r="V231" i="5"/>
  <c r="Y231" i="5" s="1"/>
  <c r="AB230" i="5"/>
  <c r="AA230" i="5"/>
  <c r="V230" i="5"/>
  <c r="Y230" i="5" s="1"/>
  <c r="AB229" i="5"/>
  <c r="AA229" i="5"/>
  <c r="V229" i="5"/>
  <c r="Y229" i="5" s="1"/>
  <c r="AB228" i="5"/>
  <c r="V228" i="5"/>
  <c r="Y228" i="5" s="1"/>
  <c r="AB227" i="5"/>
  <c r="AA227" i="5"/>
  <c r="V227" i="5"/>
  <c r="Y227" i="5" s="1"/>
  <c r="T227" i="5"/>
  <c r="T228" i="5"/>
  <c r="Z227" i="5"/>
  <c r="Z228" i="5"/>
  <c r="T229" i="5"/>
  <c r="T230" i="5"/>
  <c r="Z229" i="5"/>
  <c r="Z230" i="5"/>
  <c r="T231" i="5"/>
  <c r="Z231" i="5"/>
  <c r="AB226" i="5"/>
  <c r="AA226" i="5"/>
  <c r="V226" i="5"/>
  <c r="Y226" i="5" s="1"/>
  <c r="AB225" i="5"/>
  <c r="AA225" i="5"/>
  <c r="V225" i="5"/>
  <c r="Y225" i="5" s="1"/>
  <c r="AB224" i="5"/>
  <c r="V224" i="5"/>
  <c r="Y224" i="5" s="1"/>
  <c r="AB223" i="5"/>
  <c r="AA223" i="5"/>
  <c r="V223" i="5"/>
  <c r="Y223" i="5" s="1"/>
  <c r="V222" i="5"/>
  <c r="AB221" i="5"/>
  <c r="V221" i="5"/>
  <c r="Y221" i="5" s="1"/>
  <c r="Z219" i="5"/>
  <c r="V219" i="5"/>
  <c r="AI219" i="5" s="1"/>
  <c r="AJ219" i="5" s="1"/>
  <c r="V218" i="5"/>
  <c r="Y218" i="5" s="1"/>
  <c r="AI220" i="5"/>
  <c r="AJ220" i="5" s="1"/>
  <c r="Z218" i="5"/>
  <c r="Z220" i="5"/>
  <c r="Z221" i="5"/>
  <c r="Z222" i="5"/>
  <c r="Z223" i="5"/>
  <c r="Z224" i="5"/>
  <c r="Z225" i="5"/>
  <c r="Z226" i="5"/>
  <c r="Z232" i="5"/>
  <c r="Y220" i="5"/>
  <c r="T218" i="5"/>
  <c r="T219" i="5"/>
  <c r="T220" i="5"/>
  <c r="T221" i="5"/>
  <c r="T222" i="5"/>
  <c r="T223" i="5"/>
  <c r="T224" i="5"/>
  <c r="T225" i="5"/>
  <c r="T226" i="5"/>
  <c r="T232" i="5"/>
  <c r="Z216" i="5"/>
  <c r="Z215" i="5"/>
  <c r="Z217" i="5"/>
  <c r="AE217" i="5" s="1"/>
  <c r="T216" i="5"/>
  <c r="T217" i="5"/>
  <c r="T215" i="5"/>
  <c r="Y215" i="5"/>
  <c r="Y216" i="5"/>
  <c r="Y217" i="5"/>
  <c r="AI217" i="5"/>
  <c r="AJ217" i="5" s="1"/>
  <c r="Z214" i="5"/>
  <c r="AE214" i="5" s="1"/>
  <c r="Z212" i="5"/>
  <c r="AE212" i="5" s="1"/>
  <c r="Z210" i="5"/>
  <c r="AE210" i="5" s="1"/>
  <c r="Z211" i="5"/>
  <c r="AE211" i="5" s="1"/>
  <c r="T210" i="5"/>
  <c r="T211" i="5"/>
  <c r="T212" i="5"/>
  <c r="T213" i="5"/>
  <c r="T214" i="5"/>
  <c r="Y210" i="5"/>
  <c r="Y211" i="5"/>
  <c r="Y212" i="5"/>
  <c r="Y213" i="5"/>
  <c r="Y214" i="5"/>
  <c r="AI210" i="5"/>
  <c r="AJ210" i="5" s="1"/>
  <c r="AI211" i="5"/>
  <c r="AJ211" i="5" s="1"/>
  <c r="AI212" i="5"/>
  <c r="AJ212" i="5" s="1"/>
  <c r="AI213" i="5"/>
  <c r="AJ213" i="5" s="1"/>
  <c r="AI214" i="5"/>
  <c r="AJ214" i="5" s="1"/>
  <c r="T208" i="5"/>
  <c r="T209" i="5"/>
  <c r="Y208" i="5"/>
  <c r="Y209" i="5"/>
  <c r="Z208" i="5"/>
  <c r="Z209" i="5"/>
  <c r="Z190" i="5"/>
  <c r="AE190" i="5" s="1"/>
  <c r="Z187" i="5"/>
  <c r="Z184" i="5"/>
  <c r="AE184" i="5" s="1"/>
  <c r="Z189" i="5"/>
  <c r="Z188" i="5"/>
  <c r="Z186" i="5"/>
  <c r="Z185" i="5"/>
  <c r="Z183" i="5"/>
  <c r="Z182" i="5"/>
  <c r="Z169" i="5"/>
  <c r="Z168" i="5"/>
  <c r="Z165" i="5"/>
  <c r="Z164" i="5"/>
  <c r="Z151" i="5"/>
  <c r="Z150" i="5"/>
  <c r="Z138" i="5"/>
  <c r="Z136" i="5"/>
  <c r="Z125" i="5"/>
  <c r="Z124" i="5"/>
  <c r="Z122" i="5"/>
  <c r="Z120" i="5"/>
  <c r="Z117" i="5"/>
  <c r="Z116" i="5"/>
  <c r="Z454" i="5"/>
  <c r="Z114" i="5"/>
  <c r="Z112" i="5"/>
  <c r="Z110" i="5"/>
  <c r="Z106" i="5"/>
  <c r="Z103" i="5"/>
  <c r="Z100" i="5"/>
  <c r="Z97" i="5"/>
  <c r="Z96" i="5"/>
  <c r="Z93" i="5"/>
  <c r="Z88" i="5"/>
  <c r="Z85" i="5"/>
  <c r="Z82" i="5"/>
  <c r="Z79" i="5"/>
  <c r="Z76" i="5"/>
  <c r="Z72" i="5"/>
  <c r="Z68" i="5"/>
  <c r="Z62" i="5"/>
  <c r="Z60" i="5"/>
  <c r="Z56" i="5"/>
  <c r="Z55" i="5"/>
  <c r="Z51" i="5"/>
  <c r="Z50" i="5"/>
  <c r="Z45" i="5"/>
  <c r="Z44" i="5"/>
  <c r="Z36" i="5"/>
  <c r="Z34" i="5"/>
  <c r="Z23" i="5"/>
  <c r="Z15" i="5"/>
  <c r="Z12" i="5"/>
  <c r="Z11" i="5"/>
  <c r="U180" i="5"/>
  <c r="X181" i="5"/>
  <c r="Y181" i="5" s="1"/>
  <c r="X180" i="5"/>
  <c r="X188" i="5"/>
  <c r="Y188" i="5" s="1"/>
  <c r="X185" i="5"/>
  <c r="Y185" i="5" s="1"/>
  <c r="Z205" i="5"/>
  <c r="AE205" i="5" s="1"/>
  <c r="Z204" i="5"/>
  <c r="AE204" i="5" s="1"/>
  <c r="Z203" i="5"/>
  <c r="AE203" i="5" s="1"/>
  <c r="Z202" i="5"/>
  <c r="AE202" i="5" s="1"/>
  <c r="Y202" i="5"/>
  <c r="T202" i="5"/>
  <c r="T203" i="5"/>
  <c r="T204" i="5"/>
  <c r="T205" i="5"/>
  <c r="T206" i="5"/>
  <c r="T207" i="5"/>
  <c r="Y203" i="5"/>
  <c r="Y204" i="5"/>
  <c r="Y205" i="5"/>
  <c r="Y206" i="5"/>
  <c r="Y207" i="5"/>
  <c r="Z207" i="5"/>
  <c r="AI202" i="5"/>
  <c r="AJ202" i="5" s="1"/>
  <c r="AI203" i="5"/>
  <c r="AJ203" i="5" s="1"/>
  <c r="AI204" i="5"/>
  <c r="AJ204" i="5" s="1"/>
  <c r="AI205" i="5"/>
  <c r="AJ205" i="5" s="1"/>
  <c r="AI206" i="5"/>
  <c r="AJ206" i="5" s="1"/>
  <c r="AI207" i="5"/>
  <c r="AJ207" i="5" s="1"/>
  <c r="Y196" i="5"/>
  <c r="Z195" i="5"/>
  <c r="AE195" i="5" s="1"/>
  <c r="T195" i="5"/>
  <c r="T196" i="5"/>
  <c r="T197" i="5"/>
  <c r="Y197" i="5"/>
  <c r="Z197" i="5"/>
  <c r="AI196" i="5"/>
  <c r="AJ196" i="5" s="1"/>
  <c r="AI197" i="5"/>
  <c r="AJ197" i="5" s="1"/>
  <c r="AI195" i="5"/>
  <c r="AJ195" i="5" s="1"/>
  <c r="Y195" i="5"/>
  <c r="Z194" i="5"/>
  <c r="AE194" i="5" s="1"/>
  <c r="T192" i="5"/>
  <c r="T193" i="5"/>
  <c r="T194" i="5"/>
  <c r="Y192" i="5"/>
  <c r="Y193" i="5"/>
  <c r="Y194" i="5"/>
  <c r="AI192" i="5"/>
  <c r="AJ192" i="5" s="1"/>
  <c r="AI193" i="5"/>
  <c r="AJ193" i="5" s="1"/>
  <c r="AI194" i="5"/>
  <c r="AJ194" i="5" s="1"/>
  <c r="Z192" i="5"/>
  <c r="AE192" i="5" s="1"/>
  <c r="Z193" i="5"/>
  <c r="Z191" i="5"/>
  <c r="AE191" i="5" s="1"/>
  <c r="Y191" i="5"/>
  <c r="AI191" i="5"/>
  <c r="AJ191" i="5" s="1"/>
  <c r="T191" i="5"/>
  <c r="T181" i="5"/>
  <c r="Z181" i="5"/>
  <c r="T190" i="5"/>
  <c r="T184" i="5"/>
  <c r="T185" i="5"/>
  <c r="T186" i="5"/>
  <c r="T187" i="5"/>
  <c r="T188" i="5"/>
  <c r="T189" i="5"/>
  <c r="Y186" i="5"/>
  <c r="Y187" i="5"/>
  <c r="Y189" i="5"/>
  <c r="Y190" i="5"/>
  <c r="AI187" i="5"/>
  <c r="AJ187" i="5" s="1"/>
  <c r="AI190" i="5"/>
  <c r="AJ190" i="5" s="1"/>
  <c r="Y182" i="5"/>
  <c r="T182" i="5"/>
  <c r="T183" i="5"/>
  <c r="Y183" i="5"/>
  <c r="Y184" i="5"/>
  <c r="AI184" i="5"/>
  <c r="AJ184" i="5" s="1"/>
  <c r="Z180" i="5"/>
  <c r="T180" i="5"/>
  <c r="AI179" i="5"/>
  <c r="AJ179" i="5" s="1"/>
  <c r="Y179" i="5"/>
  <c r="T179" i="5"/>
  <c r="Z179" i="5"/>
  <c r="AE179" i="5" s="1"/>
  <c r="Y176" i="5"/>
  <c r="V177" i="5"/>
  <c r="AI177" i="5" s="1"/>
  <c r="AJ177" i="5" s="1"/>
  <c r="Z176" i="5"/>
  <c r="AE176" i="5" s="1"/>
  <c r="T177" i="5"/>
  <c r="T178" i="5"/>
  <c r="Y178" i="5"/>
  <c r="AI178" i="5"/>
  <c r="AJ178" i="5" s="1"/>
  <c r="Z177" i="5"/>
  <c r="AE177" i="5" s="1"/>
  <c r="T176" i="5"/>
  <c r="AI176" i="5"/>
  <c r="AJ176" i="5" s="1"/>
  <c r="T175" i="5"/>
  <c r="Y175" i="5"/>
  <c r="AI175" i="5"/>
  <c r="AJ175" i="5" s="1"/>
  <c r="Z175" i="5"/>
  <c r="AE175" i="5" s="1"/>
  <c r="Z174" i="5"/>
  <c r="AE174" i="5" s="1"/>
  <c r="V174" i="5"/>
  <c r="AI173" i="5" s="1"/>
  <c r="AJ173" i="5" s="1"/>
  <c r="T174" i="5"/>
  <c r="Z173" i="5"/>
  <c r="AE173" i="5" s="1"/>
  <c r="T173" i="5"/>
  <c r="Y173" i="5"/>
  <c r="T172" i="5"/>
  <c r="Y171" i="5"/>
  <c r="Y172" i="5"/>
  <c r="Z171" i="5"/>
  <c r="Z172" i="5"/>
  <c r="T171" i="5"/>
  <c r="Z170" i="5"/>
  <c r="T170" i="5"/>
  <c r="Y170" i="5"/>
  <c r="AI170" i="5"/>
  <c r="AJ170" i="5" s="1"/>
  <c r="T168" i="5"/>
  <c r="T169" i="5"/>
  <c r="Y168" i="5"/>
  <c r="Y169" i="5"/>
  <c r="V167" i="5"/>
  <c r="AI167" i="5" s="1"/>
  <c r="AJ167" i="5" s="1"/>
  <c r="T167" i="5"/>
  <c r="Z167" i="5"/>
  <c r="AE167" i="5" s="1"/>
  <c r="Z166" i="5"/>
  <c r="AE166" i="5" s="1"/>
  <c r="AI166" i="5"/>
  <c r="AJ166" i="5" s="1"/>
  <c r="Y166" i="5"/>
  <c r="T166" i="5"/>
  <c r="Y165" i="5"/>
  <c r="T165" i="5"/>
  <c r="AI163" i="5"/>
  <c r="AJ163" i="5" s="1"/>
  <c r="Y163" i="5"/>
  <c r="Y164" i="5"/>
  <c r="T163" i="5"/>
  <c r="T164" i="5"/>
  <c r="Z163" i="5"/>
  <c r="AE163" i="5" s="1"/>
  <c r="Z162" i="5"/>
  <c r="AE162" i="5" s="1"/>
  <c r="Y162" i="5"/>
  <c r="AI162" i="5"/>
  <c r="AJ162" i="5" s="1"/>
  <c r="T162" i="5"/>
  <c r="Z161" i="5"/>
  <c r="AE161" i="5" s="1"/>
  <c r="Y161" i="5"/>
  <c r="AI161" i="5"/>
  <c r="AJ161" i="5" s="1"/>
  <c r="T161" i="5"/>
  <c r="Z160" i="5"/>
  <c r="T160" i="5"/>
  <c r="Y160" i="5"/>
  <c r="AI160" i="5"/>
  <c r="AJ160" i="5" s="1"/>
  <c r="T158" i="5"/>
  <c r="T159" i="5"/>
  <c r="Z158" i="5"/>
  <c r="Z159" i="5"/>
  <c r="Y158" i="5"/>
  <c r="Y159" i="5"/>
  <c r="K130" i="1"/>
  <c r="K129" i="1"/>
  <c r="L127" i="1"/>
  <c r="Z144" i="5"/>
  <c r="AE144" i="5" s="1"/>
  <c r="AI157" i="5"/>
  <c r="AJ157" i="5" s="1"/>
  <c r="Y157" i="5"/>
  <c r="T157" i="5"/>
  <c r="Z157" i="5"/>
  <c r="AE157" i="5" s="1"/>
  <c r="Z156" i="5"/>
  <c r="AE156" i="5" s="1"/>
  <c r="Z155" i="5"/>
  <c r="AE155" i="5" s="1"/>
  <c r="T155" i="5"/>
  <c r="AI156" i="5"/>
  <c r="AJ156" i="5" s="1"/>
  <c r="Y156" i="5"/>
  <c r="T156" i="5"/>
  <c r="Z154" i="5"/>
  <c r="AE154" i="5" s="1"/>
  <c r="Z153" i="5"/>
  <c r="AE153" i="5" s="1"/>
  <c r="AI154" i="5"/>
  <c r="AJ154" i="5" s="1"/>
  <c r="AI155" i="5"/>
  <c r="AJ155" i="5" s="1"/>
  <c r="Y154" i="5"/>
  <c r="Y155" i="5"/>
  <c r="T154" i="5"/>
  <c r="T153" i="5"/>
  <c r="AI153" i="5"/>
  <c r="AJ153" i="5" s="1"/>
  <c r="Y153" i="5"/>
  <c r="T152" i="5"/>
  <c r="Z152" i="5"/>
  <c r="Y152" i="5"/>
  <c r="T150" i="5"/>
  <c r="Y151" i="5"/>
  <c r="T151" i="5"/>
  <c r="Z149" i="5"/>
  <c r="Y149" i="5"/>
  <c r="Y150" i="5"/>
  <c r="T149" i="5"/>
  <c r="Z148" i="5"/>
  <c r="V148" i="5"/>
  <c r="AI148" i="5" s="1"/>
  <c r="AJ148" i="5" s="1"/>
  <c r="T148" i="5"/>
  <c r="Z147" i="5"/>
  <c r="AE147" i="5" s="1"/>
  <c r="Y147" i="5"/>
  <c r="AI147" i="5"/>
  <c r="AJ147" i="5" s="1"/>
  <c r="Z146" i="5"/>
  <c r="AE146" i="5" s="1"/>
  <c r="Z145" i="5"/>
  <c r="Y145" i="5"/>
  <c r="Y146" i="5"/>
  <c r="AI145" i="5"/>
  <c r="AJ145" i="5" s="1"/>
  <c r="AI146" i="5"/>
  <c r="AJ146" i="5" s="1"/>
  <c r="T146" i="5"/>
  <c r="T145" i="5"/>
  <c r="T144" i="5"/>
  <c r="AI144" i="5"/>
  <c r="AJ144" i="5" s="1"/>
  <c r="Z140" i="5"/>
  <c r="Z142" i="5"/>
  <c r="Y144" i="5"/>
  <c r="AI105" i="5"/>
  <c r="AJ105" i="5" s="1"/>
  <c r="Z105" i="5"/>
  <c r="Y105" i="5"/>
  <c r="T105" i="5"/>
  <c r="AI102" i="5"/>
  <c r="AJ102" i="5" s="1"/>
  <c r="Z102" i="5"/>
  <c r="Y102" i="5"/>
  <c r="T102" i="5"/>
  <c r="AI99" i="5"/>
  <c r="AJ99" i="5" s="1"/>
  <c r="Z99" i="5"/>
  <c r="Y99" i="5"/>
  <c r="T99" i="5"/>
  <c r="AI95" i="5"/>
  <c r="AJ95" i="5" s="1"/>
  <c r="Z95" i="5"/>
  <c r="Y95" i="5"/>
  <c r="T95" i="5"/>
  <c r="AI92" i="5"/>
  <c r="AJ92" i="5" s="1"/>
  <c r="Z92" i="5"/>
  <c r="Y92" i="5"/>
  <c r="T92" i="5"/>
  <c r="AI90" i="5"/>
  <c r="AJ90" i="5" s="1"/>
  <c r="Z90" i="5"/>
  <c r="Y90" i="5"/>
  <c r="T90" i="5"/>
  <c r="AI89" i="5"/>
  <c r="AJ89" i="5" s="1"/>
  <c r="Z89" i="5"/>
  <c r="Y89" i="5"/>
  <c r="T89" i="5"/>
  <c r="AI87" i="5"/>
  <c r="AJ87" i="5" s="1"/>
  <c r="Z87" i="5"/>
  <c r="Y87" i="5"/>
  <c r="T87" i="5"/>
  <c r="AI84" i="5"/>
  <c r="AJ84" i="5" s="1"/>
  <c r="Z84" i="5"/>
  <c r="Y84" i="5"/>
  <c r="T84" i="5"/>
  <c r="T111" i="5"/>
  <c r="Y111" i="5"/>
  <c r="T96" i="5"/>
  <c r="V135" i="5"/>
  <c r="Y135" i="5" s="1"/>
  <c r="M135" i="5"/>
  <c r="Z135" i="5" s="1"/>
  <c r="AE135" i="5" s="1"/>
  <c r="Z128" i="5"/>
  <c r="AE128" i="5" s="1"/>
  <c r="Z130" i="5"/>
  <c r="AE130" i="5" s="1"/>
  <c r="Z133" i="5"/>
  <c r="AE133" i="5" s="1"/>
  <c r="Z129" i="5"/>
  <c r="Z134" i="5"/>
  <c r="AE134" i="5" s="1"/>
  <c r="Z132" i="5"/>
  <c r="AE132" i="5" s="1"/>
  <c r="Z131" i="5"/>
  <c r="T132" i="5"/>
  <c r="T133" i="5"/>
  <c r="T134" i="5"/>
  <c r="T135" i="5"/>
  <c r="Y128" i="5"/>
  <c r="AI4" i="5"/>
  <c r="AJ4" i="5" s="1"/>
  <c r="AI5" i="5"/>
  <c r="AJ5" i="5" s="1"/>
  <c r="AI6" i="5"/>
  <c r="AJ6" i="5" s="1"/>
  <c r="AI7" i="5"/>
  <c r="AJ7" i="5" s="1"/>
  <c r="AI8" i="5"/>
  <c r="AJ8" i="5" s="1"/>
  <c r="AI9" i="5"/>
  <c r="AJ9" i="5" s="1"/>
  <c r="AI10" i="5"/>
  <c r="AJ10" i="5" s="1"/>
  <c r="AI16" i="5"/>
  <c r="AJ16" i="5" s="1"/>
  <c r="AI17" i="5"/>
  <c r="AJ17" i="5" s="1"/>
  <c r="AI18" i="5"/>
  <c r="AJ18" i="5" s="1"/>
  <c r="AI19" i="5"/>
  <c r="AJ19" i="5" s="1"/>
  <c r="AI20" i="5"/>
  <c r="AJ20" i="5" s="1"/>
  <c r="AI21" i="5"/>
  <c r="AJ21" i="5" s="1"/>
  <c r="AI22" i="5"/>
  <c r="AJ22" i="5" s="1"/>
  <c r="AI24" i="5"/>
  <c r="AJ24" i="5" s="1"/>
  <c r="AI25" i="5"/>
  <c r="AJ25" i="5" s="1"/>
  <c r="AI26" i="5"/>
  <c r="AJ26" i="5" s="1"/>
  <c r="AI27" i="5"/>
  <c r="AJ27" i="5" s="1"/>
  <c r="AI28" i="5"/>
  <c r="AJ28" i="5" s="1"/>
  <c r="AI29" i="5"/>
  <c r="AJ29" i="5" s="1"/>
  <c r="AI38" i="5"/>
  <c r="AJ38" i="5" s="1"/>
  <c r="AI39" i="5"/>
  <c r="AJ39" i="5" s="1"/>
  <c r="AI40" i="5"/>
  <c r="AJ40" i="5" s="1"/>
  <c r="AI41" i="5"/>
  <c r="AJ41" i="5" s="1"/>
  <c r="AI46" i="5"/>
  <c r="AJ46" i="5" s="1"/>
  <c r="AI47" i="5"/>
  <c r="AJ47" i="5" s="1"/>
  <c r="AI52" i="5"/>
  <c r="AJ52" i="5" s="1"/>
  <c r="AI53" i="5"/>
  <c r="AJ53" i="5" s="1"/>
  <c r="AI54" i="5"/>
  <c r="AJ54" i="5" s="1"/>
  <c r="AI59" i="5"/>
  <c r="AJ59" i="5" s="1"/>
  <c r="AI70" i="5"/>
  <c r="AJ70" i="5" s="1"/>
  <c r="AI71" i="5"/>
  <c r="AJ71" i="5" s="1"/>
  <c r="AI72" i="5"/>
  <c r="AJ72" i="5" s="1"/>
  <c r="AI73" i="5"/>
  <c r="AJ73" i="5" s="1"/>
  <c r="AI74" i="5"/>
  <c r="AJ74" i="5" s="1"/>
  <c r="AI75" i="5"/>
  <c r="AJ75" i="5" s="1"/>
  <c r="AI76" i="5"/>
  <c r="AJ76" i="5" s="1"/>
  <c r="AI77" i="5"/>
  <c r="AJ77" i="5" s="1"/>
  <c r="AI78" i="5"/>
  <c r="AJ78" i="5" s="1"/>
  <c r="AI79" i="5"/>
  <c r="AJ79" i="5" s="1"/>
  <c r="AI80" i="5"/>
  <c r="AJ80" i="5" s="1"/>
  <c r="AI81" i="5"/>
  <c r="AJ81" i="5" s="1"/>
  <c r="AI82" i="5"/>
  <c r="AJ82" i="5" s="1"/>
  <c r="AI83" i="5"/>
  <c r="AJ83" i="5" s="1"/>
  <c r="AI85" i="5"/>
  <c r="AJ85" i="5" s="1"/>
  <c r="AI86" i="5"/>
  <c r="AJ86" i="5" s="1"/>
  <c r="AI88" i="5"/>
  <c r="AJ88" i="5" s="1"/>
  <c r="AI91" i="5"/>
  <c r="AJ91" i="5" s="1"/>
  <c r="AI93" i="5"/>
  <c r="AJ93" i="5" s="1"/>
  <c r="AI94" i="5"/>
  <c r="AJ94" i="5" s="1"/>
  <c r="AI96" i="5"/>
  <c r="AJ96" i="5" s="1"/>
  <c r="AI97" i="5"/>
  <c r="AJ97" i="5" s="1"/>
  <c r="AI98" i="5"/>
  <c r="AJ98" i="5" s="1"/>
  <c r="AI100" i="5"/>
  <c r="AJ100" i="5" s="1"/>
  <c r="AI101" i="5"/>
  <c r="AJ101" i="5" s="1"/>
  <c r="AI103" i="5"/>
  <c r="AJ103" i="5" s="1"/>
  <c r="AI104" i="5"/>
  <c r="AJ104" i="5" s="1"/>
  <c r="AI106" i="5"/>
  <c r="AJ106" i="5" s="1"/>
  <c r="AI107" i="5"/>
  <c r="AJ107" i="5" s="1"/>
  <c r="AI110" i="5"/>
  <c r="AJ110" i="5" s="1"/>
  <c r="AI111" i="5"/>
  <c r="AJ111" i="5" s="1"/>
  <c r="AI112" i="5"/>
  <c r="AJ112" i="5" s="1"/>
  <c r="AI113" i="5"/>
  <c r="AJ113" i="5" s="1"/>
  <c r="AI114" i="5"/>
  <c r="AJ114" i="5" s="1"/>
  <c r="AI115" i="5"/>
  <c r="AJ115" i="5" s="1"/>
  <c r="AI454" i="5"/>
  <c r="AJ454" i="5" s="1"/>
  <c r="AI455" i="5"/>
  <c r="AJ455" i="5" s="1"/>
  <c r="AI116" i="5"/>
  <c r="AJ116" i="5" s="1"/>
  <c r="AI117" i="5"/>
  <c r="AJ117" i="5" s="1"/>
  <c r="AI118" i="5"/>
  <c r="AJ118" i="5" s="1"/>
  <c r="AI119" i="5"/>
  <c r="AJ119" i="5" s="1"/>
  <c r="AI120" i="5"/>
  <c r="AJ120" i="5" s="1"/>
  <c r="AI121" i="5"/>
  <c r="AJ121" i="5" s="1"/>
  <c r="AI122" i="5"/>
  <c r="AJ122" i="5" s="1"/>
  <c r="AI123" i="5"/>
  <c r="AJ123" i="5" s="1"/>
  <c r="AI128" i="5"/>
  <c r="AJ128" i="5" s="1"/>
  <c r="AI129" i="5"/>
  <c r="AJ129" i="5" s="1"/>
  <c r="AI130" i="5"/>
  <c r="AJ130" i="5" s="1"/>
  <c r="AI131" i="5"/>
  <c r="AJ131" i="5" s="1"/>
  <c r="AI132" i="5"/>
  <c r="AJ132" i="5" s="1"/>
  <c r="AI133" i="5"/>
  <c r="AJ133" i="5" s="1"/>
  <c r="AI134" i="5"/>
  <c r="AJ134" i="5" s="1"/>
  <c r="Y133" i="5"/>
  <c r="Y134" i="5"/>
  <c r="T131" i="5"/>
  <c r="Y130" i="5"/>
  <c r="Y131" i="5"/>
  <c r="Y132" i="5"/>
  <c r="Y126" i="5"/>
  <c r="Y127" i="5"/>
  <c r="Z126" i="5"/>
  <c r="T126" i="5"/>
  <c r="V125" i="5"/>
  <c r="Y125" i="5" s="1"/>
  <c r="V124" i="5"/>
  <c r="Y124" i="5" s="1"/>
  <c r="T124" i="5"/>
  <c r="T125" i="5"/>
  <c r="T127" i="5"/>
  <c r="T128" i="5"/>
  <c r="Z127" i="5"/>
  <c r="T129" i="5"/>
  <c r="Y129" i="5"/>
  <c r="W107" i="1"/>
  <c r="AB107" i="1" s="1"/>
  <c r="AC107" i="1" s="1"/>
  <c r="U107" i="1"/>
  <c r="AD107" i="1"/>
  <c r="AE107" i="1" s="1"/>
  <c r="W114" i="1"/>
  <c r="W113" i="1"/>
  <c r="AB113" i="1" s="1"/>
  <c r="AC113" i="1" s="1"/>
  <c r="U113" i="1"/>
  <c r="U114" i="1"/>
  <c r="U115" i="1"/>
  <c r="AA115" i="1" s="1"/>
  <c r="U116" i="1"/>
  <c r="AA116" i="1" s="1"/>
  <c r="U117" i="1"/>
  <c r="AA117" i="1" s="1"/>
  <c r="W112" i="1"/>
  <c r="AB112" i="1" s="1"/>
  <c r="AC112" i="1" s="1"/>
  <c r="W111" i="1"/>
  <c r="AB111" i="1" s="1"/>
  <c r="AC111" i="1" s="1"/>
  <c r="W110" i="1"/>
  <c r="AB110" i="1" s="1"/>
  <c r="AC110" i="1" s="1"/>
  <c r="W109" i="1"/>
  <c r="AB109" i="1" s="1"/>
  <c r="AC109" i="1" s="1"/>
  <c r="W108" i="1"/>
  <c r="AB108" i="1" s="1"/>
  <c r="AC108" i="1" s="1"/>
  <c r="U108" i="1"/>
  <c r="U109" i="1"/>
  <c r="U110" i="1"/>
  <c r="U111" i="1"/>
  <c r="U112" i="1"/>
  <c r="W106" i="1"/>
  <c r="AB106" i="1" s="1"/>
  <c r="AC106" i="1" s="1"/>
  <c r="U106" i="1"/>
  <c r="AA118" i="1"/>
  <c r="AA119" i="1"/>
  <c r="AA120" i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E120" i="1" s="1"/>
  <c r="AD105" i="1"/>
  <c r="AE105" i="1" s="1"/>
  <c r="AD106" i="1"/>
  <c r="AE106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Z7" i="5"/>
  <c r="AE7" i="5" s="1"/>
  <c r="Z21" i="5"/>
  <c r="Z64" i="5"/>
  <c r="Z42" i="5"/>
  <c r="T42" i="5"/>
  <c r="Y24" i="5"/>
  <c r="T24" i="5"/>
  <c r="AB68" i="5"/>
  <c r="V68" i="5"/>
  <c r="Y68" i="5" s="1"/>
  <c r="AA68" i="5"/>
  <c r="O68" i="5"/>
  <c r="T68" i="5" s="1"/>
  <c r="AB69" i="5"/>
  <c r="AA69" i="5"/>
  <c r="V69" i="5"/>
  <c r="Y69" i="5" s="1"/>
  <c r="O69" i="5"/>
  <c r="N69" i="5"/>
  <c r="T130" i="5"/>
  <c r="T25" i="5"/>
  <c r="T26" i="5"/>
  <c r="T27" i="5"/>
  <c r="T28" i="5"/>
  <c r="T29" i="5"/>
  <c r="AG29" i="5" s="1"/>
  <c r="AH29" i="5" s="1"/>
  <c r="T13" i="5"/>
  <c r="T14" i="5"/>
  <c r="AG14" i="5" s="1"/>
  <c r="AH14" i="5" s="1"/>
  <c r="T15" i="5"/>
  <c r="T38" i="5"/>
  <c r="T39" i="5"/>
  <c r="T40" i="5"/>
  <c r="T41" i="5"/>
  <c r="T46" i="5"/>
  <c r="T47" i="5"/>
  <c r="T43" i="5"/>
  <c r="T44" i="5"/>
  <c r="T45" i="5"/>
  <c r="T53" i="5"/>
  <c r="T54" i="5"/>
  <c r="T48" i="5"/>
  <c r="T49" i="5"/>
  <c r="T50" i="5"/>
  <c r="T51" i="5"/>
  <c r="T59" i="5"/>
  <c r="T55" i="5"/>
  <c r="T56" i="5"/>
  <c r="T57" i="5"/>
  <c r="T58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5" i="5"/>
  <c r="T86" i="5"/>
  <c r="T88" i="5"/>
  <c r="T91" i="5"/>
  <c r="T93" i="5"/>
  <c r="T94" i="5"/>
  <c r="T97" i="5"/>
  <c r="T98" i="5"/>
  <c r="T100" i="5"/>
  <c r="T101" i="5"/>
  <c r="T103" i="5"/>
  <c r="T104" i="5"/>
  <c r="T106" i="5"/>
  <c r="T107" i="5"/>
  <c r="T110" i="5"/>
  <c r="T112" i="5"/>
  <c r="T113" i="5"/>
  <c r="T114" i="5"/>
  <c r="T115" i="5"/>
  <c r="T454" i="5"/>
  <c r="T455" i="5"/>
  <c r="T116" i="5"/>
  <c r="T117" i="5"/>
  <c r="T118" i="5"/>
  <c r="T119" i="5"/>
  <c r="T120" i="5"/>
  <c r="T121" i="5"/>
  <c r="T122" i="5"/>
  <c r="T16" i="5"/>
  <c r="T17" i="5"/>
  <c r="T18" i="5"/>
  <c r="T19" i="5"/>
  <c r="T20" i="5"/>
  <c r="T21" i="5"/>
  <c r="T22" i="5"/>
  <c r="T2" i="5"/>
  <c r="T3" i="5"/>
  <c r="T4" i="5"/>
  <c r="T5" i="5"/>
  <c r="T6" i="5"/>
  <c r="T7" i="5"/>
  <c r="T8" i="5"/>
  <c r="T9" i="5"/>
  <c r="T10" i="5"/>
  <c r="T11" i="5"/>
  <c r="T12" i="5"/>
  <c r="T123" i="5"/>
  <c r="T23" i="5"/>
  <c r="T52" i="5"/>
  <c r="Y25" i="5"/>
  <c r="Y26" i="5"/>
  <c r="Y27" i="5"/>
  <c r="Y28" i="5"/>
  <c r="Y29" i="5"/>
  <c r="Y13" i="5"/>
  <c r="Y14" i="5"/>
  <c r="Y15" i="5"/>
  <c r="Y38" i="5"/>
  <c r="Y39" i="5"/>
  <c r="Y40" i="5"/>
  <c r="Y41" i="5"/>
  <c r="Y46" i="5"/>
  <c r="Y47" i="5"/>
  <c r="Y42" i="5"/>
  <c r="Y43" i="5"/>
  <c r="Y44" i="5"/>
  <c r="Y45" i="5"/>
  <c r="Y53" i="5"/>
  <c r="Y54" i="5"/>
  <c r="Y48" i="5"/>
  <c r="Y49" i="5"/>
  <c r="Y50" i="5"/>
  <c r="Y51" i="5"/>
  <c r="Y59" i="5"/>
  <c r="Y55" i="5"/>
  <c r="Y56" i="5"/>
  <c r="Y57" i="5"/>
  <c r="Y58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5" i="5"/>
  <c r="Y86" i="5"/>
  <c r="Y88" i="5"/>
  <c r="Y91" i="5"/>
  <c r="Y93" i="5"/>
  <c r="Y94" i="5"/>
  <c r="Y96" i="5"/>
  <c r="Y97" i="5"/>
  <c r="Y98" i="5"/>
  <c r="Y100" i="5"/>
  <c r="Y101" i="5"/>
  <c r="Y103" i="5"/>
  <c r="Y104" i="5"/>
  <c r="Y106" i="5"/>
  <c r="Y107" i="5"/>
  <c r="Y110" i="5"/>
  <c r="Y112" i="5"/>
  <c r="Y113" i="5"/>
  <c r="Y114" i="5"/>
  <c r="Y115" i="5"/>
  <c r="Y454" i="5"/>
  <c r="Y455" i="5"/>
  <c r="Y116" i="5"/>
  <c r="Y117" i="5"/>
  <c r="Y118" i="5"/>
  <c r="Y119" i="5"/>
  <c r="Y120" i="5"/>
  <c r="Y121" i="5"/>
  <c r="Y122" i="5"/>
  <c r="Y16" i="5"/>
  <c r="Y17" i="5"/>
  <c r="Y18" i="5"/>
  <c r="Y19" i="5"/>
  <c r="Y20" i="5"/>
  <c r="Y21" i="5"/>
  <c r="Y22" i="5"/>
  <c r="Y2" i="5"/>
  <c r="Y3" i="5"/>
  <c r="Y4" i="5"/>
  <c r="Y5" i="5"/>
  <c r="Y6" i="5"/>
  <c r="Y7" i="5"/>
  <c r="Y8" i="5"/>
  <c r="Y9" i="5"/>
  <c r="Y10" i="5"/>
  <c r="Y11" i="5"/>
  <c r="Y12" i="5"/>
  <c r="Y123" i="5"/>
  <c r="Y23" i="5"/>
  <c r="Y52" i="5"/>
  <c r="Z30" i="5"/>
  <c r="Z32" i="5"/>
  <c r="Z25" i="5"/>
  <c r="AE25" i="5" s="1"/>
  <c r="Z26" i="5"/>
  <c r="AE26" i="5" s="1"/>
  <c r="Z27" i="5"/>
  <c r="AE27" i="5" s="1"/>
  <c r="Z28" i="5"/>
  <c r="AE28" i="5" s="1"/>
  <c r="Z24" i="5"/>
  <c r="AE29" i="5"/>
  <c r="Z4" i="5"/>
  <c r="AE4" i="5" s="1"/>
  <c r="Z18" i="5"/>
  <c r="Z39" i="5"/>
  <c r="AE39" i="5" s="1"/>
  <c r="Z52" i="5"/>
  <c r="AE52" i="5" s="1"/>
  <c r="Z6" i="5"/>
  <c r="AE6" i="5" s="1"/>
  <c r="Z19" i="5"/>
  <c r="AE19" i="5" s="1"/>
  <c r="Z8" i="5"/>
  <c r="AE8" i="5" s="1"/>
  <c r="Z20" i="5"/>
  <c r="AE20" i="5" s="1"/>
  <c r="Z41" i="5"/>
  <c r="AE41" i="5" s="1"/>
  <c r="Z9" i="5"/>
  <c r="Z17" i="5"/>
  <c r="Z54" i="5"/>
  <c r="AE54" i="5" s="1"/>
  <c r="Z47" i="5"/>
  <c r="AE47" i="5" s="1"/>
  <c r="Z40" i="5"/>
  <c r="AE40" i="5" s="1"/>
  <c r="Z10" i="5"/>
  <c r="AE10" i="5" s="1"/>
  <c r="Z22" i="5"/>
  <c r="Z59" i="5"/>
  <c r="AE59" i="5" s="1"/>
  <c r="Z5" i="5"/>
  <c r="Z16" i="5"/>
  <c r="AE16" i="5" s="1"/>
  <c r="Z53" i="5"/>
  <c r="AE53" i="5" s="1"/>
  <c r="Z46" i="5"/>
  <c r="AE46" i="5" s="1"/>
  <c r="Z38" i="5"/>
  <c r="AE38" i="5" s="1"/>
  <c r="Z123" i="5"/>
  <c r="Z3" i="5"/>
  <c r="Z2" i="5"/>
  <c r="Z121" i="5"/>
  <c r="Z119" i="5"/>
  <c r="Z118" i="5"/>
  <c r="Z455" i="5"/>
  <c r="Z115" i="5"/>
  <c r="Z113" i="5"/>
  <c r="Z111" i="5"/>
  <c r="Z107" i="5"/>
  <c r="Z104" i="5"/>
  <c r="Z101" i="5"/>
  <c r="Z98" i="5"/>
  <c r="Z94" i="5"/>
  <c r="Z86" i="5"/>
  <c r="Z83" i="5"/>
  <c r="Z81" i="5"/>
  <c r="Z80" i="5"/>
  <c r="Z78" i="5"/>
  <c r="Z77" i="5"/>
  <c r="Z75" i="5"/>
  <c r="Z74" i="5"/>
  <c r="Z71" i="5"/>
  <c r="Z70" i="5"/>
  <c r="Z66" i="5"/>
  <c r="Z58" i="5"/>
  <c r="Z57" i="5"/>
  <c r="Z49" i="5"/>
  <c r="Z48" i="5"/>
  <c r="Z43" i="5"/>
  <c r="Z13" i="5"/>
  <c r="U9" i="1"/>
  <c r="W105" i="1"/>
  <c r="AB105" i="1" s="1"/>
  <c r="AC105" i="1" s="1"/>
  <c r="U105" i="1"/>
  <c r="W32" i="1"/>
  <c r="W27" i="1"/>
  <c r="W39" i="1"/>
  <c r="W40" i="1"/>
  <c r="Z46" i="1"/>
  <c r="AA56" i="1"/>
  <c r="AA54" i="1"/>
  <c r="Z102" i="1"/>
  <c r="T102" i="1"/>
  <c r="Z101" i="1"/>
  <c r="U102" i="1"/>
  <c r="W102" i="1"/>
  <c r="AB102" i="1" s="1"/>
  <c r="AC102" i="1" s="1"/>
  <c r="U101" i="1"/>
  <c r="W101" i="1"/>
  <c r="AB101" i="1" s="1"/>
  <c r="AC101" i="1" s="1"/>
  <c r="T101" i="1"/>
  <c r="Z104" i="1"/>
  <c r="T11" i="1"/>
  <c r="T104" i="1"/>
  <c r="W104" i="1"/>
  <c r="AB104" i="1" s="1"/>
  <c r="AC104" i="1" s="1"/>
  <c r="U104" i="1"/>
  <c r="Z19" i="1"/>
  <c r="U19" i="1"/>
  <c r="W19" i="1"/>
  <c r="AB19" i="1" s="1"/>
  <c r="T19" i="1"/>
  <c r="Z18" i="1"/>
  <c r="T18" i="1"/>
  <c r="Z25" i="1"/>
  <c r="T25" i="1"/>
  <c r="Z24" i="1"/>
  <c r="T24" i="1"/>
  <c r="U24" i="1"/>
  <c r="W24" i="1"/>
  <c r="AB24" i="1" s="1"/>
  <c r="U25" i="1"/>
  <c r="W25" i="1"/>
  <c r="Z30" i="1"/>
  <c r="T30" i="1"/>
  <c r="Z31" i="1"/>
  <c r="U31" i="1"/>
  <c r="W31" i="1"/>
  <c r="AB31" i="1" s="1"/>
  <c r="AC31" i="1" s="1"/>
  <c r="T31" i="1"/>
  <c r="Z33" i="1"/>
  <c r="Y33" i="1"/>
  <c r="P33" i="1"/>
  <c r="Z34" i="1"/>
  <c r="Y34" i="1"/>
  <c r="W33" i="1"/>
  <c r="W34" i="1"/>
  <c r="T34" i="1"/>
  <c r="P34" i="1"/>
  <c r="Z38" i="1"/>
  <c r="Y38" i="1"/>
  <c r="W38" i="1"/>
  <c r="T38" i="1"/>
  <c r="P38" i="1"/>
  <c r="Z37" i="1"/>
  <c r="Y37" i="1"/>
  <c r="T37" i="1"/>
  <c r="P37" i="1"/>
  <c r="U39" i="1"/>
  <c r="W100" i="1"/>
  <c r="AB100" i="1" s="1"/>
  <c r="AC100" i="1" s="1"/>
  <c r="T100" i="1"/>
  <c r="AD100" i="1" s="1"/>
  <c r="AE100" i="1" s="1"/>
  <c r="W99" i="1"/>
  <c r="AB99" i="1" s="1"/>
  <c r="AC99" i="1" s="1"/>
  <c r="T99" i="1"/>
  <c r="AD99" i="1" s="1"/>
  <c r="AE99" i="1" s="1"/>
  <c r="W97" i="1"/>
  <c r="AB97" i="1" s="1"/>
  <c r="AC97" i="1" s="1"/>
  <c r="W98" i="1"/>
  <c r="AB98" i="1" s="1"/>
  <c r="AC98" i="1" s="1"/>
  <c r="T97" i="1"/>
  <c r="AD97" i="1" s="1"/>
  <c r="AE97" i="1" s="1"/>
  <c r="T98" i="1"/>
  <c r="AD98" i="1" s="1"/>
  <c r="AE98" i="1" s="1"/>
  <c r="W96" i="1"/>
  <c r="W94" i="1"/>
  <c r="AB94" i="1" s="1"/>
  <c r="AC94" i="1" s="1"/>
  <c r="W95" i="1"/>
  <c r="AB95" i="1" s="1"/>
  <c r="AC95" i="1" s="1"/>
  <c r="W93" i="1"/>
  <c r="AB93" i="1" s="1"/>
  <c r="AC93" i="1" s="1"/>
  <c r="U93" i="1"/>
  <c r="U94" i="1"/>
  <c r="U95" i="1"/>
  <c r="U96" i="1"/>
  <c r="U97" i="1"/>
  <c r="U98" i="1"/>
  <c r="U99" i="1"/>
  <c r="U100" i="1"/>
  <c r="W92" i="1"/>
  <c r="AB92" i="1" s="1"/>
  <c r="AC92" i="1" s="1"/>
  <c r="U92" i="1"/>
  <c r="Z40" i="1"/>
  <c r="AD40" i="1" s="1"/>
  <c r="U40" i="1"/>
  <c r="Z43" i="1"/>
  <c r="AD43" i="1" s="1"/>
  <c r="AE43" i="1" s="1"/>
  <c r="W43" i="1"/>
  <c r="AB43" i="1" s="1"/>
  <c r="AC43" i="1" s="1"/>
  <c r="U43" i="1"/>
  <c r="W42" i="1"/>
  <c r="AB42" i="1" s="1"/>
  <c r="AC42" i="1" s="1"/>
  <c r="U42" i="1"/>
  <c r="Z45" i="1"/>
  <c r="AD45" i="1" s="1"/>
  <c r="AE45" i="1" s="1"/>
  <c r="W45" i="1"/>
  <c r="U45" i="1"/>
  <c r="W46" i="1"/>
  <c r="AB46" i="1" s="1"/>
  <c r="AC46" i="1" s="1"/>
  <c r="U46" i="1"/>
  <c r="W48" i="1"/>
  <c r="AB48" i="1" s="1"/>
  <c r="AC48" i="1" s="1"/>
  <c r="U48" i="1"/>
  <c r="W49" i="1"/>
  <c r="AB49" i="1" s="1"/>
  <c r="AC49" i="1" s="1"/>
  <c r="U49" i="1"/>
  <c r="Z51" i="1"/>
  <c r="AD49" i="1"/>
  <c r="AE49" i="1" s="1"/>
  <c r="Z52" i="1"/>
  <c r="AD52" i="1" s="1"/>
  <c r="AE52" i="1" s="1"/>
  <c r="U52" i="1"/>
  <c r="W52" i="1"/>
  <c r="AB52" i="1" s="1"/>
  <c r="AC52" i="1" s="1"/>
  <c r="W51" i="1"/>
  <c r="AB51" i="1" s="1"/>
  <c r="AC51" i="1" s="1"/>
  <c r="U51" i="1"/>
  <c r="U11" i="1"/>
  <c r="W11" i="1"/>
  <c r="W91" i="1"/>
  <c r="AB91" i="1" s="1"/>
  <c r="AC91" i="1" s="1"/>
  <c r="U91" i="1"/>
  <c r="W90" i="1"/>
  <c r="AB90" i="1" s="1"/>
  <c r="AC90" i="1" s="1"/>
  <c r="U90" i="1"/>
  <c r="W89" i="1"/>
  <c r="U89" i="1"/>
  <c r="Y88" i="1"/>
  <c r="AD88" i="1" s="1"/>
  <c r="AE88" i="1" s="1"/>
  <c r="W88" i="1"/>
  <c r="AB88" i="1" s="1"/>
  <c r="AC88" i="1" s="1"/>
  <c r="U88" i="1"/>
  <c r="Y87" i="1"/>
  <c r="AD87" i="1" s="1"/>
  <c r="AE87" i="1" s="1"/>
  <c r="Y86" i="1"/>
  <c r="AD86" i="1" s="1"/>
  <c r="AE86" i="1" s="1"/>
  <c r="W87" i="1"/>
  <c r="AB87" i="1" s="1"/>
  <c r="AC87" i="1" s="1"/>
  <c r="U87" i="1"/>
  <c r="W6" i="1"/>
  <c r="W7" i="1"/>
  <c r="W8" i="1"/>
  <c r="W85" i="1"/>
  <c r="AB85" i="1" s="1"/>
  <c r="AC85" i="1" s="1"/>
  <c r="Y85" i="1"/>
  <c r="AD85" i="1" s="1"/>
  <c r="AE85" i="1" s="1"/>
  <c r="W86" i="1"/>
  <c r="AB86" i="1" s="1"/>
  <c r="AC86" i="1" s="1"/>
  <c r="U86" i="1"/>
  <c r="U85" i="1"/>
  <c r="AD54" i="1"/>
  <c r="AE54" i="1" s="1"/>
  <c r="AB54" i="1"/>
  <c r="AC54" i="1" s="1"/>
  <c r="AD56" i="1"/>
  <c r="AE56" i="1" s="1"/>
  <c r="AB56" i="1"/>
  <c r="AC56" i="1" s="1"/>
  <c r="W10" i="1"/>
  <c r="U10" i="1"/>
  <c r="W9" i="1"/>
  <c r="AD48" i="1"/>
  <c r="AE48" i="1" s="1"/>
  <c r="AD42" i="1"/>
  <c r="AE42" i="1" s="1"/>
  <c r="AD39" i="1"/>
  <c r="AE39" i="1" s="1"/>
  <c r="AB60" i="1"/>
  <c r="AC60" i="1" s="1"/>
  <c r="W35" i="1"/>
  <c r="W36" i="1"/>
  <c r="AD3" i="1"/>
  <c r="AE3" i="1" s="1"/>
  <c r="AB103" i="1"/>
  <c r="AC103" i="1" s="1"/>
  <c r="AB83" i="1"/>
  <c r="AC83" i="1" s="1"/>
  <c r="AB81" i="1"/>
  <c r="AC81" i="1" s="1"/>
  <c r="AB80" i="1"/>
  <c r="AC80" i="1" s="1"/>
  <c r="AB77" i="1"/>
  <c r="AC77" i="1" s="1"/>
  <c r="AB75" i="1"/>
  <c r="AC75" i="1" s="1"/>
  <c r="AB73" i="1"/>
  <c r="AC73" i="1" s="1"/>
  <c r="AB71" i="1"/>
  <c r="AC71" i="1" s="1"/>
  <c r="AB69" i="1"/>
  <c r="AC69" i="1" s="1"/>
  <c r="AB67" i="1"/>
  <c r="AC67" i="1" s="1"/>
  <c r="AB65" i="1"/>
  <c r="AC65" i="1" s="1"/>
  <c r="AB63" i="1"/>
  <c r="AC63" i="1" s="1"/>
  <c r="AB58" i="1"/>
  <c r="AC58" i="1" s="1"/>
  <c r="U74" i="1"/>
  <c r="U75" i="1"/>
  <c r="AA75" i="1" s="1"/>
  <c r="U76" i="1"/>
  <c r="U77" i="1"/>
  <c r="AA77" i="1" s="1"/>
  <c r="U78" i="1"/>
  <c r="U79" i="1"/>
  <c r="U80" i="1"/>
  <c r="AA80" i="1" s="1"/>
  <c r="U81" i="1"/>
  <c r="AA81" i="1" s="1"/>
  <c r="U82" i="1"/>
  <c r="U83" i="1"/>
  <c r="AA83" i="1" s="1"/>
  <c r="U84" i="1"/>
  <c r="U103" i="1"/>
  <c r="AA103" i="1" s="1"/>
  <c r="U7" i="1"/>
  <c r="U8" i="1"/>
  <c r="U16" i="1"/>
  <c r="U17" i="1"/>
  <c r="U18" i="1"/>
  <c r="U22" i="1"/>
  <c r="U23" i="1"/>
  <c r="U20" i="1"/>
  <c r="U21" i="1"/>
  <c r="U28" i="1"/>
  <c r="U29" i="1"/>
  <c r="U30" i="1"/>
  <c r="U26" i="1"/>
  <c r="U27" i="1"/>
  <c r="U35" i="1"/>
  <c r="U36" i="1"/>
  <c r="U32" i="1"/>
  <c r="U41" i="1"/>
  <c r="U44" i="1"/>
  <c r="U47" i="1"/>
  <c r="U50" i="1"/>
  <c r="U53" i="1"/>
  <c r="U55" i="1"/>
  <c r="U57" i="1"/>
  <c r="U58" i="1"/>
  <c r="AA58" i="1" s="1"/>
  <c r="U59" i="1"/>
  <c r="U60" i="1"/>
  <c r="AA60" i="1" s="1"/>
  <c r="U61" i="1"/>
  <c r="U62" i="1"/>
  <c r="U63" i="1"/>
  <c r="AA63" i="1" s="1"/>
  <c r="U64" i="1"/>
  <c r="U65" i="1"/>
  <c r="AA65" i="1" s="1"/>
  <c r="U66" i="1"/>
  <c r="U67" i="1"/>
  <c r="AA67" i="1" s="1"/>
  <c r="U68" i="1"/>
  <c r="U69" i="1"/>
  <c r="AA69" i="1" s="1"/>
  <c r="U70" i="1"/>
  <c r="U71" i="1"/>
  <c r="AA71" i="1" s="1"/>
  <c r="U72" i="1"/>
  <c r="U73" i="1"/>
  <c r="AA73" i="1" s="1"/>
  <c r="AL6" i="1" a="1"/>
  <c r="AL6" i="1" s="1"/>
  <c r="AL3" i="1" a="1"/>
  <c r="AL3" i="1" s="1"/>
  <c r="AL4" i="1" a="1"/>
  <c r="AL4" i="1" s="1"/>
  <c r="AD103" i="1"/>
  <c r="AE103" i="1" s="1"/>
  <c r="AD83" i="1"/>
  <c r="AE83" i="1" s="1"/>
  <c r="AD80" i="1"/>
  <c r="AE80" i="1" s="1"/>
  <c r="AD81" i="1"/>
  <c r="AE81" i="1" s="1"/>
  <c r="AD77" i="1"/>
  <c r="AE77" i="1" s="1"/>
  <c r="AD75" i="1"/>
  <c r="AE75" i="1" s="1"/>
  <c r="AD73" i="1"/>
  <c r="AE73" i="1" s="1"/>
  <c r="AD71" i="1"/>
  <c r="AE71" i="1" s="1"/>
  <c r="AD69" i="1"/>
  <c r="AE69" i="1" s="1"/>
  <c r="AD67" i="1"/>
  <c r="AE67" i="1" s="1"/>
  <c r="AD65" i="1"/>
  <c r="AE65" i="1" s="1"/>
  <c r="AD63" i="1"/>
  <c r="AE63" i="1" s="1"/>
  <c r="AD60" i="1"/>
  <c r="AE60" i="1" s="1"/>
  <c r="AD58" i="1"/>
  <c r="AE58" i="1" s="1"/>
  <c r="AD9" i="1"/>
  <c r="AD10" i="1"/>
  <c r="AD89" i="1"/>
  <c r="AE89" i="1" s="1"/>
  <c r="AD90" i="1"/>
  <c r="AE90" i="1" s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E96" i="1" s="1"/>
  <c r="W50" i="1"/>
  <c r="W47" i="1"/>
  <c r="W44" i="1"/>
  <c r="W41" i="1"/>
  <c r="W37" i="1"/>
  <c r="AD47" i="1"/>
  <c r="AE47" i="1" s="1"/>
  <c r="AD44" i="1"/>
  <c r="AE44" i="1" s="1"/>
  <c r="AD41" i="1"/>
  <c r="AE41" i="1" s="1"/>
  <c r="W59" i="1"/>
  <c r="AB59" i="1" s="1"/>
  <c r="AC59" i="1" s="1"/>
  <c r="W57" i="1"/>
  <c r="AB57" i="1" s="1"/>
  <c r="AC57" i="1" s="1"/>
  <c r="W55" i="1"/>
  <c r="AB55" i="1" s="1"/>
  <c r="AC55" i="1" s="1"/>
  <c r="W53" i="1"/>
  <c r="AB53" i="1" s="1"/>
  <c r="AC53" i="1" s="1"/>
  <c r="AD57" i="1"/>
  <c r="AE57" i="1" s="1"/>
  <c r="AD55" i="1"/>
  <c r="AE55" i="1" s="1"/>
  <c r="AD53" i="1"/>
  <c r="AE53" i="1" s="1"/>
  <c r="AD50" i="1"/>
  <c r="AE50" i="1" s="1"/>
  <c r="AD59" i="1"/>
  <c r="AE59" i="1" s="1"/>
  <c r="W68" i="1"/>
  <c r="AB68" i="1" s="1"/>
  <c r="AC68" i="1" s="1"/>
  <c r="W66" i="1"/>
  <c r="AB66" i="1" s="1"/>
  <c r="AC66" i="1" s="1"/>
  <c r="W64" i="1"/>
  <c r="W62" i="1"/>
  <c r="AB62" i="1" s="1"/>
  <c r="AC62" i="1" s="1"/>
  <c r="W61" i="1"/>
  <c r="AD61" i="1"/>
  <c r="AE61" i="1" s="1"/>
  <c r="AD66" i="1"/>
  <c r="AE66" i="1" s="1"/>
  <c r="AD64" i="1"/>
  <c r="AE64" i="1" s="1"/>
  <c r="AD62" i="1"/>
  <c r="AE62" i="1" s="1"/>
  <c r="AD68" i="1"/>
  <c r="AE68" i="1" s="1"/>
  <c r="W76" i="1"/>
  <c r="AB76" i="1" s="1"/>
  <c r="AC76" i="1" s="1"/>
  <c r="W74" i="1"/>
  <c r="AB74" i="1" s="1"/>
  <c r="AC74" i="1" s="1"/>
  <c r="W72" i="1"/>
  <c r="AB72" i="1" s="1"/>
  <c r="AC72" i="1" s="1"/>
  <c r="W70" i="1"/>
  <c r="AD70" i="1"/>
  <c r="AE70" i="1" s="1"/>
  <c r="AD72" i="1"/>
  <c r="AE72" i="1" s="1"/>
  <c r="AD74" i="1"/>
  <c r="AE74" i="1" s="1"/>
  <c r="AD76" i="1"/>
  <c r="AE76" i="1" s="1"/>
  <c r="W84" i="1"/>
  <c r="AB84" i="1" s="1"/>
  <c r="AC84" i="1" s="1"/>
  <c r="W82" i="1"/>
  <c r="AB82" i="1" s="1"/>
  <c r="AC82" i="1" s="1"/>
  <c r="W79" i="1"/>
  <c r="W78" i="1"/>
  <c r="AB78" i="1" s="1"/>
  <c r="AC78" i="1" s="1"/>
  <c r="AD82" i="1"/>
  <c r="AE82" i="1" s="1"/>
  <c r="AD79" i="1"/>
  <c r="AE79" i="1" s="1"/>
  <c r="AD78" i="1"/>
  <c r="AE78" i="1" s="1"/>
  <c r="AD84" i="1"/>
  <c r="AE84" i="1" s="1"/>
  <c r="AD26" i="1"/>
  <c r="W5" i="1"/>
  <c r="W3" i="1"/>
  <c r="W26" i="1"/>
  <c r="O6" i="1"/>
  <c r="AD8" i="1"/>
  <c r="AE8" i="1" s="1"/>
  <c r="O5" i="1"/>
  <c r="U5" i="1" s="1"/>
  <c r="AL7" i="1" a="1"/>
  <c r="AL7" i="1" s="1"/>
  <c r="AL5" i="1" a="1"/>
  <c r="AL5" i="1" s="1"/>
  <c r="AD6" i="1"/>
  <c r="AE6" i="1" s="1"/>
  <c r="AD7" i="1"/>
  <c r="AD27" i="1"/>
  <c r="AD32" i="1"/>
  <c r="AE32" i="1" s="1"/>
  <c r="AD20" i="1"/>
  <c r="AD21" i="1"/>
  <c r="AE21" i="1" s="1"/>
  <c r="AD12" i="1"/>
  <c r="AE12" i="1" s="1"/>
  <c r="AD13" i="1"/>
  <c r="AE13" i="1" s="1"/>
  <c r="AD14" i="1"/>
  <c r="AD15" i="1"/>
  <c r="AE15" i="1" s="1"/>
  <c r="AD4" i="1"/>
  <c r="AD5" i="1"/>
  <c r="W18" i="1"/>
  <c r="W4" i="1"/>
  <c r="O4" i="1"/>
  <c r="O3" i="1"/>
  <c r="U3" i="1" s="1"/>
  <c r="Z17" i="1"/>
  <c r="AD17" i="1" s="1"/>
  <c r="AE17" i="1" s="1"/>
  <c r="W17" i="1"/>
  <c r="AB17" i="1" s="1"/>
  <c r="AC17" i="1" s="1"/>
  <c r="Z16" i="1"/>
  <c r="AD16" i="1" s="1"/>
  <c r="AE16" i="1" s="1"/>
  <c r="W16" i="1"/>
  <c r="O14" i="1"/>
  <c r="U14" i="1" s="1"/>
  <c r="O13" i="1"/>
  <c r="W14" i="1"/>
  <c r="W21" i="1"/>
  <c r="AB21" i="1" s="1"/>
  <c r="W20" i="1"/>
  <c r="W29" i="1"/>
  <c r="AB29" i="1" s="1"/>
  <c r="W15" i="1"/>
  <c r="O15" i="1"/>
  <c r="W13" i="1"/>
  <c r="W12" i="1"/>
  <c r="O12" i="1"/>
  <c r="W28" i="1"/>
  <c r="Z23" i="1"/>
  <c r="AD23" i="1" s="1"/>
  <c r="AE23" i="1" s="1"/>
  <c r="W23" i="1"/>
  <c r="W22" i="1"/>
  <c r="Z22" i="1"/>
  <c r="Z28" i="1"/>
  <c r="AD28" i="1" s="1"/>
  <c r="T3" i="3"/>
  <c r="T9" i="3"/>
  <c r="T10" i="3"/>
  <c r="T11" i="3"/>
  <c r="T12" i="3"/>
  <c r="T13" i="3"/>
  <c r="T14" i="3"/>
  <c r="T15" i="3"/>
  <c r="O8" i="3"/>
  <c r="P8" i="3"/>
  <c r="P7" i="3"/>
  <c r="O7" i="3"/>
  <c r="P4" i="3"/>
  <c r="O6" i="3"/>
  <c r="T6" i="3" s="1"/>
  <c r="W30" i="1"/>
  <c r="P5" i="3"/>
  <c r="O5" i="3"/>
  <c r="O4" i="3"/>
  <c r="Z29" i="1"/>
  <c r="Z35" i="1"/>
  <c r="AD35" i="1" s="1"/>
  <c r="AE35" i="1" s="1"/>
  <c r="AD36" i="1"/>
  <c r="AE36" i="1" s="1"/>
  <c r="AI389" i="5"/>
  <c r="AJ389" i="5" s="1"/>
  <c r="BG61" i="7"/>
  <c r="AI348" i="5"/>
  <c r="AJ348" i="5" s="1"/>
  <c r="Y278" i="5"/>
  <c r="AI174" i="5"/>
  <c r="AJ174" i="5" s="1"/>
  <c r="Y385" i="5" l="1"/>
  <c r="AI30" i="5"/>
  <c r="Y198" i="5"/>
  <c r="AI63" i="5"/>
  <c r="AJ63" i="5" s="1"/>
  <c r="T377" i="5"/>
  <c r="AF377" i="5" s="1"/>
  <c r="Y65" i="5"/>
  <c r="Y371" i="5"/>
  <c r="AI350" i="5"/>
  <c r="AJ350" i="5" s="1"/>
  <c r="Y374" i="5"/>
  <c r="AI218" i="5"/>
  <c r="AJ218" i="5" s="1"/>
  <c r="R97" i="7"/>
  <c r="Q97" i="7"/>
  <c r="R87" i="7"/>
  <c r="Q87" i="7"/>
  <c r="R77" i="7"/>
  <c r="Q77" i="7"/>
  <c r="Q96" i="7"/>
  <c r="R96" i="7"/>
  <c r="Q86" i="7"/>
  <c r="R86" i="7"/>
  <c r="Q76" i="7"/>
  <c r="R76" i="7"/>
  <c r="R95" i="7"/>
  <c r="Q95" i="7"/>
  <c r="Q85" i="7"/>
  <c r="R85" i="7"/>
  <c r="Q75" i="7"/>
  <c r="R75" i="7"/>
  <c r="Q94" i="7"/>
  <c r="R94" i="7"/>
  <c r="Q84" i="7"/>
  <c r="R84" i="7"/>
  <c r="R105" i="7"/>
  <c r="Q105" i="7"/>
  <c r="Q93" i="7"/>
  <c r="R93" i="7"/>
  <c r="Q83" i="7"/>
  <c r="R83" i="7"/>
  <c r="Q104" i="7"/>
  <c r="R104" i="7"/>
  <c r="R92" i="7"/>
  <c r="Q92" i="7"/>
  <c r="R82" i="7"/>
  <c r="Q82" i="7"/>
  <c r="R72" i="7"/>
  <c r="Q72" i="7"/>
  <c r="Q98" i="7"/>
  <c r="R98" i="7"/>
  <c r="R107" i="7"/>
  <c r="Q107" i="7"/>
  <c r="Q103" i="7"/>
  <c r="R103" i="7"/>
  <c r="Q91" i="7"/>
  <c r="R91" i="7"/>
  <c r="Q81" i="7"/>
  <c r="R81" i="7"/>
  <c r="Q71" i="7"/>
  <c r="R71" i="7"/>
  <c r="Q100" i="7"/>
  <c r="R100" i="7"/>
  <c r="Q108" i="7"/>
  <c r="R108" i="7"/>
  <c r="R102" i="7"/>
  <c r="Q102" i="7"/>
  <c r="R90" i="7"/>
  <c r="Q90" i="7"/>
  <c r="R80" i="7"/>
  <c r="Q80" i="7"/>
  <c r="R70" i="7"/>
  <c r="Q70" i="7"/>
  <c r="Q106" i="7"/>
  <c r="R106" i="7"/>
  <c r="Q101" i="7"/>
  <c r="R101" i="7"/>
  <c r="Q89" i="7"/>
  <c r="R89" i="7"/>
  <c r="R79" i="7"/>
  <c r="Q79" i="7"/>
  <c r="R69" i="7"/>
  <c r="Q69" i="7"/>
  <c r="Q99" i="7"/>
  <c r="R99" i="7"/>
  <c r="Q88" i="7"/>
  <c r="R88" i="7"/>
  <c r="Q78" i="7"/>
  <c r="R78" i="7"/>
  <c r="Q68" i="7"/>
  <c r="R68" i="7"/>
  <c r="AE525" i="5"/>
  <c r="AF525" i="5" s="1"/>
  <c r="AI35" i="5"/>
  <c r="AJ35" i="5" s="1"/>
  <c r="BG54" i="7"/>
  <c r="AI529" i="5"/>
  <c r="AJ529" i="5" s="1"/>
  <c r="AI523" i="5"/>
  <c r="AJ523" i="5" s="1"/>
  <c r="AE534" i="5"/>
  <c r="AE522" i="5"/>
  <c r="AF522" i="5" s="1"/>
  <c r="AI526" i="5"/>
  <c r="AJ526" i="5" s="1"/>
  <c r="AI525" i="5"/>
  <c r="AJ525" i="5" s="1"/>
  <c r="AI527" i="5"/>
  <c r="AJ527" i="5" s="1"/>
  <c r="AI522" i="5"/>
  <c r="AJ522" i="5" s="1"/>
  <c r="AF528" i="5"/>
  <c r="AG530" i="5"/>
  <c r="AH530" i="5" s="1"/>
  <c r="AG523" i="5"/>
  <c r="AH523" i="5" s="1"/>
  <c r="Y534" i="5"/>
  <c r="AV78" i="5"/>
  <c r="AW78" i="5"/>
  <c r="AX78" i="5"/>
  <c r="AV49" i="5"/>
  <c r="AX49" i="5"/>
  <c r="AW49" i="5"/>
  <c r="AV57" i="5"/>
  <c r="AX57" i="5"/>
  <c r="AW57" i="5"/>
  <c r="AW58" i="5"/>
  <c r="AX58" i="5"/>
  <c r="AV58" i="5"/>
  <c r="AE102" i="5"/>
  <c r="AF102" i="5" s="1"/>
  <c r="AW102" i="5"/>
  <c r="AX102" i="5"/>
  <c r="AV102" i="5"/>
  <c r="AV43" i="5"/>
  <c r="AW43" i="5"/>
  <c r="AX43" i="5"/>
  <c r="AX77" i="5"/>
  <c r="AV77" i="5"/>
  <c r="AW77" i="5"/>
  <c r="AE107" i="5"/>
  <c r="AF107" i="5" s="1"/>
  <c r="AW107" i="5"/>
  <c r="AX107" i="5"/>
  <c r="AV107" i="5"/>
  <c r="AE123" i="5"/>
  <c r="AF123" i="5" s="1"/>
  <c r="AW123" i="5"/>
  <c r="AX123" i="5"/>
  <c r="AV123" i="5"/>
  <c r="AX30" i="5"/>
  <c r="AV30" i="5"/>
  <c r="AW30" i="5"/>
  <c r="AW127" i="5"/>
  <c r="AX127" i="5"/>
  <c r="AV127" i="5"/>
  <c r="AE90" i="5"/>
  <c r="AF90" i="5" s="1"/>
  <c r="AV90" i="5"/>
  <c r="AX90" i="5"/>
  <c r="AW90" i="5"/>
  <c r="AE105" i="5"/>
  <c r="AF105" i="5" s="1"/>
  <c r="AV105" i="5"/>
  <c r="AX105" i="5"/>
  <c r="AW105" i="5"/>
  <c r="AX50" i="5"/>
  <c r="AV50" i="5"/>
  <c r="AW50" i="5"/>
  <c r="AE82" i="5"/>
  <c r="AF82" i="5" s="1"/>
  <c r="AV82" i="5"/>
  <c r="AW82" i="5"/>
  <c r="AX82" i="5"/>
  <c r="AE112" i="5"/>
  <c r="AF112" i="5" s="1"/>
  <c r="AW112" i="5"/>
  <c r="AV112" i="5"/>
  <c r="AX112" i="5"/>
  <c r="AV138" i="5"/>
  <c r="AX138" i="5"/>
  <c r="AW138" i="5"/>
  <c r="AW186" i="5"/>
  <c r="AV186" i="5"/>
  <c r="AX186" i="5"/>
  <c r="AW216" i="5"/>
  <c r="AX216" i="5"/>
  <c r="AV216" i="5"/>
  <c r="AE218" i="5"/>
  <c r="AF218" i="5" s="1"/>
  <c r="AW218" i="5"/>
  <c r="AV218" i="5"/>
  <c r="AX218" i="5"/>
  <c r="AX233" i="5"/>
  <c r="AV233" i="5"/>
  <c r="AW233" i="5"/>
  <c r="AV269" i="5"/>
  <c r="AX269" i="5"/>
  <c r="AW269" i="5"/>
  <c r="AX281" i="5"/>
  <c r="AV281" i="5"/>
  <c r="AW281" i="5"/>
  <c r="AX315" i="5"/>
  <c r="AW315" i="5"/>
  <c r="AV315" i="5"/>
  <c r="AW61" i="5"/>
  <c r="AV61" i="5"/>
  <c r="AX61" i="5"/>
  <c r="AV63" i="5"/>
  <c r="AW63" i="5"/>
  <c r="AX63" i="5"/>
  <c r="AV35" i="5"/>
  <c r="AW35" i="5"/>
  <c r="AX35" i="5"/>
  <c r="AX137" i="5"/>
  <c r="AV137" i="5"/>
  <c r="AW137" i="5"/>
  <c r="AX139" i="5"/>
  <c r="AV139" i="5"/>
  <c r="AW139" i="5"/>
  <c r="AE355" i="5"/>
  <c r="AF355" i="5" s="1"/>
  <c r="AW355" i="5"/>
  <c r="AV355" i="5"/>
  <c r="AX355" i="5"/>
  <c r="AV371" i="5"/>
  <c r="AW371" i="5"/>
  <c r="AX371" i="5"/>
  <c r="AX373" i="5"/>
  <c r="AW373" i="5"/>
  <c r="AV373" i="5"/>
  <c r="AE401" i="5"/>
  <c r="AF401" i="5" s="1"/>
  <c r="AW401" i="5"/>
  <c r="AX401" i="5"/>
  <c r="AV401" i="5"/>
  <c r="AW409" i="5"/>
  <c r="AV409" i="5"/>
  <c r="AX409" i="5"/>
  <c r="AV448" i="5"/>
  <c r="AX448" i="5"/>
  <c r="AW448" i="5"/>
  <c r="AE458" i="5"/>
  <c r="AF458" i="5" s="1"/>
  <c r="AV458" i="5"/>
  <c r="AW458" i="5"/>
  <c r="AX458" i="5"/>
  <c r="AX462" i="5"/>
  <c r="AV462" i="5"/>
  <c r="AW462" i="5"/>
  <c r="AV471" i="5"/>
  <c r="AW471" i="5"/>
  <c r="AX471" i="5"/>
  <c r="AW476" i="5"/>
  <c r="AV476" i="5"/>
  <c r="AX476" i="5"/>
  <c r="AV484" i="5"/>
  <c r="AW484" i="5"/>
  <c r="AX484" i="5"/>
  <c r="AW495" i="5"/>
  <c r="AX495" i="5"/>
  <c r="AV495" i="5"/>
  <c r="AG508" i="5"/>
  <c r="AH508" i="5" s="1"/>
  <c r="AV508" i="5"/>
  <c r="AW508" i="5"/>
  <c r="AX508" i="5"/>
  <c r="AG516" i="5"/>
  <c r="AH516" i="5" s="1"/>
  <c r="AW516" i="5"/>
  <c r="AV516" i="5"/>
  <c r="AX516" i="5"/>
  <c r="AE526" i="5"/>
  <c r="AF526" i="5" s="1"/>
  <c r="AW526" i="5"/>
  <c r="AV526" i="5"/>
  <c r="AX526" i="5"/>
  <c r="AE111" i="5"/>
  <c r="AF111" i="5" s="1"/>
  <c r="AX111" i="5"/>
  <c r="AV111" i="5"/>
  <c r="AW111" i="5"/>
  <c r="AX51" i="5"/>
  <c r="AV51" i="5"/>
  <c r="AW51" i="5"/>
  <c r="AE85" i="5"/>
  <c r="AF85" i="5" s="1"/>
  <c r="AW85" i="5"/>
  <c r="AX85" i="5"/>
  <c r="AV85" i="5"/>
  <c r="AE114" i="5"/>
  <c r="AF114" i="5" s="1"/>
  <c r="AV114" i="5"/>
  <c r="AW114" i="5"/>
  <c r="AX114" i="5"/>
  <c r="AW150" i="5"/>
  <c r="AX150" i="5"/>
  <c r="AV150" i="5"/>
  <c r="AV188" i="5"/>
  <c r="AX188" i="5"/>
  <c r="AW188" i="5"/>
  <c r="AX230" i="5"/>
  <c r="AV230" i="5"/>
  <c r="AW230" i="5"/>
  <c r="AV236" i="5"/>
  <c r="AW236" i="5"/>
  <c r="AX236" i="5"/>
  <c r="AV234" i="5"/>
  <c r="AX234" i="5"/>
  <c r="AW234" i="5"/>
  <c r="AX240" i="5"/>
  <c r="AV240" i="5"/>
  <c r="AW240" i="5"/>
  <c r="AV245" i="5"/>
  <c r="AW245" i="5"/>
  <c r="AX245" i="5"/>
  <c r="AV267" i="5"/>
  <c r="AW267" i="5"/>
  <c r="AX267" i="5"/>
  <c r="AX69" i="5"/>
  <c r="AV69" i="5"/>
  <c r="AW69" i="5"/>
  <c r="AX335" i="5"/>
  <c r="AV335" i="5"/>
  <c r="AW335" i="5"/>
  <c r="AW37" i="5"/>
  <c r="AV37" i="5"/>
  <c r="AX37" i="5"/>
  <c r="AW200" i="5"/>
  <c r="AX200" i="5"/>
  <c r="AV200" i="5"/>
  <c r="AW322" i="5"/>
  <c r="AV322" i="5"/>
  <c r="AX322" i="5"/>
  <c r="AE342" i="5"/>
  <c r="AF342" i="5" s="1"/>
  <c r="AW342" i="5"/>
  <c r="AV342" i="5"/>
  <c r="AX342" i="5"/>
  <c r="AX372" i="5"/>
  <c r="AV372" i="5"/>
  <c r="AW372" i="5"/>
  <c r="AW374" i="5"/>
  <c r="AX374" i="5"/>
  <c r="AV374" i="5"/>
  <c r="AE410" i="5"/>
  <c r="AV410" i="5"/>
  <c r="AX410" i="5"/>
  <c r="AW410" i="5"/>
  <c r="AE436" i="5"/>
  <c r="AF436" i="5" s="1"/>
  <c r="AX436" i="5"/>
  <c r="AV436" i="5"/>
  <c r="AW436" i="5"/>
  <c r="AX463" i="5"/>
  <c r="AV463" i="5"/>
  <c r="AW463" i="5"/>
  <c r="AX480" i="5"/>
  <c r="AV480" i="5"/>
  <c r="AW480" i="5"/>
  <c r="AE87" i="5"/>
  <c r="AF87" i="5" s="1"/>
  <c r="AW87" i="5"/>
  <c r="AX87" i="5"/>
  <c r="AV87" i="5"/>
  <c r="AE99" i="5"/>
  <c r="AF99" i="5" s="1"/>
  <c r="AW99" i="5"/>
  <c r="AV99" i="5"/>
  <c r="AX99" i="5"/>
  <c r="AX149" i="5"/>
  <c r="AV149" i="5"/>
  <c r="AW149" i="5"/>
  <c r="AX11" i="5"/>
  <c r="AV11" i="5"/>
  <c r="AW11" i="5"/>
  <c r="AV55" i="5"/>
  <c r="AW55" i="5"/>
  <c r="AX55" i="5"/>
  <c r="AE88" i="5"/>
  <c r="AF88" i="5" s="1"/>
  <c r="AV88" i="5"/>
  <c r="AW88" i="5"/>
  <c r="AX88" i="5"/>
  <c r="AE454" i="5"/>
  <c r="AF454" i="5" s="1"/>
  <c r="AV454" i="5"/>
  <c r="AX454" i="5"/>
  <c r="AW454" i="5"/>
  <c r="AW151" i="5"/>
  <c r="AX151" i="5"/>
  <c r="AV151" i="5"/>
  <c r="AV189" i="5"/>
  <c r="AX189" i="5"/>
  <c r="AW189" i="5"/>
  <c r="AW232" i="5"/>
  <c r="AX232" i="5"/>
  <c r="AV232" i="5"/>
  <c r="AW229" i="5"/>
  <c r="AX229" i="5"/>
  <c r="AV229" i="5"/>
  <c r="AE73" i="5"/>
  <c r="AF73" i="5" s="1"/>
  <c r="AW73" i="5"/>
  <c r="AV73" i="5"/>
  <c r="AX73" i="5"/>
  <c r="AV288" i="5"/>
  <c r="AW288" i="5"/>
  <c r="AX288" i="5"/>
  <c r="AX301" i="5"/>
  <c r="AV301" i="5"/>
  <c r="AW301" i="5"/>
  <c r="AW141" i="5"/>
  <c r="AV141" i="5"/>
  <c r="AX141" i="5"/>
  <c r="AX279" i="5"/>
  <c r="AW279" i="5"/>
  <c r="AV279" i="5"/>
  <c r="AE348" i="5"/>
  <c r="AF348" i="5" s="1"/>
  <c r="AX348" i="5"/>
  <c r="AV348" i="5"/>
  <c r="AW348" i="5"/>
  <c r="AE356" i="5"/>
  <c r="AF356" i="5" s="1"/>
  <c r="AV356" i="5"/>
  <c r="AX356" i="5"/>
  <c r="AW356" i="5"/>
  <c r="AE362" i="5"/>
  <c r="AF362" i="5" s="1"/>
  <c r="AV362" i="5"/>
  <c r="AW362" i="5"/>
  <c r="AX362" i="5"/>
  <c r="AW416" i="5"/>
  <c r="AV416" i="5"/>
  <c r="AX416" i="5"/>
  <c r="AE428" i="5"/>
  <c r="AF428" i="5" s="1"/>
  <c r="AV428" i="5"/>
  <c r="AW428" i="5"/>
  <c r="AX428" i="5"/>
  <c r="AE437" i="5"/>
  <c r="AF437" i="5" s="1"/>
  <c r="AX437" i="5"/>
  <c r="AV437" i="5"/>
  <c r="AW437" i="5"/>
  <c r="AV439" i="5"/>
  <c r="AX439" i="5"/>
  <c r="AW439" i="5"/>
  <c r="AE510" i="5"/>
  <c r="AF510" i="5" s="1"/>
  <c r="AW510" i="5"/>
  <c r="AX510" i="5"/>
  <c r="AV510" i="5"/>
  <c r="AX142" i="5"/>
  <c r="AV142" i="5"/>
  <c r="AW142" i="5"/>
  <c r="AV12" i="5"/>
  <c r="AW12" i="5"/>
  <c r="AX12" i="5"/>
  <c r="AX56" i="5"/>
  <c r="AV56" i="5"/>
  <c r="AW56" i="5"/>
  <c r="AV93" i="5"/>
  <c r="AW93" i="5"/>
  <c r="AX93" i="5"/>
  <c r="AE116" i="5"/>
  <c r="AF116" i="5" s="1"/>
  <c r="AX116" i="5"/>
  <c r="AV116" i="5"/>
  <c r="AW116" i="5"/>
  <c r="AX164" i="5"/>
  <c r="AV164" i="5"/>
  <c r="AW164" i="5"/>
  <c r="AW226" i="5"/>
  <c r="AV226" i="5"/>
  <c r="AX226" i="5"/>
  <c r="AV243" i="5"/>
  <c r="AW243" i="5"/>
  <c r="AX243" i="5"/>
  <c r="AE248" i="5"/>
  <c r="AF248" i="5" s="1"/>
  <c r="AW248" i="5"/>
  <c r="AV248" i="5"/>
  <c r="AX248" i="5"/>
  <c r="AV289" i="5"/>
  <c r="AX289" i="5"/>
  <c r="AW289" i="5"/>
  <c r="AE91" i="5"/>
  <c r="AF91" i="5" s="1"/>
  <c r="AW91" i="5"/>
  <c r="AV91" i="5"/>
  <c r="AX91" i="5"/>
  <c r="AW143" i="5"/>
  <c r="AX143" i="5"/>
  <c r="AV143" i="5"/>
  <c r="AE349" i="5"/>
  <c r="AW349" i="5"/>
  <c r="AX349" i="5"/>
  <c r="AV349" i="5"/>
  <c r="AX363" i="5"/>
  <c r="AV363" i="5"/>
  <c r="AW363" i="5"/>
  <c r="AE412" i="5"/>
  <c r="AX412" i="5"/>
  <c r="AV412" i="5"/>
  <c r="AW412" i="5"/>
  <c r="AX440" i="5"/>
  <c r="AV440" i="5"/>
  <c r="AW440" i="5"/>
  <c r="AW472" i="5"/>
  <c r="AX472" i="5"/>
  <c r="AV472" i="5"/>
  <c r="AW479" i="5"/>
  <c r="AX479" i="5"/>
  <c r="AV479" i="5"/>
  <c r="AX485" i="5"/>
  <c r="AV485" i="5"/>
  <c r="AW485" i="5"/>
  <c r="AX511" i="5"/>
  <c r="AV511" i="5"/>
  <c r="AW511" i="5"/>
  <c r="AW523" i="5"/>
  <c r="AX523" i="5"/>
  <c r="AV523" i="5"/>
  <c r="AE92" i="5"/>
  <c r="AF92" i="5" s="1"/>
  <c r="AX92" i="5"/>
  <c r="AV92" i="5"/>
  <c r="AW92" i="5"/>
  <c r="AW140" i="5"/>
  <c r="AX140" i="5"/>
  <c r="AV140" i="5"/>
  <c r="AV15" i="5"/>
  <c r="AW15" i="5"/>
  <c r="AX15" i="5"/>
  <c r="AV60" i="5"/>
  <c r="AW60" i="5"/>
  <c r="AX60" i="5"/>
  <c r="AE96" i="5"/>
  <c r="AF96" i="5" s="1"/>
  <c r="AW96" i="5"/>
  <c r="AX96" i="5"/>
  <c r="AV96" i="5"/>
  <c r="AV117" i="5"/>
  <c r="AW117" i="5"/>
  <c r="AX117" i="5"/>
  <c r="AW165" i="5"/>
  <c r="AX165" i="5"/>
  <c r="AV165" i="5"/>
  <c r="AX225" i="5"/>
  <c r="AW225" i="5"/>
  <c r="AV225" i="5"/>
  <c r="AE219" i="5"/>
  <c r="AV219" i="5"/>
  <c r="AX219" i="5"/>
  <c r="AW219" i="5"/>
  <c r="AE238" i="5"/>
  <c r="AF238" i="5" s="1"/>
  <c r="AW238" i="5"/>
  <c r="AX238" i="5"/>
  <c r="AV238" i="5"/>
  <c r="AV298" i="5"/>
  <c r="AX298" i="5"/>
  <c r="AW298" i="5"/>
  <c r="AW65" i="5"/>
  <c r="AX65" i="5"/>
  <c r="AV65" i="5"/>
  <c r="AV67" i="5"/>
  <c r="AW67" i="5"/>
  <c r="AX67" i="5"/>
  <c r="AX198" i="5"/>
  <c r="AV198" i="5"/>
  <c r="AW198" i="5"/>
  <c r="AX277" i="5"/>
  <c r="AV277" i="5"/>
  <c r="AW277" i="5"/>
  <c r="AE389" i="5"/>
  <c r="AF389" i="5" s="1"/>
  <c r="AV389" i="5"/>
  <c r="AX389" i="5"/>
  <c r="AW389" i="5"/>
  <c r="AE413" i="5"/>
  <c r="AW413" i="5"/>
  <c r="AX413" i="5"/>
  <c r="AV413" i="5"/>
  <c r="AV417" i="5"/>
  <c r="AX417" i="5"/>
  <c r="AW417" i="5"/>
  <c r="AW425" i="5"/>
  <c r="AX425" i="5"/>
  <c r="AV425" i="5"/>
  <c r="AW486" i="5"/>
  <c r="AX486" i="5"/>
  <c r="AV486" i="5"/>
  <c r="AE518" i="5"/>
  <c r="AV518" i="5"/>
  <c r="AX518" i="5"/>
  <c r="AW518" i="5"/>
  <c r="AX527" i="5"/>
  <c r="AV527" i="5"/>
  <c r="AW527" i="5"/>
  <c r="AE118" i="5"/>
  <c r="AF118" i="5" s="1"/>
  <c r="AV118" i="5"/>
  <c r="AW118" i="5"/>
  <c r="AX118" i="5"/>
  <c r="AX159" i="5"/>
  <c r="AW159" i="5"/>
  <c r="AV159" i="5"/>
  <c r="AW172" i="5"/>
  <c r="AX172" i="5"/>
  <c r="AV172" i="5"/>
  <c r="AW180" i="5"/>
  <c r="AX180" i="5"/>
  <c r="AV180" i="5"/>
  <c r="AW181" i="5"/>
  <c r="AV181" i="5"/>
  <c r="AX181" i="5"/>
  <c r="AV23" i="5"/>
  <c r="AX23" i="5"/>
  <c r="AW23" i="5"/>
  <c r="AW62" i="5"/>
  <c r="AX62" i="5"/>
  <c r="AV62" i="5"/>
  <c r="AE97" i="5"/>
  <c r="AF97" i="5" s="1"/>
  <c r="AV97" i="5"/>
  <c r="AW97" i="5"/>
  <c r="AX97" i="5"/>
  <c r="AV120" i="5"/>
  <c r="AX120" i="5"/>
  <c r="AW120" i="5"/>
  <c r="AV168" i="5"/>
  <c r="AW168" i="5"/>
  <c r="AX168" i="5"/>
  <c r="AV224" i="5"/>
  <c r="AW224" i="5"/>
  <c r="AX224" i="5"/>
  <c r="AV228" i="5"/>
  <c r="AX228" i="5"/>
  <c r="AW228" i="5"/>
  <c r="AE241" i="5"/>
  <c r="AF241" i="5" s="1"/>
  <c r="AX241" i="5"/>
  <c r="AW241" i="5"/>
  <c r="AV241" i="5"/>
  <c r="AE246" i="5"/>
  <c r="AF246" i="5" s="1"/>
  <c r="AV246" i="5"/>
  <c r="AX246" i="5"/>
  <c r="AW246" i="5"/>
  <c r="AX258" i="5"/>
  <c r="AV258" i="5"/>
  <c r="AW258" i="5"/>
  <c r="AW299" i="5"/>
  <c r="AX299" i="5"/>
  <c r="AV299" i="5"/>
  <c r="AV329" i="5"/>
  <c r="AX329" i="5"/>
  <c r="AW329" i="5"/>
  <c r="AW268" i="5"/>
  <c r="AV268" i="5"/>
  <c r="AX268" i="5"/>
  <c r="AW314" i="5"/>
  <c r="AV314" i="5"/>
  <c r="AX314" i="5"/>
  <c r="AE385" i="5"/>
  <c r="AF385" i="5" s="1"/>
  <c r="AV385" i="5"/>
  <c r="AW385" i="5"/>
  <c r="AX385" i="5"/>
  <c r="AE405" i="5"/>
  <c r="AF405" i="5" s="1"/>
  <c r="AW405" i="5"/>
  <c r="AV405" i="5"/>
  <c r="AX405" i="5"/>
  <c r="AW426" i="5"/>
  <c r="AV426" i="5"/>
  <c r="AX426" i="5"/>
  <c r="AE451" i="5"/>
  <c r="AF451" i="5" s="1"/>
  <c r="AX451" i="5"/>
  <c r="AW451" i="5"/>
  <c r="AV451" i="5"/>
  <c r="AV456" i="5"/>
  <c r="AW456" i="5"/>
  <c r="AX456" i="5"/>
  <c r="AV469" i="5"/>
  <c r="AW469" i="5"/>
  <c r="AX469" i="5"/>
  <c r="AV492" i="5"/>
  <c r="AW492" i="5"/>
  <c r="AX492" i="5"/>
  <c r="AX502" i="5"/>
  <c r="AV502" i="5"/>
  <c r="AW502" i="5"/>
  <c r="AX506" i="5"/>
  <c r="AV506" i="5"/>
  <c r="AW506" i="5"/>
  <c r="AW514" i="5"/>
  <c r="AV514" i="5"/>
  <c r="AX514" i="5"/>
  <c r="AV158" i="5"/>
  <c r="AW158" i="5"/>
  <c r="AX158" i="5"/>
  <c r="AX171" i="5"/>
  <c r="AW171" i="5"/>
  <c r="AV171" i="5"/>
  <c r="AX34" i="5"/>
  <c r="AW34" i="5"/>
  <c r="AV34" i="5"/>
  <c r="AV68" i="5"/>
  <c r="AW68" i="5"/>
  <c r="AX68" i="5"/>
  <c r="AV100" i="5"/>
  <c r="AW100" i="5"/>
  <c r="AX100" i="5"/>
  <c r="AV122" i="5"/>
  <c r="AW122" i="5"/>
  <c r="AX122" i="5"/>
  <c r="AX169" i="5"/>
  <c r="AW169" i="5"/>
  <c r="AV169" i="5"/>
  <c r="AW209" i="5"/>
  <c r="AX209" i="5"/>
  <c r="AV209" i="5"/>
  <c r="AW223" i="5"/>
  <c r="AV223" i="5"/>
  <c r="AX223" i="5"/>
  <c r="AW227" i="5"/>
  <c r="AV227" i="5"/>
  <c r="AX227" i="5"/>
  <c r="AX237" i="5"/>
  <c r="AW237" i="5"/>
  <c r="AV237" i="5"/>
  <c r="AX249" i="5"/>
  <c r="AV249" i="5"/>
  <c r="AW249" i="5"/>
  <c r="AX257" i="5"/>
  <c r="AW257" i="5"/>
  <c r="AV257" i="5"/>
  <c r="AW282" i="5"/>
  <c r="AV282" i="5"/>
  <c r="AX282" i="5"/>
  <c r="AV330" i="5"/>
  <c r="AW330" i="5"/>
  <c r="AX330" i="5"/>
  <c r="AX199" i="5"/>
  <c r="AV199" i="5"/>
  <c r="AW199" i="5"/>
  <c r="AW316" i="5"/>
  <c r="AX316" i="5"/>
  <c r="AV316" i="5"/>
  <c r="AE364" i="5"/>
  <c r="AF364" i="5" s="1"/>
  <c r="AX364" i="5"/>
  <c r="AV364" i="5"/>
  <c r="AW364" i="5"/>
  <c r="AE383" i="5"/>
  <c r="AF383" i="5" s="1"/>
  <c r="AV383" i="5"/>
  <c r="AX383" i="5"/>
  <c r="AW383" i="5"/>
  <c r="AV386" i="5"/>
  <c r="AX386" i="5"/>
  <c r="AW386" i="5"/>
  <c r="AE390" i="5"/>
  <c r="AF390" i="5" s="1"/>
  <c r="AV390" i="5"/>
  <c r="AW390" i="5"/>
  <c r="AX390" i="5"/>
  <c r="AE396" i="5"/>
  <c r="AF396" i="5" s="1"/>
  <c r="AX396" i="5"/>
  <c r="AW396" i="5"/>
  <c r="AV396" i="5"/>
  <c r="AE400" i="5"/>
  <c r="AW400" i="5"/>
  <c r="AV400" i="5"/>
  <c r="AX400" i="5"/>
  <c r="AE402" i="5"/>
  <c r="AV402" i="5"/>
  <c r="AX402" i="5"/>
  <c r="AW402" i="5"/>
  <c r="AE404" i="5"/>
  <c r="AF404" i="5" s="1"/>
  <c r="AV404" i="5"/>
  <c r="AW404" i="5"/>
  <c r="AX404" i="5"/>
  <c r="AE452" i="5"/>
  <c r="AF452" i="5" s="1"/>
  <c r="AW452" i="5"/>
  <c r="AV452" i="5"/>
  <c r="AX452" i="5"/>
  <c r="AV457" i="5"/>
  <c r="AX457" i="5"/>
  <c r="AW457" i="5"/>
  <c r="AW459" i="5"/>
  <c r="AX459" i="5"/>
  <c r="AV459" i="5"/>
  <c r="AE461" i="5"/>
  <c r="AF461" i="5" s="1"/>
  <c r="AW461" i="5"/>
  <c r="AV461" i="5"/>
  <c r="AX461" i="5"/>
  <c r="AW496" i="5"/>
  <c r="AV496" i="5"/>
  <c r="AX496" i="5"/>
  <c r="AV503" i="5"/>
  <c r="AX503" i="5"/>
  <c r="AW503" i="5"/>
  <c r="AE519" i="5"/>
  <c r="AF519" i="5" s="1"/>
  <c r="AW519" i="5"/>
  <c r="AV519" i="5"/>
  <c r="AX519" i="5"/>
  <c r="AE80" i="5"/>
  <c r="AF80" i="5" s="1"/>
  <c r="AX80" i="5"/>
  <c r="AV80" i="5"/>
  <c r="AW80" i="5"/>
  <c r="AW71" i="5"/>
  <c r="AV71" i="5"/>
  <c r="AX71" i="5"/>
  <c r="AE98" i="5"/>
  <c r="AF98" i="5" s="1"/>
  <c r="AV98" i="5"/>
  <c r="AW98" i="5"/>
  <c r="AX98" i="5"/>
  <c r="AE121" i="5"/>
  <c r="AF121" i="5" s="1"/>
  <c r="AW121" i="5"/>
  <c r="AX121" i="5"/>
  <c r="AV121" i="5"/>
  <c r="AV152" i="5"/>
  <c r="AX152" i="5"/>
  <c r="AW152" i="5"/>
  <c r="AV36" i="5"/>
  <c r="AW36" i="5"/>
  <c r="AX36" i="5"/>
  <c r="AE72" i="5"/>
  <c r="AF72" i="5" s="1"/>
  <c r="AX72" i="5"/>
  <c r="AV72" i="5"/>
  <c r="AW72" i="5"/>
  <c r="AE103" i="5"/>
  <c r="AF103" i="5" s="1"/>
  <c r="AX103" i="5"/>
  <c r="AV103" i="5"/>
  <c r="AW103" i="5"/>
  <c r="AW124" i="5"/>
  <c r="AV124" i="5"/>
  <c r="AX124" i="5"/>
  <c r="AV182" i="5"/>
  <c r="AW182" i="5"/>
  <c r="AX182" i="5"/>
  <c r="AV208" i="5"/>
  <c r="AX208" i="5"/>
  <c r="AW208" i="5"/>
  <c r="AE222" i="5"/>
  <c r="AX222" i="5"/>
  <c r="AV222" i="5"/>
  <c r="AW222" i="5"/>
  <c r="AW239" i="5"/>
  <c r="AV239" i="5"/>
  <c r="AX239" i="5"/>
  <c r="AE244" i="5"/>
  <c r="AF244" i="5" s="1"/>
  <c r="AV244" i="5"/>
  <c r="AW244" i="5"/>
  <c r="AX244" i="5"/>
  <c r="AV302" i="5"/>
  <c r="AX302" i="5"/>
  <c r="AW302" i="5"/>
  <c r="AW270" i="5"/>
  <c r="AV270" i="5"/>
  <c r="AX270" i="5"/>
  <c r="AX353" i="5"/>
  <c r="AV353" i="5"/>
  <c r="AW353" i="5"/>
  <c r="AE365" i="5"/>
  <c r="AF365" i="5" s="1"/>
  <c r="AW365" i="5"/>
  <c r="AX365" i="5"/>
  <c r="AV365" i="5"/>
  <c r="AE384" i="5"/>
  <c r="AF384" i="5" s="1"/>
  <c r="AW384" i="5"/>
  <c r="AV384" i="5"/>
  <c r="AX384" i="5"/>
  <c r="AE403" i="5"/>
  <c r="AF403" i="5" s="1"/>
  <c r="AW403" i="5"/>
  <c r="AX403" i="5"/>
  <c r="AV403" i="5"/>
  <c r="AV475" i="5"/>
  <c r="AX475" i="5"/>
  <c r="AW475" i="5"/>
  <c r="AE504" i="5"/>
  <c r="AF504" i="5" s="1"/>
  <c r="AW504" i="5"/>
  <c r="AV504" i="5"/>
  <c r="AX504" i="5"/>
  <c r="AW507" i="5"/>
  <c r="AV507" i="5"/>
  <c r="AX507" i="5"/>
  <c r="AX522" i="5"/>
  <c r="AW522" i="5"/>
  <c r="AV522" i="5"/>
  <c r="AV48" i="5"/>
  <c r="AW48" i="5"/>
  <c r="AX48" i="5"/>
  <c r="AE81" i="5"/>
  <c r="AF81" i="5" s="1"/>
  <c r="AW81" i="5"/>
  <c r="AX81" i="5"/>
  <c r="AV81" i="5"/>
  <c r="AE455" i="5"/>
  <c r="AF455" i="5" s="1"/>
  <c r="AW455" i="5"/>
  <c r="AX455" i="5"/>
  <c r="AV455" i="5"/>
  <c r="AV86" i="5"/>
  <c r="AW86" i="5"/>
  <c r="AX86" i="5"/>
  <c r="AE70" i="5"/>
  <c r="AF70" i="5" s="1"/>
  <c r="AW70" i="5"/>
  <c r="AX70" i="5"/>
  <c r="AV70" i="5"/>
  <c r="AE119" i="5"/>
  <c r="AF119" i="5" s="1"/>
  <c r="AX119" i="5"/>
  <c r="AV119" i="5"/>
  <c r="AW119" i="5"/>
  <c r="AE89" i="5"/>
  <c r="AF89" i="5" s="1"/>
  <c r="AV89" i="5"/>
  <c r="AW89" i="5"/>
  <c r="AX89" i="5"/>
  <c r="AX74" i="5"/>
  <c r="AV74" i="5"/>
  <c r="AW74" i="5"/>
  <c r="AE101" i="5"/>
  <c r="AF101" i="5" s="1"/>
  <c r="AW101" i="5"/>
  <c r="AV101" i="5"/>
  <c r="AX101" i="5"/>
  <c r="AV2" i="5"/>
  <c r="AW2" i="5"/>
  <c r="AX2" i="5"/>
  <c r="AV42" i="5"/>
  <c r="AW42" i="5"/>
  <c r="AX42" i="5"/>
  <c r="AX126" i="5"/>
  <c r="AV126" i="5"/>
  <c r="AW126" i="5"/>
  <c r="AX84" i="5"/>
  <c r="AW84" i="5"/>
  <c r="AV84" i="5"/>
  <c r="AX95" i="5"/>
  <c r="AV95" i="5"/>
  <c r="AW95" i="5"/>
  <c r="AE44" i="5"/>
  <c r="AF44" i="5" s="1"/>
  <c r="AW44" i="5"/>
  <c r="AX44" i="5"/>
  <c r="AV44" i="5"/>
  <c r="AE76" i="5"/>
  <c r="AF76" i="5" s="1"/>
  <c r="AV76" i="5"/>
  <c r="AW76" i="5"/>
  <c r="AX76" i="5"/>
  <c r="AE106" i="5"/>
  <c r="AF106" i="5" s="1"/>
  <c r="AX106" i="5"/>
  <c r="AV106" i="5"/>
  <c r="AW106" i="5"/>
  <c r="AE125" i="5"/>
  <c r="AF125" i="5" s="1"/>
  <c r="AV125" i="5"/>
  <c r="AW125" i="5"/>
  <c r="AX125" i="5"/>
  <c r="AV183" i="5"/>
  <c r="AW183" i="5"/>
  <c r="AX183" i="5"/>
  <c r="AX221" i="5"/>
  <c r="AV221" i="5"/>
  <c r="AW221" i="5"/>
  <c r="AE242" i="5"/>
  <c r="AF242" i="5" s="1"/>
  <c r="AW242" i="5"/>
  <c r="AV242" i="5"/>
  <c r="AX242" i="5"/>
  <c r="AW259" i="5"/>
  <c r="AX259" i="5"/>
  <c r="AV259" i="5"/>
  <c r="AX276" i="5"/>
  <c r="AV276" i="5"/>
  <c r="AW276" i="5"/>
  <c r="AW291" i="5"/>
  <c r="AV291" i="5"/>
  <c r="AX291" i="5"/>
  <c r="AV309" i="5"/>
  <c r="AW309" i="5"/>
  <c r="AX309" i="5"/>
  <c r="AX321" i="5"/>
  <c r="AV321" i="5"/>
  <c r="AW321" i="5"/>
  <c r="AW31" i="5"/>
  <c r="AV31" i="5"/>
  <c r="AX31" i="5"/>
  <c r="AV201" i="5"/>
  <c r="AX201" i="5"/>
  <c r="AW201" i="5"/>
  <c r="AV320" i="5"/>
  <c r="AW320" i="5"/>
  <c r="AX320" i="5"/>
  <c r="AE354" i="5"/>
  <c r="AF354" i="5" s="1"/>
  <c r="AV354" i="5"/>
  <c r="AW354" i="5"/>
  <c r="AX354" i="5"/>
  <c r="AE387" i="5"/>
  <c r="AW387" i="5"/>
  <c r="AX387" i="5"/>
  <c r="AV387" i="5"/>
  <c r="AE397" i="5"/>
  <c r="AF397" i="5" s="1"/>
  <c r="AX397" i="5"/>
  <c r="AV397" i="5"/>
  <c r="AW397" i="5"/>
  <c r="AX415" i="5"/>
  <c r="AV415" i="5"/>
  <c r="AW415" i="5"/>
  <c r="AX418" i="5"/>
  <c r="AV418" i="5"/>
  <c r="AW418" i="5"/>
  <c r="AX431" i="5"/>
  <c r="AV431" i="5"/>
  <c r="AW431" i="5"/>
  <c r="AX442" i="5"/>
  <c r="AW442" i="5"/>
  <c r="AV442" i="5"/>
  <c r="AE460" i="5"/>
  <c r="AF460" i="5" s="1"/>
  <c r="AX460" i="5"/>
  <c r="AV460" i="5"/>
  <c r="AW460" i="5"/>
  <c r="AW468" i="5"/>
  <c r="AX468" i="5"/>
  <c r="AV468" i="5"/>
  <c r="AE498" i="5"/>
  <c r="AF498" i="5" s="1"/>
  <c r="AV498" i="5"/>
  <c r="AW498" i="5"/>
  <c r="AX498" i="5"/>
  <c r="AX515" i="5"/>
  <c r="AV515" i="5"/>
  <c r="AW515" i="5"/>
  <c r="AG526" i="5"/>
  <c r="AH526" i="5" s="1"/>
  <c r="AG524" i="5"/>
  <c r="AH524" i="5" s="1"/>
  <c r="AV524" i="5"/>
  <c r="AW524" i="5"/>
  <c r="AX524" i="5"/>
  <c r="AE530" i="5"/>
  <c r="AF530" i="5" s="1"/>
  <c r="AW530" i="5"/>
  <c r="AX530" i="5"/>
  <c r="AV530" i="5"/>
  <c r="AW113" i="5"/>
  <c r="AV113" i="5"/>
  <c r="AX113" i="5"/>
  <c r="AE115" i="5"/>
  <c r="AF115" i="5" s="1"/>
  <c r="AV115" i="5"/>
  <c r="AW115" i="5"/>
  <c r="AX115" i="5"/>
  <c r="AE83" i="5"/>
  <c r="AF83" i="5" s="1"/>
  <c r="AV83" i="5"/>
  <c r="AX83" i="5"/>
  <c r="AW83" i="5"/>
  <c r="AX66" i="5"/>
  <c r="AV66" i="5"/>
  <c r="AW66" i="5"/>
  <c r="AX94" i="5"/>
  <c r="AV94" i="5"/>
  <c r="AW94" i="5"/>
  <c r="AV13" i="5"/>
  <c r="AW13" i="5"/>
  <c r="AX13" i="5"/>
  <c r="AE75" i="5"/>
  <c r="AF75" i="5" s="1"/>
  <c r="AV75" i="5"/>
  <c r="AW75" i="5"/>
  <c r="AX75" i="5"/>
  <c r="AE104" i="5"/>
  <c r="AF104" i="5" s="1"/>
  <c r="AX104" i="5"/>
  <c r="AV104" i="5"/>
  <c r="AW104" i="5"/>
  <c r="AV3" i="5"/>
  <c r="AW3" i="5"/>
  <c r="AX3" i="5"/>
  <c r="AV32" i="5"/>
  <c r="AW32" i="5"/>
  <c r="AX32" i="5"/>
  <c r="AX64" i="5"/>
  <c r="AV64" i="5"/>
  <c r="AW64" i="5"/>
  <c r="AW45" i="5"/>
  <c r="AV45" i="5"/>
  <c r="AX45" i="5"/>
  <c r="AV79" i="5"/>
  <c r="AW79" i="5"/>
  <c r="AX79" i="5"/>
  <c r="AE110" i="5"/>
  <c r="AF110" i="5" s="1"/>
  <c r="AV110" i="5"/>
  <c r="AW110" i="5"/>
  <c r="AX110" i="5"/>
  <c r="AV136" i="5"/>
  <c r="AX136" i="5"/>
  <c r="AW136" i="5"/>
  <c r="AW185" i="5"/>
  <c r="AV185" i="5"/>
  <c r="AX185" i="5"/>
  <c r="AV215" i="5"/>
  <c r="AW215" i="5"/>
  <c r="AX215" i="5"/>
  <c r="AE220" i="5"/>
  <c r="AF220" i="5" s="1"/>
  <c r="AX220" i="5"/>
  <c r="AV220" i="5"/>
  <c r="AW220" i="5"/>
  <c r="AV231" i="5"/>
  <c r="AX231" i="5"/>
  <c r="AW231" i="5"/>
  <c r="AE247" i="5"/>
  <c r="AF247" i="5" s="1"/>
  <c r="AV247" i="5"/>
  <c r="AW247" i="5"/>
  <c r="AX247" i="5"/>
  <c r="AW250" i="5"/>
  <c r="AV250" i="5"/>
  <c r="AX250" i="5"/>
  <c r="AV260" i="5"/>
  <c r="AX260" i="5"/>
  <c r="AW260" i="5"/>
  <c r="AX278" i="5"/>
  <c r="AW278" i="5"/>
  <c r="AV278" i="5"/>
  <c r="AW292" i="5"/>
  <c r="AV292" i="5"/>
  <c r="AX292" i="5"/>
  <c r="AX310" i="5"/>
  <c r="AW310" i="5"/>
  <c r="AV310" i="5"/>
  <c r="AV313" i="5"/>
  <c r="AX313" i="5"/>
  <c r="AW313" i="5"/>
  <c r="AW319" i="5"/>
  <c r="AX319" i="5"/>
  <c r="AV319" i="5"/>
  <c r="AV334" i="5"/>
  <c r="AW334" i="5"/>
  <c r="AX334" i="5"/>
  <c r="AX33" i="5"/>
  <c r="AV33" i="5"/>
  <c r="AW33" i="5"/>
  <c r="AE341" i="5"/>
  <c r="AF341" i="5" s="1"/>
  <c r="AW341" i="5"/>
  <c r="AV341" i="5"/>
  <c r="AX341" i="5"/>
  <c r="AE388" i="5"/>
  <c r="AF388" i="5" s="1"/>
  <c r="AW388" i="5"/>
  <c r="AV388" i="5"/>
  <c r="AX388" i="5"/>
  <c r="AW429" i="5"/>
  <c r="AV429" i="5"/>
  <c r="AX429" i="5"/>
  <c r="AE432" i="5"/>
  <c r="AV432" i="5"/>
  <c r="AX432" i="5"/>
  <c r="AW432" i="5"/>
  <c r="AW443" i="5"/>
  <c r="AX443" i="5"/>
  <c r="AV443" i="5"/>
  <c r="AW447" i="5"/>
  <c r="AX447" i="5"/>
  <c r="AV447" i="5"/>
  <c r="AX483" i="5"/>
  <c r="AW483" i="5"/>
  <c r="AV483" i="5"/>
  <c r="AV491" i="5"/>
  <c r="AW491" i="5"/>
  <c r="AX491" i="5"/>
  <c r="AE499" i="5"/>
  <c r="AF499" i="5" s="1"/>
  <c r="AX499" i="5"/>
  <c r="AV499" i="5"/>
  <c r="AW499" i="5"/>
  <c r="AE523" i="5"/>
  <c r="AF523" i="5" s="1"/>
  <c r="AV534" i="5"/>
  <c r="AX534" i="5"/>
  <c r="AW534" i="5"/>
  <c r="AG525" i="5"/>
  <c r="AH525" i="5" s="1"/>
  <c r="AG522" i="5"/>
  <c r="AH522" i="5" s="1"/>
  <c r="BG100" i="7"/>
  <c r="BH100" i="7"/>
  <c r="BI100" i="7"/>
  <c r="BH99" i="7"/>
  <c r="BI99" i="7"/>
  <c r="BG98" i="7"/>
  <c r="BH98" i="7"/>
  <c r="BI98" i="7"/>
  <c r="BG97" i="7"/>
  <c r="BH97" i="7"/>
  <c r="BI97" i="7"/>
  <c r="BG96" i="7"/>
  <c r="BH96" i="7"/>
  <c r="BI96" i="7"/>
  <c r="BH95" i="7"/>
  <c r="BI95" i="7"/>
  <c r="BH94" i="7"/>
  <c r="BI94" i="7"/>
  <c r="BG93" i="7"/>
  <c r="BH93" i="7"/>
  <c r="BI93" i="7"/>
  <c r="BG92" i="7"/>
  <c r="BH92" i="7"/>
  <c r="BI92" i="7"/>
  <c r="BG91" i="7"/>
  <c r="BH91" i="7"/>
  <c r="BI91" i="7"/>
  <c r="BH90" i="7"/>
  <c r="BI90" i="7"/>
  <c r="BH89" i="7"/>
  <c r="BI89" i="7"/>
  <c r="BH101" i="7"/>
  <c r="BI101" i="7"/>
  <c r="BH102" i="7"/>
  <c r="BI102" i="7"/>
  <c r="AE524" i="5"/>
  <c r="AF524" i="5" s="1"/>
  <c r="AG529" i="5"/>
  <c r="AH529" i="5" s="1"/>
  <c r="AG527" i="5"/>
  <c r="AH527" i="5" s="1"/>
  <c r="AE529" i="5"/>
  <c r="AF529" i="5" s="1"/>
  <c r="AE527" i="5"/>
  <c r="AF527" i="5" s="1"/>
  <c r="AG534" i="5"/>
  <c r="AH534" i="5" s="1"/>
  <c r="AI236" i="5"/>
  <c r="AJ236" i="5" s="1"/>
  <c r="AG536" i="5"/>
  <c r="AH536" i="5" s="1"/>
  <c r="AF536" i="5"/>
  <c r="AG537" i="5"/>
  <c r="AH537" i="5" s="1"/>
  <c r="AF535" i="5"/>
  <c r="AF537" i="5"/>
  <c r="AF531" i="5"/>
  <c r="AF533" i="5"/>
  <c r="AG532" i="5"/>
  <c r="AH532" i="5" s="1"/>
  <c r="AH535" i="5"/>
  <c r="AH531" i="5"/>
  <c r="AE532" i="5"/>
  <c r="AF532" i="5" s="1"/>
  <c r="AG521" i="5"/>
  <c r="AH521" i="5" s="1"/>
  <c r="AI371" i="5"/>
  <c r="AJ371" i="5" s="1"/>
  <c r="Y30" i="5"/>
  <c r="AI353" i="5"/>
  <c r="AJ353" i="5" s="1"/>
  <c r="AI329" i="5"/>
  <c r="AJ329" i="5" s="1"/>
  <c r="AE515" i="5"/>
  <c r="AF515" i="5" s="1"/>
  <c r="BG95" i="7"/>
  <c r="BG90" i="7"/>
  <c r="T269" i="5"/>
  <c r="AG269" i="5" s="1"/>
  <c r="AH269" i="5" s="1"/>
  <c r="AI517" i="5"/>
  <c r="AJ517" i="5" s="1"/>
  <c r="BG101" i="7"/>
  <c r="T136" i="5"/>
  <c r="AG136" i="5" s="1"/>
  <c r="AH136" i="5" s="1"/>
  <c r="AG517" i="5"/>
  <c r="AH517" i="5" s="1"/>
  <c r="BG99" i="7"/>
  <c r="BG94" i="7"/>
  <c r="BG89" i="7"/>
  <c r="AG514" i="5"/>
  <c r="AH514" i="5" s="1"/>
  <c r="Y333" i="5"/>
  <c r="BG57" i="7"/>
  <c r="BG56" i="7"/>
  <c r="AA111" i="1"/>
  <c r="AE514" i="5"/>
  <c r="AI313" i="5"/>
  <c r="AJ313" i="5" s="1"/>
  <c r="AF520" i="5"/>
  <c r="BG102" i="7"/>
  <c r="AF521" i="5"/>
  <c r="AG520" i="5"/>
  <c r="AH520" i="5" s="1"/>
  <c r="AI515" i="5"/>
  <c r="AJ515" i="5" s="1"/>
  <c r="T315" i="5"/>
  <c r="AG315" i="5" s="1"/>
  <c r="AH315" i="5" s="1"/>
  <c r="AI320" i="5"/>
  <c r="AJ320" i="5" s="1"/>
  <c r="AG519" i="5"/>
  <c r="AH519" i="5" s="1"/>
  <c r="T518" i="5"/>
  <c r="AI514" i="5"/>
  <c r="AJ514" i="5" s="1"/>
  <c r="AF512" i="5"/>
  <c r="AG515" i="5"/>
  <c r="AH515" i="5" s="1"/>
  <c r="Y320" i="5"/>
  <c r="AE507" i="5"/>
  <c r="AF507" i="5" s="1"/>
  <c r="AA42" i="1"/>
  <c r="AE516" i="5"/>
  <c r="AF516" i="5" s="1"/>
  <c r="Y514" i="5"/>
  <c r="AE517" i="5"/>
  <c r="AF517" i="5" s="1"/>
  <c r="AE506" i="5"/>
  <c r="AF506" i="5" s="1"/>
  <c r="AF513" i="5"/>
  <c r="AG513" i="5"/>
  <c r="AH513" i="5" s="1"/>
  <c r="AG507" i="5"/>
  <c r="AH507" i="5" s="1"/>
  <c r="AE509" i="5"/>
  <c r="AF509" i="5" s="1"/>
  <c r="AI507" i="5"/>
  <c r="AJ507" i="5" s="1"/>
  <c r="AE502" i="5"/>
  <c r="AF502" i="5" s="1"/>
  <c r="AI199" i="5"/>
  <c r="AJ199" i="5" s="1"/>
  <c r="AI139" i="5"/>
  <c r="AJ139" i="5" s="1"/>
  <c r="AI505" i="5"/>
  <c r="AJ505" i="5" s="1"/>
  <c r="AG509" i="5"/>
  <c r="AH509" i="5" s="1"/>
  <c r="AG506" i="5"/>
  <c r="AH506" i="5" s="1"/>
  <c r="AG511" i="5"/>
  <c r="AH511" i="5" s="1"/>
  <c r="AG512" i="5"/>
  <c r="AH512" i="5" s="1"/>
  <c r="AE48" i="5"/>
  <c r="AF48" i="5" s="1"/>
  <c r="AE503" i="5"/>
  <c r="AF503" i="5" s="1"/>
  <c r="AI506" i="5"/>
  <c r="AJ506" i="5" s="1"/>
  <c r="AG510" i="5"/>
  <c r="AH510" i="5" s="1"/>
  <c r="AG500" i="5"/>
  <c r="AH500" i="5" s="1"/>
  <c r="AE508" i="5"/>
  <c r="AF508" i="5" s="1"/>
  <c r="AI509" i="5"/>
  <c r="AJ509" i="5" s="1"/>
  <c r="AE511" i="5"/>
  <c r="AF511" i="5" s="1"/>
  <c r="AD11" i="1"/>
  <c r="AE11" i="1" s="1"/>
  <c r="Y64" i="5"/>
  <c r="AG503" i="5"/>
  <c r="AH503" i="5" s="1"/>
  <c r="AG501" i="5"/>
  <c r="AH501" i="5" s="1"/>
  <c r="AE505" i="5"/>
  <c r="AF505" i="5" s="1"/>
  <c r="AE199" i="5"/>
  <c r="AG504" i="5"/>
  <c r="AH504" i="5" s="1"/>
  <c r="AI503" i="5"/>
  <c r="AJ503" i="5" s="1"/>
  <c r="AE480" i="5"/>
  <c r="AI384" i="5"/>
  <c r="AJ384" i="5" s="1"/>
  <c r="AE15" i="5"/>
  <c r="AF15" i="5" s="1"/>
  <c r="AI502" i="5"/>
  <c r="AJ502" i="5" s="1"/>
  <c r="AG499" i="5"/>
  <c r="AH499" i="5" s="1"/>
  <c r="AG502" i="5"/>
  <c r="AH502" i="5" s="1"/>
  <c r="AG505" i="5"/>
  <c r="AH505" i="5" s="1"/>
  <c r="T201" i="5"/>
  <c r="AG201" i="5" s="1"/>
  <c r="AH201" i="5" s="1"/>
  <c r="Y34" i="5"/>
  <c r="Y141" i="5"/>
  <c r="Y269" i="5"/>
  <c r="AI330" i="5"/>
  <c r="AJ330" i="5" s="1"/>
  <c r="AI200" i="5"/>
  <c r="AJ200" i="5" s="1"/>
  <c r="T484" i="5"/>
  <c r="AG484" i="5" s="1"/>
  <c r="AH484" i="5" s="1"/>
  <c r="U33" i="1"/>
  <c r="AA33" i="1" s="1"/>
  <c r="AG498" i="5"/>
  <c r="AH498" i="5" s="1"/>
  <c r="AE259" i="5"/>
  <c r="AF259" i="5" s="1"/>
  <c r="AE495" i="5"/>
  <c r="AF495" i="5" s="1"/>
  <c r="AE501" i="5"/>
  <c r="AF501" i="5" s="1"/>
  <c r="AI386" i="5"/>
  <c r="AJ386" i="5" s="1"/>
  <c r="Y180" i="5"/>
  <c r="AE500" i="5"/>
  <c r="AF500" i="5" s="1"/>
  <c r="U37" i="1"/>
  <c r="Y219" i="5"/>
  <c r="AI68" i="5"/>
  <c r="AJ68" i="5" s="1"/>
  <c r="AI485" i="5"/>
  <c r="AJ485" i="5" s="1"/>
  <c r="T483" i="5"/>
  <c r="AG483" i="5" s="1"/>
  <c r="AH483" i="5" s="1"/>
  <c r="AI497" i="5"/>
  <c r="AJ497" i="5" s="1"/>
  <c r="Y352" i="5"/>
  <c r="AF352" i="5" s="1"/>
  <c r="AI362" i="5"/>
  <c r="AJ362" i="5" s="1"/>
  <c r="AI228" i="5"/>
  <c r="AJ228" i="5" s="1"/>
  <c r="T30" i="5"/>
  <c r="AG30" i="5" s="1"/>
  <c r="AH30" i="5" s="1"/>
  <c r="Y267" i="5"/>
  <c r="T319" i="5"/>
  <c r="AG319" i="5" s="1"/>
  <c r="AH319" i="5" s="1"/>
  <c r="AI316" i="5"/>
  <c r="AJ316" i="5" s="1"/>
  <c r="T486" i="5"/>
  <c r="AG486" i="5" s="1"/>
  <c r="AH486" i="5" s="1"/>
  <c r="AI492" i="5"/>
  <c r="AJ492" i="5" s="1"/>
  <c r="AI493" i="5"/>
  <c r="AJ493" i="5" s="1"/>
  <c r="AE496" i="5"/>
  <c r="AF496" i="5" s="1"/>
  <c r="AI490" i="5"/>
  <c r="AJ490" i="5" s="1"/>
  <c r="T480" i="5"/>
  <c r="AG480" i="5" s="1"/>
  <c r="AH480" i="5" s="1"/>
  <c r="AI484" i="5"/>
  <c r="AJ484" i="5" s="1"/>
  <c r="AE490" i="5"/>
  <c r="AF490" i="5" s="1"/>
  <c r="T61" i="5"/>
  <c r="AG61" i="5" s="1"/>
  <c r="AH61" i="5" s="1"/>
  <c r="T31" i="5"/>
  <c r="AG31" i="5" s="1"/>
  <c r="AH31" i="5" s="1"/>
  <c r="T33" i="5"/>
  <c r="AG33" i="5" s="1"/>
  <c r="AH33" i="5" s="1"/>
  <c r="AI489" i="5"/>
  <c r="AJ489" i="5" s="1"/>
  <c r="AD102" i="1"/>
  <c r="AE102" i="1" s="1"/>
  <c r="AA105" i="1"/>
  <c r="AA107" i="1"/>
  <c r="T65" i="5"/>
  <c r="AG65" i="5" s="1"/>
  <c r="AH65" i="5" s="1"/>
  <c r="T67" i="5"/>
  <c r="AG67" i="5" s="1"/>
  <c r="AH67" i="5" s="1"/>
  <c r="AB36" i="1"/>
  <c r="AE485" i="5"/>
  <c r="AI483" i="5"/>
  <c r="AJ483" i="5" s="1"/>
  <c r="AA113" i="1"/>
  <c r="AI486" i="5"/>
  <c r="AJ486" i="5" s="1"/>
  <c r="AG491" i="5"/>
  <c r="AH491" i="5" s="1"/>
  <c r="T479" i="5"/>
  <c r="AG479" i="5" s="1"/>
  <c r="AH479" i="5" s="1"/>
  <c r="AE489" i="5"/>
  <c r="AF489" i="5" s="1"/>
  <c r="AG497" i="5"/>
  <c r="AH497" i="5" s="1"/>
  <c r="AG494" i="5"/>
  <c r="AH494" i="5" s="1"/>
  <c r="AE486" i="5"/>
  <c r="AE491" i="5"/>
  <c r="AF491" i="5" s="1"/>
  <c r="AG493" i="5"/>
  <c r="AH493" i="5" s="1"/>
  <c r="AF488" i="5"/>
  <c r="AG492" i="5"/>
  <c r="AH492" i="5" s="1"/>
  <c r="AG495" i="5"/>
  <c r="AH495" i="5" s="1"/>
  <c r="AG488" i="5"/>
  <c r="AH488" i="5" s="1"/>
  <c r="Y174" i="5"/>
  <c r="AF174" i="5" s="1"/>
  <c r="AI491" i="5"/>
  <c r="AJ491" i="5" s="1"/>
  <c r="AI495" i="5"/>
  <c r="AJ495" i="5" s="1"/>
  <c r="AE42" i="5"/>
  <c r="AF42" i="5" s="1"/>
  <c r="AE497" i="5"/>
  <c r="AF497" i="5" s="1"/>
  <c r="AA9" i="1"/>
  <c r="AI69" i="5"/>
  <c r="AJ69" i="5" s="1"/>
  <c r="AE182" i="5"/>
  <c r="AF182" i="5" s="1"/>
  <c r="T198" i="5"/>
  <c r="AG198" i="5" s="1"/>
  <c r="AH198" i="5" s="1"/>
  <c r="AE270" i="5"/>
  <c r="Y313" i="5"/>
  <c r="Y373" i="5"/>
  <c r="AG490" i="5"/>
  <c r="AH490" i="5" s="1"/>
  <c r="AG496" i="5"/>
  <c r="AH496" i="5" s="1"/>
  <c r="Y167" i="5"/>
  <c r="AF167" i="5" s="1"/>
  <c r="AI388" i="5"/>
  <c r="AJ388" i="5" s="1"/>
  <c r="AI331" i="5"/>
  <c r="AJ331" i="5" s="1"/>
  <c r="AB27" i="1"/>
  <c r="AE183" i="5"/>
  <c r="AF183" i="5" s="1"/>
  <c r="AG489" i="5"/>
  <c r="AH489" i="5" s="1"/>
  <c r="AG487" i="5"/>
  <c r="AH487" i="5" s="1"/>
  <c r="AA48" i="1"/>
  <c r="T8" i="3"/>
  <c r="AA36" i="1"/>
  <c r="Y31" i="5"/>
  <c r="Y33" i="5"/>
  <c r="T37" i="5"/>
  <c r="AG37" i="5" s="1"/>
  <c r="AH37" i="5" s="1"/>
  <c r="T267" i="5"/>
  <c r="AG267" i="5" s="1"/>
  <c r="AH267" i="5" s="1"/>
  <c r="Y485" i="5"/>
  <c r="AE484" i="5"/>
  <c r="Y484" i="5"/>
  <c r="AF494" i="5"/>
  <c r="AI496" i="5"/>
  <c r="AJ496" i="5" s="1"/>
  <c r="AG476" i="5"/>
  <c r="AH476" i="5" s="1"/>
  <c r="AA55" i="1"/>
  <c r="AE45" i="5"/>
  <c r="AF45" i="5" s="1"/>
  <c r="Y200" i="5"/>
  <c r="AI374" i="5"/>
  <c r="AJ374" i="5" s="1"/>
  <c r="T378" i="5"/>
  <c r="AG378" i="5" s="1"/>
  <c r="AH378" i="5" s="1"/>
  <c r="AG481" i="5"/>
  <c r="AH481" i="5" s="1"/>
  <c r="AE483" i="5"/>
  <c r="AA43" i="1"/>
  <c r="AE493" i="5"/>
  <c r="AF493" i="5" s="1"/>
  <c r="AI477" i="5"/>
  <c r="AJ477" i="5" s="1"/>
  <c r="AE492" i="5"/>
  <c r="AF492" i="5" s="1"/>
  <c r="T485" i="5"/>
  <c r="AI227" i="5"/>
  <c r="AJ227" i="5" s="1"/>
  <c r="Y67" i="5"/>
  <c r="AI66" i="5"/>
  <c r="AJ66" i="5" s="1"/>
  <c r="AI37" i="5"/>
  <c r="AJ37" i="5" s="1"/>
  <c r="Y139" i="5"/>
  <c r="T141" i="5"/>
  <c r="AG141" i="5" s="1"/>
  <c r="AH141" i="5" s="1"/>
  <c r="AI201" i="5"/>
  <c r="AJ201" i="5" s="1"/>
  <c r="AI268" i="5"/>
  <c r="AJ268" i="5" s="1"/>
  <c r="T270" i="5"/>
  <c r="AG270" i="5" s="1"/>
  <c r="AH270" i="5" s="1"/>
  <c r="T314" i="5"/>
  <c r="AG314" i="5" s="1"/>
  <c r="AH314" i="5" s="1"/>
  <c r="AI319" i="5"/>
  <c r="AJ319" i="5" s="1"/>
  <c r="T320" i="5"/>
  <c r="AG320" i="5" s="1"/>
  <c r="AH320" i="5" s="1"/>
  <c r="AI65" i="5"/>
  <c r="AJ65" i="5" s="1"/>
  <c r="AI137" i="5"/>
  <c r="AJ137" i="5" s="1"/>
  <c r="AI278" i="5"/>
  <c r="AJ278" i="5" s="1"/>
  <c r="T371" i="5"/>
  <c r="AG371" i="5" s="1"/>
  <c r="AH371" i="5" s="1"/>
  <c r="T379" i="5"/>
  <c r="AI475" i="5"/>
  <c r="AJ475" i="5" s="1"/>
  <c r="AF482" i="5"/>
  <c r="AE479" i="5"/>
  <c r="AF481" i="5"/>
  <c r="AG482" i="5"/>
  <c r="AH482" i="5" s="1"/>
  <c r="AE329" i="5"/>
  <c r="AF329" i="5" s="1"/>
  <c r="T137" i="5"/>
  <c r="AG137" i="5" s="1"/>
  <c r="AH137" i="5" s="1"/>
  <c r="Y199" i="5"/>
  <c r="T200" i="5"/>
  <c r="AG200" i="5" s="1"/>
  <c r="AH200" i="5" s="1"/>
  <c r="Y270" i="5"/>
  <c r="AE31" i="5"/>
  <c r="AB4" i="1"/>
  <c r="AI224" i="5"/>
  <c r="AJ224" i="5" s="1"/>
  <c r="AA106" i="1"/>
  <c r="Z379" i="5"/>
  <c r="AE379" i="5" s="1"/>
  <c r="BG60" i="7"/>
  <c r="AI354" i="5"/>
  <c r="AJ354" i="5" s="1"/>
  <c r="AI315" i="5"/>
  <c r="AJ315" i="5" s="1"/>
  <c r="AI142" i="5"/>
  <c r="AJ142" i="5" s="1"/>
  <c r="AI124" i="5"/>
  <c r="AJ124" i="5" s="1"/>
  <c r="AI381" i="5"/>
  <c r="AJ381" i="5" s="1"/>
  <c r="U4" i="1"/>
  <c r="AA4" i="1" s="1"/>
  <c r="AB39" i="1"/>
  <c r="AC39" i="1" s="1"/>
  <c r="Y148" i="5"/>
  <c r="Y32" i="5"/>
  <c r="T138" i="5"/>
  <c r="AG138" i="5" s="1"/>
  <c r="AH138" i="5" s="1"/>
  <c r="Y143" i="5"/>
  <c r="Y201" i="5"/>
  <c r="AI269" i="5"/>
  <c r="AJ269" i="5" s="1"/>
  <c r="AA108" i="1"/>
  <c r="AB32" i="1"/>
  <c r="AC32" i="1" s="1"/>
  <c r="AA57" i="1"/>
  <c r="AI62" i="5"/>
  <c r="AJ62" i="5" s="1"/>
  <c r="AI64" i="5"/>
  <c r="AJ64" i="5" s="1"/>
  <c r="Y66" i="5"/>
  <c r="AI32" i="5"/>
  <c r="AJ32" i="5" s="1"/>
  <c r="AI34" i="5"/>
  <c r="AJ34" i="5" s="1"/>
  <c r="T36" i="5"/>
  <c r="AG36" i="5" s="1"/>
  <c r="AH36" i="5" s="1"/>
  <c r="Y322" i="5"/>
  <c r="T268" i="5"/>
  <c r="AG268" i="5" s="1"/>
  <c r="AH268" i="5" s="1"/>
  <c r="AA89" i="1"/>
  <c r="AA46" i="1"/>
  <c r="AE49" i="5"/>
  <c r="AF49" i="5" s="1"/>
  <c r="AA109" i="1"/>
  <c r="Y138" i="5"/>
  <c r="T199" i="5"/>
  <c r="AG199" i="5" s="1"/>
  <c r="AH199" i="5" s="1"/>
  <c r="AI321" i="5"/>
  <c r="AJ321" i="5" s="1"/>
  <c r="T63" i="5"/>
  <c r="AG63" i="5" s="1"/>
  <c r="AH63" i="5" s="1"/>
  <c r="T64" i="5"/>
  <c r="AG64" i="5" s="1"/>
  <c r="AH64" i="5" s="1"/>
  <c r="T66" i="5"/>
  <c r="AG66" i="5" s="1"/>
  <c r="AH66" i="5" s="1"/>
  <c r="AI36" i="5"/>
  <c r="AJ36" i="5" s="1"/>
  <c r="T313" i="5"/>
  <c r="AG313" i="5" s="1"/>
  <c r="AH313" i="5" s="1"/>
  <c r="AI314" i="5"/>
  <c r="AJ314" i="5" s="1"/>
  <c r="AI403" i="5"/>
  <c r="AJ403" i="5" s="1"/>
  <c r="AD38" i="1"/>
  <c r="AB10" i="1"/>
  <c r="AC10" i="1" s="1"/>
  <c r="AA28" i="1"/>
  <c r="AE186" i="5"/>
  <c r="AF186" i="5" s="1"/>
  <c r="Y137" i="5"/>
  <c r="AG477" i="5"/>
  <c r="AH477" i="5" s="1"/>
  <c r="AE20" i="1"/>
  <c r="AA72" i="1"/>
  <c r="K131" i="1"/>
  <c r="AD25" i="1"/>
  <c r="AE25" i="1" s="1"/>
  <c r="AA112" i="1"/>
  <c r="Y435" i="5"/>
  <c r="AF435" i="5" s="1"/>
  <c r="AG7" i="5"/>
  <c r="AH7" i="5" s="1"/>
  <c r="AA21" i="1"/>
  <c r="T374" i="5"/>
  <c r="AG374" i="5" s="1"/>
  <c r="AH374" i="5" s="1"/>
  <c r="AE141" i="5"/>
  <c r="AE124" i="5"/>
  <c r="AF124" i="5" s="1"/>
  <c r="AI279" i="5"/>
  <c r="AJ279" i="5" s="1"/>
  <c r="AI136" i="5"/>
  <c r="AJ136" i="5" s="1"/>
  <c r="AB33" i="1"/>
  <c r="AA7" i="1"/>
  <c r="AI135" i="5"/>
  <c r="AJ135" i="5" s="1"/>
  <c r="AA44" i="1"/>
  <c r="AI230" i="5"/>
  <c r="AJ230" i="5" s="1"/>
  <c r="T60" i="5"/>
  <c r="AG60" i="5" s="1"/>
  <c r="AH60" i="5" s="1"/>
  <c r="T62" i="5"/>
  <c r="AG62" i="5" s="1"/>
  <c r="AH62" i="5" s="1"/>
  <c r="AI67" i="5"/>
  <c r="AJ67" i="5" s="1"/>
  <c r="AI138" i="5"/>
  <c r="AJ138" i="5" s="1"/>
  <c r="AI143" i="5"/>
  <c r="AJ143" i="5" s="1"/>
  <c r="Y268" i="5"/>
  <c r="Y400" i="5"/>
  <c r="AI449" i="5"/>
  <c r="AJ449" i="5" s="1"/>
  <c r="AA114" i="1"/>
  <c r="AE463" i="5"/>
  <c r="AF463" i="5" s="1"/>
  <c r="AI473" i="5"/>
  <c r="AJ473" i="5" s="1"/>
  <c r="AE216" i="5"/>
  <c r="AF216" i="5" s="1"/>
  <c r="AE281" i="5"/>
  <c r="AF281" i="5" s="1"/>
  <c r="T139" i="5"/>
  <c r="AG139" i="5" s="1"/>
  <c r="AH139" i="5" s="1"/>
  <c r="AI417" i="5"/>
  <c r="AJ417" i="5" s="1"/>
  <c r="AA90" i="1"/>
  <c r="AA19" i="1"/>
  <c r="AA50" i="1"/>
  <c r="AE14" i="5"/>
  <c r="AF14" i="5" s="1"/>
  <c r="AB35" i="1"/>
  <c r="AC35" i="1" s="1"/>
  <c r="AE10" i="1"/>
  <c r="AA64" i="1"/>
  <c r="AA88" i="1"/>
  <c r="Y409" i="5"/>
  <c r="AE415" i="5"/>
  <c r="AE477" i="5"/>
  <c r="AF477" i="5" s="1"/>
  <c r="AB28" i="1"/>
  <c r="AC28" i="1" s="1"/>
  <c r="AA52" i="1"/>
  <c r="AA92" i="1"/>
  <c r="T5" i="3"/>
  <c r="AB20" i="1"/>
  <c r="AA3" i="1"/>
  <c r="AE43" i="5"/>
  <c r="AF43" i="5" s="1"/>
  <c r="AE299" i="5"/>
  <c r="AF299" i="5" s="1"/>
  <c r="AE9" i="1"/>
  <c r="AA91" i="1"/>
  <c r="AA59" i="1"/>
  <c r="AA40" i="1"/>
  <c r="AC24" i="1"/>
  <c r="AB44" i="1"/>
  <c r="AC44" i="1" s="1"/>
  <c r="BG59" i="7"/>
  <c r="AA27" i="1"/>
  <c r="AG475" i="5"/>
  <c r="AH475" i="5" s="1"/>
  <c r="AD24" i="1"/>
  <c r="AE24" i="1" s="1"/>
  <c r="Y321" i="5"/>
  <c r="AE475" i="5"/>
  <c r="AF475" i="5" s="1"/>
  <c r="AI31" i="5"/>
  <c r="AJ31" i="5" s="1"/>
  <c r="AA76" i="1"/>
  <c r="AA62" i="1"/>
  <c r="AI383" i="5"/>
  <c r="AJ383" i="5" s="1"/>
  <c r="AI401" i="5"/>
  <c r="AJ401" i="5" s="1"/>
  <c r="T419" i="5"/>
  <c r="AG419" i="5" s="1"/>
  <c r="AH419" i="5" s="1"/>
  <c r="AA66" i="1"/>
  <c r="AD104" i="1"/>
  <c r="AE104" i="1" s="1"/>
  <c r="AE149" i="5"/>
  <c r="AF149" i="5" s="1"/>
  <c r="AE189" i="5"/>
  <c r="AF189" i="5" s="1"/>
  <c r="AE232" i="5"/>
  <c r="Y442" i="5"/>
  <c r="AE12" i="5"/>
  <c r="AF12" i="5" s="1"/>
  <c r="AE226" i="5"/>
  <c r="AF226" i="5" s="1"/>
  <c r="AE289" i="5"/>
  <c r="AF289" i="5" s="1"/>
  <c r="AA99" i="1"/>
  <c r="AE57" i="5"/>
  <c r="AF57" i="5" s="1"/>
  <c r="T322" i="5"/>
  <c r="AG322" i="5" s="1"/>
  <c r="AH322" i="5" s="1"/>
  <c r="AI406" i="5"/>
  <c r="AJ406" i="5" s="1"/>
  <c r="AA102" i="1"/>
  <c r="AE181" i="5"/>
  <c r="AF181" i="5" s="1"/>
  <c r="AE62" i="5"/>
  <c r="AI229" i="5"/>
  <c r="AJ229" i="5" s="1"/>
  <c r="Y136" i="5"/>
  <c r="AI141" i="5"/>
  <c r="AJ141" i="5" s="1"/>
  <c r="AI198" i="5"/>
  <c r="AJ198" i="5" s="1"/>
  <c r="AA31" i="1"/>
  <c r="AB11" i="1"/>
  <c r="AC11" i="1" s="1"/>
  <c r="AB114" i="1"/>
  <c r="AC114" i="1" s="1"/>
  <c r="AA104" i="1"/>
  <c r="AB3" i="1"/>
  <c r="U34" i="1"/>
  <c r="AA34" i="1" s="1"/>
  <c r="AI363" i="5"/>
  <c r="AJ363" i="5" s="1"/>
  <c r="AA85" i="1"/>
  <c r="AA51" i="1"/>
  <c r="AE209" i="5"/>
  <c r="AF209" i="5" s="1"/>
  <c r="AA87" i="1"/>
  <c r="AA11" i="1"/>
  <c r="AA110" i="1"/>
  <c r="AA10" i="1"/>
  <c r="AI223" i="5"/>
  <c r="AJ223" i="5" s="1"/>
  <c r="AE27" i="1"/>
  <c r="BG58" i="7"/>
  <c r="AG239" i="5"/>
  <c r="AH239" i="5" s="1"/>
  <c r="Y314" i="5"/>
  <c r="T316" i="5"/>
  <c r="AG316" i="5" s="1"/>
  <c r="AH316" i="5" s="1"/>
  <c r="T321" i="5"/>
  <c r="AG321" i="5" s="1"/>
  <c r="AH321" i="5" s="1"/>
  <c r="AE476" i="5"/>
  <c r="AF476" i="5" s="1"/>
  <c r="AG146" i="5"/>
  <c r="AH146" i="5" s="1"/>
  <c r="AG478" i="5"/>
  <c r="AH478" i="5" s="1"/>
  <c r="AG258" i="5"/>
  <c r="AH258" i="5" s="1"/>
  <c r="AE185" i="5"/>
  <c r="AF185" i="5" s="1"/>
  <c r="AE215" i="5"/>
  <c r="AF215" i="5" s="1"/>
  <c r="AE250" i="5"/>
  <c r="AF250" i="5" s="1"/>
  <c r="AE313" i="5"/>
  <c r="Y142" i="5"/>
  <c r="AI322" i="5"/>
  <c r="AJ322" i="5" s="1"/>
  <c r="T373" i="5"/>
  <c r="AG373" i="5" s="1"/>
  <c r="AH373" i="5" s="1"/>
  <c r="Y387" i="5"/>
  <c r="AI476" i="5"/>
  <c r="AJ476" i="5" s="1"/>
  <c r="AE478" i="5"/>
  <c r="AF478" i="5" s="1"/>
  <c r="AE269" i="5"/>
  <c r="AE315" i="5"/>
  <c r="AI140" i="5"/>
  <c r="AJ140" i="5" s="1"/>
  <c r="AI270" i="5"/>
  <c r="AJ270" i="5" s="1"/>
  <c r="AE314" i="5"/>
  <c r="T372" i="5"/>
  <c r="AG372" i="5" s="1"/>
  <c r="AH372" i="5" s="1"/>
  <c r="AI373" i="5"/>
  <c r="AJ373" i="5" s="1"/>
  <c r="AE375" i="5"/>
  <c r="AA61" i="1"/>
  <c r="AA47" i="1"/>
  <c r="AE3" i="5"/>
  <c r="AF3" i="5" s="1"/>
  <c r="AE32" i="5"/>
  <c r="AG150" i="5"/>
  <c r="AH150" i="5" s="1"/>
  <c r="AE188" i="5"/>
  <c r="AF188" i="5" s="1"/>
  <c r="AE334" i="5"/>
  <c r="AF334" i="5" s="1"/>
  <c r="AE33" i="5"/>
  <c r="AE201" i="5"/>
  <c r="AI376" i="5"/>
  <c r="AJ376" i="5" s="1"/>
  <c r="AI379" i="5"/>
  <c r="AJ379" i="5" s="1"/>
  <c r="T416" i="5"/>
  <c r="AG416" i="5" s="1"/>
  <c r="AH416" i="5" s="1"/>
  <c r="AA70" i="1"/>
  <c r="AD101" i="1"/>
  <c r="AE101" i="1" s="1"/>
  <c r="AE298" i="5"/>
  <c r="AF298" i="5" s="1"/>
  <c r="AE63" i="5"/>
  <c r="AE35" i="5"/>
  <c r="AE316" i="5"/>
  <c r="AI375" i="5"/>
  <c r="AJ375" i="5" s="1"/>
  <c r="AI415" i="5"/>
  <c r="AJ415" i="5" s="1"/>
  <c r="Y417" i="5"/>
  <c r="Y432" i="5"/>
  <c r="AE139" i="5"/>
  <c r="T143" i="5"/>
  <c r="AG143" i="5" s="1"/>
  <c r="AH143" i="5" s="1"/>
  <c r="T279" i="5"/>
  <c r="AG279" i="5" s="1"/>
  <c r="AH279" i="5" s="1"/>
  <c r="AI267" i="5"/>
  <c r="AJ267" i="5" s="1"/>
  <c r="AB12" i="1"/>
  <c r="AC12" i="1" s="1"/>
  <c r="AA14" i="1"/>
  <c r="U12" i="1"/>
  <c r="AA12" i="1" s="1"/>
  <c r="T7" i="3"/>
  <c r="U6" i="1"/>
  <c r="AA6" i="1" s="1"/>
  <c r="AD33" i="1"/>
  <c r="AA25" i="1"/>
  <c r="AE60" i="5"/>
  <c r="AI225" i="5"/>
  <c r="AJ225" i="5" s="1"/>
  <c r="AA41" i="1"/>
  <c r="AD19" i="1"/>
  <c r="AI221" i="5"/>
  <c r="AJ221" i="5" s="1"/>
  <c r="AE249" i="5"/>
  <c r="AF249" i="5" s="1"/>
  <c r="AE282" i="5"/>
  <c r="AF282" i="5" s="1"/>
  <c r="AE291" i="5"/>
  <c r="AF291" i="5" s="1"/>
  <c r="AG297" i="5"/>
  <c r="AH297" i="5" s="1"/>
  <c r="AG325" i="5"/>
  <c r="AH325" i="5" s="1"/>
  <c r="AE65" i="5"/>
  <c r="T35" i="5"/>
  <c r="AG35" i="5" s="1"/>
  <c r="AH35" i="5" s="1"/>
  <c r="T140" i="5"/>
  <c r="AG140" i="5" s="1"/>
  <c r="AH140" i="5" s="1"/>
  <c r="T277" i="5"/>
  <c r="AG277" i="5" s="1"/>
  <c r="AH277" i="5" s="1"/>
  <c r="AG385" i="5"/>
  <c r="AH385" i="5" s="1"/>
  <c r="AB37" i="1"/>
  <c r="AA98" i="1"/>
  <c r="AA86" i="1"/>
  <c r="AE36" i="5"/>
  <c r="AE292" i="5"/>
  <c r="AF292" i="5" s="1"/>
  <c r="T142" i="5"/>
  <c r="AG142" i="5" s="1"/>
  <c r="AH142" i="5" s="1"/>
  <c r="Y319" i="5"/>
  <c r="AJ30" i="5"/>
  <c r="AE371" i="5"/>
  <c r="T375" i="5"/>
  <c r="AG375" i="5" s="1"/>
  <c r="AH375" i="5" s="1"/>
  <c r="AG383" i="5"/>
  <c r="AH383" i="5" s="1"/>
  <c r="AE61" i="5"/>
  <c r="AG330" i="5"/>
  <c r="AH330" i="5" s="1"/>
  <c r="AG307" i="5"/>
  <c r="AH307" i="5" s="1"/>
  <c r="AG249" i="5"/>
  <c r="AH249" i="5" s="1"/>
  <c r="AE239" i="5"/>
  <c r="AF239" i="5" s="1"/>
  <c r="AG299" i="5"/>
  <c r="AH299" i="5" s="1"/>
  <c r="AG404" i="5"/>
  <c r="AH404" i="5" s="1"/>
  <c r="AG233" i="5"/>
  <c r="AH233" i="5" s="1"/>
  <c r="AG185" i="5"/>
  <c r="AH185" i="5" s="1"/>
  <c r="AG247" i="5"/>
  <c r="AH247" i="5" s="1"/>
  <c r="AG345" i="5"/>
  <c r="AH345" i="5" s="1"/>
  <c r="AF53" i="5"/>
  <c r="AG26" i="5"/>
  <c r="AH26" i="5" s="1"/>
  <c r="AG311" i="5"/>
  <c r="AH311" i="5" s="1"/>
  <c r="AF161" i="5"/>
  <c r="AG182" i="5"/>
  <c r="AH182" i="5" s="1"/>
  <c r="AE233" i="5"/>
  <c r="AF233" i="5" s="1"/>
  <c r="AF266" i="5"/>
  <c r="AG214" i="5"/>
  <c r="AH214" i="5" s="1"/>
  <c r="AG213" i="5"/>
  <c r="AH213" i="5" s="1"/>
  <c r="AG356" i="5"/>
  <c r="AH356" i="5" s="1"/>
  <c r="AG112" i="5"/>
  <c r="AH112" i="5" s="1"/>
  <c r="AG177" i="5"/>
  <c r="AH177" i="5" s="1"/>
  <c r="AE311" i="5"/>
  <c r="AF311" i="5" s="1"/>
  <c r="AG296" i="5"/>
  <c r="AH296" i="5" s="1"/>
  <c r="AG333" i="5"/>
  <c r="AH333" i="5" s="1"/>
  <c r="AF147" i="5"/>
  <c r="AG304" i="5"/>
  <c r="AH304" i="5" s="1"/>
  <c r="AG473" i="5"/>
  <c r="AH473" i="5" s="1"/>
  <c r="AE473" i="5"/>
  <c r="AF473" i="5" s="1"/>
  <c r="AF211" i="5"/>
  <c r="AG218" i="5"/>
  <c r="AH218" i="5" s="1"/>
  <c r="AE138" i="5"/>
  <c r="AE40" i="1"/>
  <c r="AC19" i="1"/>
  <c r="AB5" i="1"/>
  <c r="AC5" i="1" s="1"/>
  <c r="AE2" i="5"/>
  <c r="AF2" i="5" s="1"/>
  <c r="AE236" i="5"/>
  <c r="AF236" i="5" s="1"/>
  <c r="AE234" i="5"/>
  <c r="AF234" i="5" s="1"/>
  <c r="AG324" i="5"/>
  <c r="AH324" i="5" s="1"/>
  <c r="AB41" i="1"/>
  <c r="AC41" i="1" s="1"/>
  <c r="AB40" i="1"/>
  <c r="AD30" i="1"/>
  <c r="AG229" i="5"/>
  <c r="AH229" i="5" s="1"/>
  <c r="AI231" i="5"/>
  <c r="AJ231" i="5" s="1"/>
  <c r="AG368" i="5"/>
  <c r="AH368" i="5" s="1"/>
  <c r="AE374" i="5"/>
  <c r="AI427" i="5"/>
  <c r="AJ427" i="5" s="1"/>
  <c r="AD46" i="1"/>
  <c r="AE46" i="1" s="1"/>
  <c r="AE171" i="5"/>
  <c r="AF171" i="5" s="1"/>
  <c r="AE180" i="5"/>
  <c r="AE279" i="5"/>
  <c r="AE322" i="5"/>
  <c r="T417" i="5"/>
  <c r="AG417" i="5" s="1"/>
  <c r="AH417" i="5" s="1"/>
  <c r="AI418" i="5"/>
  <c r="AJ418" i="5" s="1"/>
  <c r="AI435" i="5"/>
  <c r="AJ435" i="5" s="1"/>
  <c r="AF350" i="5"/>
  <c r="Y177" i="5"/>
  <c r="AF177" i="5" s="1"/>
  <c r="AF312" i="5"/>
  <c r="Y35" i="5"/>
  <c r="Y140" i="5"/>
  <c r="AI421" i="5"/>
  <c r="AJ421" i="5" s="1"/>
  <c r="AE258" i="5"/>
  <c r="AF258" i="5" s="1"/>
  <c r="AI33" i="5"/>
  <c r="AJ33" i="5" s="1"/>
  <c r="AB9" i="1"/>
  <c r="AC9" i="1" s="1"/>
  <c r="AB89" i="1"/>
  <c r="AC89" i="1" s="1"/>
  <c r="AA24" i="1"/>
  <c r="AG174" i="5"/>
  <c r="AH174" i="5" s="1"/>
  <c r="AA93" i="1"/>
  <c r="AA53" i="1"/>
  <c r="AE208" i="5"/>
  <c r="AF208" i="5" s="1"/>
  <c r="AE257" i="5"/>
  <c r="AF257" i="5" s="1"/>
  <c r="T32" i="5"/>
  <c r="T34" i="5"/>
  <c r="AG34" i="5" s="1"/>
  <c r="AH34" i="5" s="1"/>
  <c r="T276" i="5"/>
  <c r="AG276" i="5" s="1"/>
  <c r="AH276" i="5" s="1"/>
  <c r="AB61" i="1"/>
  <c r="AC61" i="1" s="1"/>
  <c r="AF272" i="5"/>
  <c r="AA20" i="1"/>
  <c r="AE66" i="5"/>
  <c r="AI125" i="5"/>
  <c r="AJ125" i="5" s="1"/>
  <c r="AE221" i="5"/>
  <c r="AF221" i="5" s="1"/>
  <c r="AI456" i="5"/>
  <c r="AJ456" i="5" s="1"/>
  <c r="AB47" i="1"/>
  <c r="AC47" i="1" s="1"/>
  <c r="AD51" i="1"/>
  <c r="AE51" i="1" s="1"/>
  <c r="AE4" i="1"/>
  <c r="AG241" i="5"/>
  <c r="AH241" i="5" s="1"/>
  <c r="AA101" i="1"/>
  <c r="AE26" i="1"/>
  <c r="AI377" i="5"/>
  <c r="AJ377" i="5" s="1"/>
  <c r="AA68" i="1"/>
  <c r="AF332" i="5"/>
  <c r="T381" i="5"/>
  <c r="AG381" i="5" s="1"/>
  <c r="AH381" i="5" s="1"/>
  <c r="AI372" i="5"/>
  <c r="AJ372" i="5" s="1"/>
  <c r="AI422" i="5"/>
  <c r="AJ422" i="5" s="1"/>
  <c r="AD18" i="1"/>
  <c r="AE18" i="1" s="1"/>
  <c r="Y372" i="5"/>
  <c r="T376" i="5"/>
  <c r="AG376" i="5" s="1"/>
  <c r="AH376" i="5" s="1"/>
  <c r="BG62" i="7"/>
  <c r="AI444" i="5"/>
  <c r="AJ444" i="5" s="1"/>
  <c r="AI443" i="5"/>
  <c r="AJ443" i="5" s="1"/>
  <c r="AG55" i="5"/>
  <c r="AH55" i="5" s="1"/>
  <c r="AG236" i="5"/>
  <c r="AH236" i="5" s="1"/>
  <c r="AG226" i="5"/>
  <c r="AH226" i="5" s="1"/>
  <c r="AG331" i="5"/>
  <c r="AH331" i="5" s="1"/>
  <c r="AG188" i="5"/>
  <c r="AH188" i="5" s="1"/>
  <c r="AF214" i="5"/>
  <c r="AE229" i="5"/>
  <c r="AF229" i="5" s="1"/>
  <c r="AF28" i="5"/>
  <c r="AG271" i="5"/>
  <c r="AH271" i="5" s="1"/>
  <c r="AG203" i="5"/>
  <c r="AH203" i="5" s="1"/>
  <c r="AG235" i="5"/>
  <c r="AH235" i="5" s="1"/>
  <c r="AG388" i="5"/>
  <c r="AH388" i="5" s="1"/>
  <c r="AG15" i="5"/>
  <c r="AH15" i="5" s="1"/>
  <c r="AG154" i="5"/>
  <c r="AH154" i="5" s="1"/>
  <c r="AG16" i="5"/>
  <c r="AH16" i="5" s="1"/>
  <c r="AG264" i="5"/>
  <c r="AH264" i="5" s="1"/>
  <c r="AE55" i="5"/>
  <c r="AF55" i="5" s="1"/>
  <c r="AG128" i="5"/>
  <c r="AH128" i="5" s="1"/>
  <c r="AA17" i="1"/>
  <c r="AA8" i="1"/>
  <c r="AE126" i="5"/>
  <c r="AF126" i="5" s="1"/>
  <c r="AE140" i="5"/>
  <c r="AG171" i="5"/>
  <c r="AH171" i="5" s="1"/>
  <c r="AE230" i="5"/>
  <c r="AF230" i="5" s="1"/>
  <c r="AE276" i="5"/>
  <c r="AI60" i="5"/>
  <c r="AJ60" i="5" s="1"/>
  <c r="BG64" i="7"/>
  <c r="BH64" i="7"/>
  <c r="BI64" i="7" s="1"/>
  <c r="AE14" i="1"/>
  <c r="AB50" i="1"/>
  <c r="AC50" i="1" s="1"/>
  <c r="AA95" i="1"/>
  <c r="AB23" i="1"/>
  <c r="AB7" i="1"/>
  <c r="AA94" i="1"/>
  <c r="AI420" i="5"/>
  <c r="AJ420" i="5" s="1"/>
  <c r="T69" i="5"/>
  <c r="AG69" i="5" s="1"/>
  <c r="AH69" i="5" s="1"/>
  <c r="AB45" i="1"/>
  <c r="AC45" i="1" s="1"/>
  <c r="AA45" i="1"/>
  <c r="AI222" i="5"/>
  <c r="AJ222" i="5" s="1"/>
  <c r="Y222" i="5"/>
  <c r="AI226" i="5"/>
  <c r="AJ226" i="5" s="1"/>
  <c r="T278" i="5"/>
  <c r="AG278" i="5" s="1"/>
  <c r="AH278" i="5" s="1"/>
  <c r="AA30" i="1"/>
  <c r="AA74" i="1"/>
  <c r="U38" i="1"/>
  <c r="AE328" i="5"/>
  <c r="AF328" i="5" s="1"/>
  <c r="AG328" i="5"/>
  <c r="AH328" i="5" s="1"/>
  <c r="AI58" i="5"/>
  <c r="AJ58" i="5" s="1"/>
  <c r="AE58" i="5"/>
  <c r="AF58" i="5" s="1"/>
  <c r="BH55" i="7"/>
  <c r="BI55" i="7" s="1"/>
  <c r="BG55" i="7"/>
  <c r="AB30" i="1"/>
  <c r="AE136" i="5"/>
  <c r="AE231" i="5"/>
  <c r="AF231" i="5" s="1"/>
  <c r="AG231" i="5"/>
  <c r="AH231" i="5" s="1"/>
  <c r="Y232" i="5"/>
  <c r="AI232" i="5"/>
  <c r="AJ232" i="5" s="1"/>
  <c r="Y61" i="5"/>
  <c r="AI61" i="5"/>
  <c r="AJ61" i="5" s="1"/>
  <c r="AA29" i="1"/>
  <c r="Y378" i="5"/>
  <c r="AI378" i="5"/>
  <c r="AJ378" i="5" s="1"/>
  <c r="AA97" i="1"/>
  <c r="AG110" i="5"/>
  <c r="AH110" i="5" s="1"/>
  <c r="AE127" i="5"/>
  <c r="AF127" i="5" s="1"/>
  <c r="AE142" i="5"/>
  <c r="AE467" i="5"/>
  <c r="AF467" i="5" s="1"/>
  <c r="AE37" i="5"/>
  <c r="AE137" i="5"/>
  <c r="AF47" i="5"/>
  <c r="AE30" i="5"/>
  <c r="AE64" i="5"/>
  <c r="AE159" i="5"/>
  <c r="AF159" i="5" s="1"/>
  <c r="AG180" i="5"/>
  <c r="AH180" i="5" s="1"/>
  <c r="AE56" i="5"/>
  <c r="AF56" i="5" s="1"/>
  <c r="AG242" i="5"/>
  <c r="AH242" i="5" s="1"/>
  <c r="AG251" i="5"/>
  <c r="AH251" i="5" s="1"/>
  <c r="AE200" i="5"/>
  <c r="AI257" i="5"/>
  <c r="AJ257" i="5" s="1"/>
  <c r="AG395" i="5"/>
  <c r="AH395" i="5" s="1"/>
  <c r="T415" i="5"/>
  <c r="AG415" i="5" s="1"/>
  <c r="AH415" i="5" s="1"/>
  <c r="T418" i="5"/>
  <c r="AG418" i="5" s="1"/>
  <c r="AH418" i="5" s="1"/>
  <c r="AE427" i="5"/>
  <c r="AF427" i="5" s="1"/>
  <c r="AG458" i="5"/>
  <c r="AH458" i="5" s="1"/>
  <c r="AI467" i="5"/>
  <c r="AJ467" i="5" s="1"/>
  <c r="AE310" i="5"/>
  <c r="AF310" i="5" s="1"/>
  <c r="AG318" i="5"/>
  <c r="AH318" i="5" s="1"/>
  <c r="AF46" i="5"/>
  <c r="AE23" i="5"/>
  <c r="AF23" i="5" s="1"/>
  <c r="AF254" i="5"/>
  <c r="AF271" i="5"/>
  <c r="AE69" i="5"/>
  <c r="AG294" i="5"/>
  <c r="AH294" i="5" s="1"/>
  <c r="AE321" i="5"/>
  <c r="AF340" i="5"/>
  <c r="AF347" i="5"/>
  <c r="AE373" i="5"/>
  <c r="AG435" i="5"/>
  <c r="AH435" i="5" s="1"/>
  <c r="Y349" i="5"/>
  <c r="AA79" i="1"/>
  <c r="AF29" i="5"/>
  <c r="AG454" i="5"/>
  <c r="AH454" i="5" s="1"/>
  <c r="AE34" i="5"/>
  <c r="AE68" i="5"/>
  <c r="AF68" i="5" s="1"/>
  <c r="AG215" i="5"/>
  <c r="AH215" i="5" s="1"/>
  <c r="AE224" i="5"/>
  <c r="AF224" i="5" s="1"/>
  <c r="AE228" i="5"/>
  <c r="AF228" i="5" s="1"/>
  <c r="AG253" i="5"/>
  <c r="AH253" i="5" s="1"/>
  <c r="AG275" i="5"/>
  <c r="AH275" i="5" s="1"/>
  <c r="AG282" i="5"/>
  <c r="AH282" i="5" s="1"/>
  <c r="AE288" i="5"/>
  <c r="AF288" i="5" s="1"/>
  <c r="AF287" i="5"/>
  <c r="AE319" i="5"/>
  <c r="AE330" i="5"/>
  <c r="AF330" i="5" s="1"/>
  <c r="AG339" i="5"/>
  <c r="AH339" i="5" s="1"/>
  <c r="AE198" i="5"/>
  <c r="AG361" i="5"/>
  <c r="AH361" i="5" s="1"/>
  <c r="AG358" i="5"/>
  <c r="AH358" i="5" s="1"/>
  <c r="AF307" i="5"/>
  <c r="AI208" i="5"/>
  <c r="AJ208" i="5" s="1"/>
  <c r="AE372" i="5"/>
  <c r="AA32" i="1"/>
  <c r="AD37" i="1"/>
  <c r="AG24" i="5"/>
  <c r="AH24" i="5" s="1"/>
  <c r="AG189" i="5"/>
  <c r="AH189" i="5" s="1"/>
  <c r="AG169" i="5"/>
  <c r="AH169" i="5" s="1"/>
  <c r="AF210" i="5"/>
  <c r="AG222" i="5"/>
  <c r="AH222" i="5" s="1"/>
  <c r="AG227" i="5"/>
  <c r="AH227" i="5" s="1"/>
  <c r="AG252" i="5"/>
  <c r="AH252" i="5" s="1"/>
  <c r="AG266" i="5"/>
  <c r="AH266" i="5" s="1"/>
  <c r="AG289" i="5"/>
  <c r="AH289" i="5" s="1"/>
  <c r="AG287" i="5"/>
  <c r="AH287" i="5" s="1"/>
  <c r="AE268" i="5"/>
  <c r="AE277" i="5"/>
  <c r="AG344" i="5"/>
  <c r="AH344" i="5" s="1"/>
  <c r="AG360" i="5"/>
  <c r="AH360" i="5" s="1"/>
  <c r="T420" i="5"/>
  <c r="AG420" i="5" s="1"/>
  <c r="AH420" i="5" s="1"/>
  <c r="AI426" i="5"/>
  <c r="AJ426" i="5" s="1"/>
  <c r="AG59" i="5"/>
  <c r="AH59" i="5" s="1"/>
  <c r="AF300" i="5"/>
  <c r="AG44" i="5"/>
  <c r="AH44" i="5" s="1"/>
  <c r="AG45" i="5"/>
  <c r="AH45" i="5" s="1"/>
  <c r="AF155" i="5"/>
  <c r="AG170" i="5"/>
  <c r="AH170" i="5" s="1"/>
  <c r="AG202" i="5"/>
  <c r="AH202" i="5" s="1"/>
  <c r="AG208" i="5"/>
  <c r="AH208" i="5" s="1"/>
  <c r="AG173" i="5"/>
  <c r="AH173" i="5" s="1"/>
  <c r="AG179" i="5"/>
  <c r="AH179" i="5" s="1"/>
  <c r="AE150" i="5"/>
  <c r="AF150" i="5" s="1"/>
  <c r="AF16" i="5"/>
  <c r="AG83" i="5"/>
  <c r="AH83" i="5" s="1"/>
  <c r="AF408" i="5"/>
  <c r="AG42" i="5"/>
  <c r="AH42" i="5" s="1"/>
  <c r="AG82" i="5"/>
  <c r="AH82" i="5" s="1"/>
  <c r="AG25" i="5"/>
  <c r="AH25" i="5" s="1"/>
  <c r="AG172" i="5"/>
  <c r="AH172" i="5" s="1"/>
  <c r="AG305" i="5"/>
  <c r="AH305" i="5" s="1"/>
  <c r="AG348" i="5"/>
  <c r="AH348" i="5" s="1"/>
  <c r="AF303" i="5"/>
  <c r="AG99" i="5"/>
  <c r="AH99" i="5" s="1"/>
  <c r="AG387" i="5"/>
  <c r="AH387" i="5" s="1"/>
  <c r="AG89" i="5"/>
  <c r="AH89" i="5" s="1"/>
  <c r="AF391" i="5"/>
  <c r="AG426" i="5"/>
  <c r="AH426" i="5" s="1"/>
  <c r="AF40" i="5"/>
  <c r="AG334" i="5"/>
  <c r="AH334" i="5" s="1"/>
  <c r="AG347" i="5"/>
  <c r="AH347" i="5" s="1"/>
  <c r="AG22" i="5"/>
  <c r="AH22" i="5" s="1"/>
  <c r="AG38" i="5"/>
  <c r="AH38" i="5" s="1"/>
  <c r="AF176" i="5"/>
  <c r="AG230" i="5"/>
  <c r="AH230" i="5" s="1"/>
  <c r="AG250" i="5"/>
  <c r="AH250" i="5" s="1"/>
  <c r="AF255" i="5"/>
  <c r="AF286" i="5"/>
  <c r="AG298" i="5"/>
  <c r="AH298" i="5" s="1"/>
  <c r="AG326" i="5"/>
  <c r="AH326" i="5" s="1"/>
  <c r="AG335" i="5"/>
  <c r="AH335" i="5" s="1"/>
  <c r="AF296" i="5"/>
  <c r="AF339" i="5"/>
  <c r="AG28" i="5"/>
  <c r="AH28" i="5" s="1"/>
  <c r="AG40" i="5"/>
  <c r="AH40" i="5" s="1"/>
  <c r="AE252" i="5"/>
  <c r="AF252" i="5" s="1"/>
  <c r="AF360" i="5"/>
  <c r="AG81" i="5"/>
  <c r="AH81" i="5" s="1"/>
  <c r="AG47" i="5"/>
  <c r="AH47" i="5" s="1"/>
  <c r="AG68" i="5"/>
  <c r="AH68" i="5" s="1"/>
  <c r="AG58" i="5"/>
  <c r="AH58" i="5" s="1"/>
  <c r="AG53" i="5"/>
  <c r="AH53" i="5" s="1"/>
  <c r="AG126" i="5"/>
  <c r="AH126" i="5" s="1"/>
  <c r="AF194" i="5"/>
  <c r="AG224" i="5"/>
  <c r="AH224" i="5" s="1"/>
  <c r="AF256" i="5"/>
  <c r="AG263" i="5"/>
  <c r="AH263" i="5" s="1"/>
  <c r="AF280" i="5"/>
  <c r="AG285" i="5"/>
  <c r="AH285" i="5" s="1"/>
  <c r="AG295" i="5"/>
  <c r="AH295" i="5" s="1"/>
  <c r="AF338" i="5"/>
  <c r="AF369" i="5"/>
  <c r="AG100" i="5"/>
  <c r="AH100" i="5" s="1"/>
  <c r="AG223" i="5"/>
  <c r="AH223" i="5" s="1"/>
  <c r="AF392" i="5"/>
  <c r="AG349" i="5"/>
  <c r="AH349" i="5" s="1"/>
  <c r="AE430" i="5"/>
  <c r="AF430" i="5" s="1"/>
  <c r="AG447" i="5"/>
  <c r="AH447" i="5" s="1"/>
  <c r="AF368" i="5"/>
  <c r="AG286" i="5"/>
  <c r="AH286" i="5" s="1"/>
  <c r="AG228" i="5"/>
  <c r="AH228" i="5" s="1"/>
  <c r="AG98" i="5"/>
  <c r="AH98" i="5" s="1"/>
  <c r="AF305" i="5"/>
  <c r="AG217" i="5"/>
  <c r="AH217" i="5" s="1"/>
  <c r="AE24" i="5"/>
  <c r="AF24" i="5" s="1"/>
  <c r="AG369" i="5"/>
  <c r="AH369" i="5" s="1"/>
  <c r="AG364" i="5"/>
  <c r="AH364" i="5" s="1"/>
  <c r="AF38" i="5"/>
  <c r="AG10" i="5"/>
  <c r="AH10" i="5" s="1"/>
  <c r="AG107" i="5"/>
  <c r="AH107" i="5" s="1"/>
  <c r="AG91" i="5"/>
  <c r="AH91" i="5" s="1"/>
  <c r="AG193" i="5"/>
  <c r="AH193" i="5" s="1"/>
  <c r="AG50" i="5"/>
  <c r="AH50" i="5" s="1"/>
  <c r="AG317" i="5"/>
  <c r="AH317" i="5" s="1"/>
  <c r="AG323" i="5"/>
  <c r="AH323" i="5" s="1"/>
  <c r="AG391" i="5"/>
  <c r="AH391" i="5" s="1"/>
  <c r="AG405" i="5"/>
  <c r="AH405" i="5" s="1"/>
  <c r="AF173" i="5"/>
  <c r="AE304" i="5"/>
  <c r="AF304" i="5" s="1"/>
  <c r="AG355" i="5"/>
  <c r="AH355" i="5" s="1"/>
  <c r="AE251" i="5"/>
  <c r="AF251" i="5" s="1"/>
  <c r="AG365" i="5"/>
  <c r="AH365" i="5" s="1"/>
  <c r="AG132" i="5"/>
  <c r="AH132" i="5" s="1"/>
  <c r="AE172" i="5"/>
  <c r="AF172" i="5" s="1"/>
  <c r="AG70" i="5"/>
  <c r="AH70" i="5" s="1"/>
  <c r="AF6" i="5"/>
  <c r="AG76" i="5"/>
  <c r="AH76" i="5" s="1"/>
  <c r="AG144" i="5"/>
  <c r="AH144" i="5" s="1"/>
  <c r="AG166" i="5"/>
  <c r="AH166" i="5" s="1"/>
  <c r="AF294" i="5"/>
  <c r="AG308" i="5"/>
  <c r="AH308" i="5" s="1"/>
  <c r="AG303" i="5"/>
  <c r="AH303" i="5" s="1"/>
  <c r="AF324" i="5"/>
  <c r="AG329" i="5"/>
  <c r="AH329" i="5" s="1"/>
  <c r="AG342" i="5"/>
  <c r="AH342" i="5" s="1"/>
  <c r="AG352" i="5"/>
  <c r="AH352" i="5" s="1"/>
  <c r="AG354" i="5"/>
  <c r="AH354" i="5" s="1"/>
  <c r="AG453" i="5"/>
  <c r="AH453" i="5" s="1"/>
  <c r="AG119" i="5"/>
  <c r="AH119" i="5" s="1"/>
  <c r="AG157" i="5"/>
  <c r="AH157" i="5" s="1"/>
  <c r="AG204" i="5"/>
  <c r="AH204" i="5" s="1"/>
  <c r="AE170" i="5"/>
  <c r="AF170" i="5" s="1"/>
  <c r="AF144" i="5"/>
  <c r="AE335" i="5"/>
  <c r="AF335" i="5" s="1"/>
  <c r="AG274" i="5"/>
  <c r="AH274" i="5" s="1"/>
  <c r="AG8" i="5"/>
  <c r="AH8" i="5" s="1"/>
  <c r="AG6" i="5"/>
  <c r="AH6" i="5" s="1"/>
  <c r="AG96" i="5"/>
  <c r="AH96" i="5" s="1"/>
  <c r="AG205" i="5"/>
  <c r="AH205" i="5" s="1"/>
  <c r="AE333" i="5"/>
  <c r="AG288" i="5"/>
  <c r="AH288" i="5" s="1"/>
  <c r="AG118" i="5"/>
  <c r="AH118" i="5" s="1"/>
  <c r="AG280" i="5"/>
  <c r="AH280" i="5" s="1"/>
  <c r="AG255" i="5"/>
  <c r="AH255" i="5" s="1"/>
  <c r="AG359" i="5"/>
  <c r="AH359" i="5" s="1"/>
  <c r="AG210" i="5"/>
  <c r="AH210" i="5" s="1"/>
  <c r="AG312" i="5"/>
  <c r="AH312" i="5" s="1"/>
  <c r="AG121" i="5"/>
  <c r="AH121" i="5" s="1"/>
  <c r="AG111" i="5"/>
  <c r="AH111" i="5" s="1"/>
  <c r="AG72" i="5"/>
  <c r="AH72" i="5" s="1"/>
  <c r="AG147" i="5"/>
  <c r="AH147" i="5" s="1"/>
  <c r="AG254" i="5"/>
  <c r="AH254" i="5" s="1"/>
  <c r="AG362" i="5"/>
  <c r="AH362" i="5" s="1"/>
  <c r="AG57" i="5"/>
  <c r="AH57" i="5" s="1"/>
  <c r="AG17" i="5"/>
  <c r="AH17" i="5" s="1"/>
  <c r="AF8" i="5"/>
  <c r="AF19" i="5"/>
  <c r="AG116" i="5"/>
  <c r="AH116" i="5" s="1"/>
  <c r="AG75" i="5"/>
  <c r="AH75" i="5" s="1"/>
  <c r="AF59" i="5"/>
  <c r="AG21" i="5"/>
  <c r="AH21" i="5" s="1"/>
  <c r="AG133" i="5"/>
  <c r="AH133" i="5" s="1"/>
  <c r="AG272" i="5"/>
  <c r="AH272" i="5" s="1"/>
  <c r="AG300" i="5"/>
  <c r="AH300" i="5" s="1"/>
  <c r="AG257" i="5"/>
  <c r="AH257" i="5" s="1"/>
  <c r="AG281" i="5"/>
  <c r="AH281" i="5" s="1"/>
  <c r="AG332" i="5"/>
  <c r="AH332" i="5" s="1"/>
  <c r="AG167" i="5"/>
  <c r="AH167" i="5" s="1"/>
  <c r="AF191" i="5"/>
  <c r="AG183" i="5"/>
  <c r="AH183" i="5" s="1"/>
  <c r="AF217" i="5"/>
  <c r="AG338" i="5"/>
  <c r="AH338" i="5" s="1"/>
  <c r="AF344" i="5"/>
  <c r="AF359" i="5"/>
  <c r="AG2" i="5"/>
  <c r="AH2" i="5" s="1"/>
  <c r="AF295" i="5"/>
  <c r="AE253" i="5"/>
  <c r="AF253" i="5" s="1"/>
  <c r="AE22" i="5"/>
  <c r="AF22" i="5" s="1"/>
  <c r="AG265" i="5"/>
  <c r="AH265" i="5" s="1"/>
  <c r="AG293" i="5"/>
  <c r="AH293" i="5" s="1"/>
  <c r="AG104" i="5"/>
  <c r="AH104" i="5" s="1"/>
  <c r="AG52" i="5"/>
  <c r="AH52" i="5" s="1"/>
  <c r="AG181" i="5"/>
  <c r="AH181" i="5" s="1"/>
  <c r="AF27" i="5"/>
  <c r="AF130" i="5"/>
  <c r="AG153" i="5"/>
  <c r="AH153" i="5" s="1"/>
  <c r="AG176" i="5"/>
  <c r="AH176" i="5" s="1"/>
  <c r="AG291" i="5"/>
  <c r="AH291" i="5" s="1"/>
  <c r="AE129" i="5"/>
  <c r="AF129" i="5" s="1"/>
  <c r="AG129" i="5"/>
  <c r="AH129" i="5" s="1"/>
  <c r="AG165" i="5"/>
  <c r="AH165" i="5" s="1"/>
  <c r="AE165" i="5"/>
  <c r="AF165" i="5" s="1"/>
  <c r="AE187" i="5"/>
  <c r="AF187" i="5" s="1"/>
  <c r="AG187" i="5"/>
  <c r="AH187" i="5" s="1"/>
  <c r="AE283" i="5"/>
  <c r="AF283" i="5" s="1"/>
  <c r="AG283" i="5"/>
  <c r="AH283" i="5" s="1"/>
  <c r="AG469" i="5"/>
  <c r="AH469" i="5" s="1"/>
  <c r="AE469" i="5"/>
  <c r="AF469" i="5" s="1"/>
  <c r="AE358" i="5"/>
  <c r="AF358" i="5" s="1"/>
  <c r="AG209" i="5"/>
  <c r="AH209" i="5" s="1"/>
  <c r="AF25" i="5"/>
  <c r="AG88" i="5"/>
  <c r="AH88" i="5" s="1"/>
  <c r="AG162" i="5"/>
  <c r="AH162" i="5" s="1"/>
  <c r="AG384" i="5"/>
  <c r="AH384" i="5" s="1"/>
  <c r="AG392" i="5"/>
  <c r="AH392" i="5" s="1"/>
  <c r="AE245" i="5"/>
  <c r="AF245" i="5" s="1"/>
  <c r="AG245" i="5"/>
  <c r="AH245" i="5" s="1"/>
  <c r="AE113" i="5"/>
  <c r="AF113" i="5" s="1"/>
  <c r="AG113" i="5"/>
  <c r="AH113" i="5" s="1"/>
  <c r="AG18" i="5"/>
  <c r="AH18" i="5" s="1"/>
  <c r="AE18" i="5"/>
  <c r="AF18" i="5" s="1"/>
  <c r="AG262" i="5"/>
  <c r="AH262" i="5" s="1"/>
  <c r="AE262" i="5"/>
  <c r="AF262" i="5" s="1"/>
  <c r="AG382" i="5"/>
  <c r="AH382" i="5" s="1"/>
  <c r="AE382" i="5"/>
  <c r="AF382" i="5" s="1"/>
  <c r="AE21" i="5"/>
  <c r="AF21" i="5" s="1"/>
  <c r="AE193" i="5"/>
  <c r="AF193" i="5" s="1"/>
  <c r="AE207" i="5"/>
  <c r="AF207" i="5" s="1"/>
  <c r="AG207" i="5"/>
  <c r="AH207" i="5" s="1"/>
  <c r="AG243" i="5"/>
  <c r="AH243" i="5" s="1"/>
  <c r="AE243" i="5"/>
  <c r="AF243" i="5" s="1"/>
  <c r="AF346" i="5"/>
  <c r="AG346" i="5"/>
  <c r="AH346" i="5" s="1"/>
  <c r="AE343" i="5"/>
  <c r="AF343" i="5" s="1"/>
  <c r="AG343" i="5"/>
  <c r="AH343" i="5" s="1"/>
  <c r="AE367" i="5"/>
  <c r="AF367" i="5" s="1"/>
  <c r="AG367" i="5"/>
  <c r="AH367" i="5" s="1"/>
  <c r="AE366" i="5"/>
  <c r="AF366" i="5" s="1"/>
  <c r="AG366" i="5"/>
  <c r="AH366" i="5" s="1"/>
  <c r="AE395" i="5"/>
  <c r="AF395" i="5" s="1"/>
  <c r="AE363" i="5"/>
  <c r="AF363" i="5" s="1"/>
  <c r="AG363" i="5"/>
  <c r="AH363" i="5" s="1"/>
  <c r="AE86" i="5"/>
  <c r="AF86" i="5" s="1"/>
  <c r="AG86" i="5"/>
  <c r="AH86" i="5" s="1"/>
  <c r="AF26" i="5"/>
  <c r="AF192" i="5"/>
  <c r="AE178" i="5"/>
  <c r="AF178" i="5" s="1"/>
  <c r="AG178" i="5"/>
  <c r="AH178" i="5" s="1"/>
  <c r="AE449" i="5"/>
  <c r="AF449" i="5" s="1"/>
  <c r="AG449" i="5"/>
  <c r="AH449" i="5" s="1"/>
  <c r="AF285" i="5"/>
  <c r="AG19" i="5"/>
  <c r="AH19" i="5" s="1"/>
  <c r="AF166" i="5"/>
  <c r="AG221" i="5"/>
  <c r="AH221" i="5" s="1"/>
  <c r="AE94" i="5"/>
  <c r="AF94" i="5" s="1"/>
  <c r="AG94" i="5"/>
  <c r="AH94" i="5" s="1"/>
  <c r="AG87" i="5"/>
  <c r="AH87" i="5" s="1"/>
  <c r="AE148" i="5"/>
  <c r="AG148" i="5"/>
  <c r="AH148" i="5" s="1"/>
  <c r="AE306" i="5"/>
  <c r="AF306" i="5" s="1"/>
  <c r="AG306" i="5"/>
  <c r="AH306" i="5" s="1"/>
  <c r="AF336" i="5"/>
  <c r="AG336" i="5"/>
  <c r="AH336" i="5" s="1"/>
  <c r="AG351" i="5"/>
  <c r="AH351" i="5" s="1"/>
  <c r="AF153" i="5"/>
  <c r="AE71" i="5"/>
  <c r="AF71" i="5" s="1"/>
  <c r="AG71" i="5"/>
  <c r="AH71" i="5" s="1"/>
  <c r="AE131" i="5"/>
  <c r="AF131" i="5" s="1"/>
  <c r="AG131" i="5"/>
  <c r="AH131" i="5" s="1"/>
  <c r="AE160" i="5"/>
  <c r="AF160" i="5" s="1"/>
  <c r="AG160" i="5"/>
  <c r="AH160" i="5" s="1"/>
  <c r="AE261" i="5"/>
  <c r="AF261" i="5" s="1"/>
  <c r="AG261" i="5"/>
  <c r="AH261" i="5" s="1"/>
  <c r="AF297" i="5"/>
  <c r="AG256" i="5"/>
  <c r="AH256" i="5" s="1"/>
  <c r="AF133" i="5"/>
  <c r="AE223" i="5"/>
  <c r="AF223" i="5" s="1"/>
  <c r="AG220" i="5"/>
  <c r="AH220" i="5" s="1"/>
  <c r="AF132" i="5"/>
  <c r="AF265" i="5"/>
  <c r="AG259" i="5"/>
  <c r="AH259" i="5" s="1"/>
  <c r="AF345" i="5"/>
  <c r="AG192" i="5"/>
  <c r="AH192" i="5" s="1"/>
  <c r="AG350" i="5"/>
  <c r="AH350" i="5" s="1"/>
  <c r="AG219" i="5"/>
  <c r="AH219" i="5" s="1"/>
  <c r="AG163" i="5"/>
  <c r="AH163" i="5" s="1"/>
  <c r="AG115" i="5"/>
  <c r="AH115" i="5" s="1"/>
  <c r="AF146" i="5"/>
  <c r="AE93" i="5"/>
  <c r="AF93" i="5" s="1"/>
  <c r="AG93" i="5"/>
  <c r="AH93" i="5" s="1"/>
  <c r="AF184" i="5"/>
  <c r="AF213" i="5"/>
  <c r="AE284" i="5"/>
  <c r="AF284" i="5" s="1"/>
  <c r="AG284" i="5"/>
  <c r="AH284" i="5" s="1"/>
  <c r="AE302" i="5"/>
  <c r="AF302" i="5" s="1"/>
  <c r="AG302" i="5"/>
  <c r="AH302" i="5" s="1"/>
  <c r="AF308" i="5"/>
  <c r="AF318" i="5"/>
  <c r="AE406" i="5"/>
  <c r="AF406" i="5" s="1"/>
  <c r="AG406" i="5"/>
  <c r="AH406" i="5" s="1"/>
  <c r="AG73" i="5"/>
  <c r="AH73" i="5" s="1"/>
  <c r="AF325" i="5"/>
  <c r="AF361" i="5"/>
  <c r="AG92" i="5"/>
  <c r="AH92" i="5" s="1"/>
  <c r="AG195" i="5"/>
  <c r="AH195" i="5" s="1"/>
  <c r="AG23" i="5"/>
  <c r="AH23" i="5" s="1"/>
  <c r="AF202" i="5"/>
  <c r="AG309" i="5"/>
  <c r="AH309" i="5" s="1"/>
  <c r="AG400" i="5"/>
  <c r="AH400" i="5" s="1"/>
  <c r="AG370" i="5"/>
  <c r="AH370" i="5" s="1"/>
  <c r="AE416" i="5"/>
  <c r="AF263" i="5"/>
  <c r="AG155" i="5"/>
  <c r="AH155" i="5" s="1"/>
  <c r="AG194" i="5"/>
  <c r="AH194" i="5" s="1"/>
  <c r="AF10" i="5"/>
  <c r="AG216" i="5"/>
  <c r="AH216" i="5" s="1"/>
  <c r="AF293" i="5"/>
  <c r="AG411" i="5"/>
  <c r="AH411" i="5" s="1"/>
  <c r="AG452" i="5"/>
  <c r="AH452" i="5" s="1"/>
  <c r="AF438" i="5"/>
  <c r="AF179" i="5"/>
  <c r="AG292" i="5"/>
  <c r="AH292" i="5" s="1"/>
  <c r="AG446" i="5"/>
  <c r="AH446" i="5" s="1"/>
  <c r="AF235" i="5"/>
  <c r="AG103" i="5"/>
  <c r="AH103" i="5" s="1"/>
  <c r="AF175" i="5"/>
  <c r="AG232" i="5"/>
  <c r="AH232" i="5" s="1"/>
  <c r="AG234" i="5"/>
  <c r="AH234" i="5" s="1"/>
  <c r="AG273" i="5"/>
  <c r="AH273" i="5" s="1"/>
  <c r="AG357" i="5"/>
  <c r="AH357" i="5" s="1"/>
  <c r="AG389" i="5"/>
  <c r="AH389" i="5" s="1"/>
  <c r="AB70" i="1"/>
  <c r="AC70" i="1" s="1"/>
  <c r="AA35" i="1"/>
  <c r="AA18" i="1"/>
  <c r="AA84" i="1"/>
  <c r="AB22" i="1"/>
  <c r="AA49" i="1"/>
  <c r="AD31" i="1"/>
  <c r="AA100" i="1"/>
  <c r="AB13" i="1"/>
  <c r="U13" i="1"/>
  <c r="AA13" i="1" s="1"/>
  <c r="U15" i="1"/>
  <c r="AC29" i="1"/>
  <c r="AB15" i="1"/>
  <c r="AB8" i="1"/>
  <c r="AE7" i="1"/>
  <c r="AB25" i="1"/>
  <c r="AA78" i="1"/>
  <c r="AB96" i="1"/>
  <c r="AC96" i="1" s="1"/>
  <c r="AA96" i="1"/>
  <c r="AD22" i="1"/>
  <c r="AB14" i="1"/>
  <c r="AE17" i="5"/>
  <c r="AF17" i="5" s="1"/>
  <c r="AA82" i="1"/>
  <c r="AB34" i="1"/>
  <c r="AB38" i="1"/>
  <c r="AA22" i="1"/>
  <c r="AG455" i="5"/>
  <c r="AH455" i="5" s="1"/>
  <c r="AD34" i="1"/>
  <c r="AF163" i="5"/>
  <c r="AF398" i="5"/>
  <c r="BH65" i="7"/>
  <c r="BI65" i="7" s="1"/>
  <c r="BG65" i="7"/>
  <c r="AG441" i="5"/>
  <c r="AH441" i="5" s="1"/>
  <c r="AE441" i="5"/>
  <c r="AF441" i="5" s="1"/>
  <c r="AG46" i="5"/>
  <c r="AH46" i="5" s="1"/>
  <c r="AG27" i="5"/>
  <c r="AH27" i="5" s="1"/>
  <c r="AG114" i="5"/>
  <c r="AH114" i="5" s="1"/>
  <c r="AG39" i="5"/>
  <c r="AH39" i="5" s="1"/>
  <c r="AF128" i="5"/>
  <c r="AG84" i="5"/>
  <c r="AH84" i="5" s="1"/>
  <c r="AG105" i="5"/>
  <c r="AH105" i="5" s="1"/>
  <c r="AF205" i="5"/>
  <c r="AE51" i="5"/>
  <c r="AF51" i="5" s="1"/>
  <c r="AF323" i="5"/>
  <c r="AG341" i="5"/>
  <c r="AH341" i="5" s="1"/>
  <c r="Y411" i="5"/>
  <c r="AF411" i="5" s="1"/>
  <c r="AI411" i="5"/>
  <c r="AJ411" i="5" s="1"/>
  <c r="AI419" i="5"/>
  <c r="AJ419" i="5" s="1"/>
  <c r="AF52" i="5"/>
  <c r="AG123" i="5"/>
  <c r="AH123" i="5" s="1"/>
  <c r="AG3" i="5"/>
  <c r="AH3" i="5" s="1"/>
  <c r="AG80" i="5"/>
  <c r="AH80" i="5" s="1"/>
  <c r="AG54" i="5"/>
  <c r="AH54" i="5" s="1"/>
  <c r="AF134" i="5"/>
  <c r="AF154" i="5"/>
  <c r="AG159" i="5"/>
  <c r="AH159" i="5" s="1"/>
  <c r="AF204" i="5"/>
  <c r="AF203" i="5"/>
  <c r="AG246" i="5"/>
  <c r="AH246" i="5" s="1"/>
  <c r="AF264" i="5"/>
  <c r="AI249" i="5"/>
  <c r="AJ249" i="5" s="1"/>
  <c r="Y414" i="5"/>
  <c r="AF414" i="5" s="1"/>
  <c r="AI414" i="5"/>
  <c r="AJ414" i="5" s="1"/>
  <c r="AE422" i="5"/>
  <c r="AI448" i="5"/>
  <c r="AJ448" i="5" s="1"/>
  <c r="AG149" i="5"/>
  <c r="AH149" i="5" s="1"/>
  <c r="AG156" i="5"/>
  <c r="AH156" i="5" s="1"/>
  <c r="AG12" i="5"/>
  <c r="AH12" i="5" s="1"/>
  <c r="AG85" i="5"/>
  <c r="AH85" i="5" s="1"/>
  <c r="AE227" i="5"/>
  <c r="AF227" i="5" s="1"/>
  <c r="AG402" i="5"/>
  <c r="AH402" i="5" s="1"/>
  <c r="AG410" i="5"/>
  <c r="AH410" i="5" s="1"/>
  <c r="Y410" i="5"/>
  <c r="AF434" i="5"/>
  <c r="AA16" i="1"/>
  <c r="AG175" i="5"/>
  <c r="AH175" i="5" s="1"/>
  <c r="AE429" i="5"/>
  <c r="AF429" i="5" s="1"/>
  <c r="AG429" i="5"/>
  <c r="AH429" i="5" s="1"/>
  <c r="AG438" i="5"/>
  <c r="AH438" i="5" s="1"/>
  <c r="AG4" i="5"/>
  <c r="AH4" i="5" s="1"/>
  <c r="AG41" i="5"/>
  <c r="AH41" i="5" s="1"/>
  <c r="AF162" i="5"/>
  <c r="AG186" i="5"/>
  <c r="AH186" i="5" s="1"/>
  <c r="AG191" i="5"/>
  <c r="AH191" i="5" s="1"/>
  <c r="AG238" i="5"/>
  <c r="AH238" i="5" s="1"/>
  <c r="AG450" i="5"/>
  <c r="AH450" i="5" s="1"/>
  <c r="AE450" i="5"/>
  <c r="AF450" i="5" s="1"/>
  <c r="AI466" i="5"/>
  <c r="AJ466" i="5" s="1"/>
  <c r="Y466" i="5"/>
  <c r="AF466" i="5" s="1"/>
  <c r="AG460" i="5"/>
  <c r="AH460" i="5" s="1"/>
  <c r="AG184" i="5"/>
  <c r="AH184" i="5" s="1"/>
  <c r="AE376" i="5"/>
  <c r="Y399" i="5"/>
  <c r="AF399" i="5" s="1"/>
  <c r="AG409" i="5"/>
  <c r="AH409" i="5" s="1"/>
  <c r="Y412" i="5"/>
  <c r="AI416" i="5"/>
  <c r="AJ416" i="5" s="1"/>
  <c r="AF20" i="5"/>
  <c r="AG310" i="5"/>
  <c r="AH310" i="5" s="1"/>
  <c r="AF317" i="5"/>
  <c r="BG63" i="7"/>
  <c r="BH63" i="7"/>
  <c r="BI63" i="7" s="1"/>
  <c r="AI370" i="5"/>
  <c r="AJ370" i="5" s="1"/>
  <c r="Y370" i="5"/>
  <c r="T4" i="3"/>
  <c r="AA5" i="1"/>
  <c r="AG43" i="5"/>
  <c r="AH43" i="5" s="1"/>
  <c r="AG127" i="5"/>
  <c r="AH127" i="5" s="1"/>
  <c r="AG464" i="5"/>
  <c r="AH464" i="5" s="1"/>
  <c r="AE464" i="5"/>
  <c r="AF464" i="5" s="1"/>
  <c r="AF7" i="5"/>
  <c r="AF195" i="5"/>
  <c r="AG122" i="5"/>
  <c r="AH122" i="5" s="1"/>
  <c r="AE122" i="5"/>
  <c r="AF122" i="5" s="1"/>
  <c r="AE169" i="5"/>
  <c r="AF169" i="5" s="1"/>
  <c r="AG211" i="5"/>
  <c r="AH211" i="5" s="1"/>
  <c r="AE260" i="5"/>
  <c r="AF260" i="5" s="1"/>
  <c r="AF274" i="5"/>
  <c r="AF351" i="5"/>
  <c r="AE370" i="5"/>
  <c r="AG423" i="5"/>
  <c r="AH423" i="5" s="1"/>
  <c r="AG393" i="5"/>
  <c r="AH393" i="5" s="1"/>
  <c r="Y413" i="5"/>
  <c r="AE418" i="5"/>
  <c r="AG425" i="5"/>
  <c r="AH425" i="5" s="1"/>
  <c r="AG463" i="5"/>
  <c r="AH463" i="5" s="1"/>
  <c r="AG434" i="5"/>
  <c r="AH434" i="5" s="1"/>
  <c r="AG433" i="5"/>
  <c r="AH433" i="5" s="1"/>
  <c r="AG448" i="5"/>
  <c r="AH448" i="5" s="1"/>
  <c r="AF331" i="5"/>
  <c r="AE417" i="5"/>
  <c r="CJ20" i="7"/>
  <c r="AE425" i="5"/>
  <c r="AF425" i="5" s="1"/>
  <c r="AI462" i="5"/>
  <c r="AJ462" i="5" s="1"/>
  <c r="AG472" i="5"/>
  <c r="AH472" i="5" s="1"/>
  <c r="AF39" i="5"/>
  <c r="AG125" i="5"/>
  <c r="AH125" i="5" s="1"/>
  <c r="AF157" i="5"/>
  <c r="AE158" i="5"/>
  <c r="AF158" i="5" s="1"/>
  <c r="AG161" i="5"/>
  <c r="AH161" i="5" s="1"/>
  <c r="AF206" i="5"/>
  <c r="AE50" i="5"/>
  <c r="AF50" i="5" s="1"/>
  <c r="AE168" i="5"/>
  <c r="AF168" i="5" s="1"/>
  <c r="AF190" i="5"/>
  <c r="AG212" i="5"/>
  <c r="AH212" i="5" s="1"/>
  <c r="AE225" i="5"/>
  <c r="AF225" i="5" s="1"/>
  <c r="AF326" i="5"/>
  <c r="AG340" i="5"/>
  <c r="AH340" i="5" s="1"/>
  <c r="AE143" i="5"/>
  <c r="AE320" i="5"/>
  <c r="Y418" i="5"/>
  <c r="T421" i="5"/>
  <c r="AG421" i="5" s="1"/>
  <c r="AH421" i="5" s="1"/>
  <c r="CJ13" i="7"/>
  <c r="AI447" i="5"/>
  <c r="AJ447" i="5" s="1"/>
  <c r="L1" i="8"/>
  <c r="O1" i="8" s="1"/>
  <c r="AE381" i="5"/>
  <c r="AE67" i="5"/>
  <c r="AF275" i="5"/>
  <c r="AE278" i="5"/>
  <c r="AG225" i="5"/>
  <c r="AH225" i="5" s="1"/>
  <c r="AG248" i="5"/>
  <c r="AH248" i="5" s="1"/>
  <c r="AG51" i="5"/>
  <c r="AH51" i="5" s="1"/>
  <c r="AG97" i="5"/>
  <c r="AH97" i="5" s="1"/>
  <c r="AE100" i="5"/>
  <c r="AF100" i="5" s="1"/>
  <c r="AE117" i="5"/>
  <c r="AF117" i="5" s="1"/>
  <c r="AG117" i="5"/>
  <c r="AH117" i="5" s="1"/>
  <c r="AG164" i="5"/>
  <c r="AH164" i="5" s="1"/>
  <c r="AE164" i="5"/>
  <c r="AF164" i="5" s="1"/>
  <c r="AG77" i="5"/>
  <c r="AH77" i="5" s="1"/>
  <c r="AE77" i="5"/>
  <c r="AF77" i="5" s="1"/>
  <c r="AE9" i="5"/>
  <c r="AF9" i="5" s="1"/>
  <c r="AG9" i="5"/>
  <c r="AH9" i="5" s="1"/>
  <c r="AE152" i="5"/>
  <c r="AF152" i="5" s="1"/>
  <c r="AG152" i="5"/>
  <c r="AH152" i="5" s="1"/>
  <c r="AE79" i="5"/>
  <c r="AF79" i="5" s="1"/>
  <c r="AG79" i="5"/>
  <c r="AH79" i="5" s="1"/>
  <c r="AE120" i="5"/>
  <c r="AF120" i="5" s="1"/>
  <c r="AG120" i="5"/>
  <c r="AH120" i="5" s="1"/>
  <c r="AE78" i="5"/>
  <c r="AF78" i="5" s="1"/>
  <c r="AG78" i="5"/>
  <c r="AH78" i="5" s="1"/>
  <c r="AE5" i="5"/>
  <c r="AF5" i="5" s="1"/>
  <c r="AG5" i="5"/>
  <c r="AH5" i="5" s="1"/>
  <c r="AE145" i="5"/>
  <c r="AF145" i="5" s="1"/>
  <c r="AG145" i="5"/>
  <c r="AH145" i="5" s="1"/>
  <c r="AG11" i="5"/>
  <c r="AH11" i="5" s="1"/>
  <c r="AE11" i="5"/>
  <c r="AF11" i="5" s="1"/>
  <c r="AE273" i="5"/>
  <c r="AF273" i="5" s="1"/>
  <c r="AE290" i="5"/>
  <c r="AF290" i="5" s="1"/>
  <c r="AG290" i="5"/>
  <c r="AH290" i="5" s="1"/>
  <c r="AG327" i="5"/>
  <c r="AH327" i="5" s="1"/>
  <c r="AF327" i="5"/>
  <c r="AG95" i="5"/>
  <c r="AH95" i="5" s="1"/>
  <c r="AE301" i="5"/>
  <c r="AF301" i="5" s="1"/>
  <c r="AG301" i="5"/>
  <c r="AH301" i="5" s="1"/>
  <c r="AG260" i="5"/>
  <c r="AH260" i="5" s="1"/>
  <c r="AF156" i="5"/>
  <c r="AF212" i="5"/>
  <c r="AG168" i="5"/>
  <c r="AH168" i="5" s="1"/>
  <c r="AG158" i="5"/>
  <c r="AH158" i="5" s="1"/>
  <c r="AG240" i="5"/>
  <c r="AH240" i="5" s="1"/>
  <c r="AE240" i="5"/>
  <c r="AF240" i="5" s="1"/>
  <c r="AG386" i="5"/>
  <c r="AH386" i="5" s="1"/>
  <c r="AE386" i="5"/>
  <c r="AF386" i="5" s="1"/>
  <c r="AG244" i="5"/>
  <c r="AH244" i="5" s="1"/>
  <c r="AE74" i="5"/>
  <c r="AF74" i="5" s="1"/>
  <c r="AG74" i="5"/>
  <c r="AH74" i="5" s="1"/>
  <c r="AG49" i="5"/>
  <c r="AH49" i="5" s="1"/>
  <c r="AF135" i="5"/>
  <c r="AE267" i="5"/>
  <c r="AG190" i="5"/>
  <c r="AH190" i="5" s="1"/>
  <c r="AE84" i="5"/>
  <c r="AF84" i="5" s="1"/>
  <c r="AG48" i="5"/>
  <c r="AH48" i="5" s="1"/>
  <c r="AG101" i="5"/>
  <c r="AH101" i="5" s="1"/>
  <c r="AE309" i="5"/>
  <c r="AF309" i="5" s="1"/>
  <c r="AG102" i="5"/>
  <c r="AH102" i="5" s="1"/>
  <c r="AG130" i="5"/>
  <c r="AH130" i="5" s="1"/>
  <c r="AG13" i="5"/>
  <c r="AH13" i="5" s="1"/>
  <c r="AE13" i="5"/>
  <c r="AF13" i="5" s="1"/>
  <c r="AF54" i="5"/>
  <c r="AE237" i="5"/>
  <c r="AF237" i="5" s="1"/>
  <c r="AG237" i="5"/>
  <c r="AH237" i="5" s="1"/>
  <c r="AG337" i="5"/>
  <c r="AH337" i="5" s="1"/>
  <c r="AE337" i="5"/>
  <c r="AF337" i="5" s="1"/>
  <c r="AG134" i="5"/>
  <c r="AH134" i="5" s="1"/>
  <c r="AG56" i="5"/>
  <c r="AH56" i="5" s="1"/>
  <c r="AF4" i="5"/>
  <c r="AE151" i="5"/>
  <c r="AF151" i="5" s="1"/>
  <c r="AG151" i="5"/>
  <c r="AH151" i="5" s="1"/>
  <c r="AG390" i="5"/>
  <c r="AH390" i="5" s="1"/>
  <c r="AG470" i="5"/>
  <c r="AH470" i="5" s="1"/>
  <c r="AE470" i="5"/>
  <c r="AF470" i="5" s="1"/>
  <c r="AG440" i="5"/>
  <c r="AH440" i="5" s="1"/>
  <c r="AE440" i="5"/>
  <c r="AF440" i="5" s="1"/>
  <c r="AE459" i="5"/>
  <c r="AF459" i="5" s="1"/>
  <c r="AG459" i="5"/>
  <c r="AH459" i="5" s="1"/>
  <c r="AG124" i="5"/>
  <c r="AH124" i="5" s="1"/>
  <c r="AE462" i="5"/>
  <c r="AF462" i="5" s="1"/>
  <c r="AG462" i="5"/>
  <c r="AH462" i="5" s="1"/>
  <c r="AE197" i="5"/>
  <c r="AF197" i="5" s="1"/>
  <c r="AG197" i="5"/>
  <c r="AH197" i="5" s="1"/>
  <c r="AE196" i="5"/>
  <c r="AF196" i="5" s="1"/>
  <c r="AG196" i="5"/>
  <c r="AH196" i="5" s="1"/>
  <c r="AG397" i="5"/>
  <c r="AH397" i="5" s="1"/>
  <c r="AE95" i="5"/>
  <c r="AF95" i="5" s="1"/>
  <c r="AG106" i="5"/>
  <c r="AH106" i="5" s="1"/>
  <c r="AF41" i="5"/>
  <c r="AE353" i="5"/>
  <c r="AF353" i="5" s="1"/>
  <c r="AG353" i="5"/>
  <c r="AH353" i="5" s="1"/>
  <c r="AF444" i="5"/>
  <c r="AG90" i="5"/>
  <c r="AH90" i="5" s="1"/>
  <c r="AE357" i="5"/>
  <c r="AF357" i="5" s="1"/>
  <c r="AG206" i="5"/>
  <c r="AH206" i="5" s="1"/>
  <c r="AG467" i="5"/>
  <c r="AH467" i="5" s="1"/>
  <c r="AG135" i="5"/>
  <c r="AH135" i="5" s="1"/>
  <c r="AG20" i="5"/>
  <c r="AH20" i="5" s="1"/>
  <c r="AE394" i="5"/>
  <c r="AF394" i="5" s="1"/>
  <c r="AG394" i="5"/>
  <c r="AH394" i="5" s="1"/>
  <c r="AG461" i="5"/>
  <c r="AH461" i="5" s="1"/>
  <c r="AG471" i="5"/>
  <c r="AH471" i="5" s="1"/>
  <c r="AG451" i="5"/>
  <c r="AH451" i="5" s="1"/>
  <c r="AF108" i="5"/>
  <c r="AE393" i="5"/>
  <c r="AF393" i="5" s="1"/>
  <c r="AE409" i="5"/>
  <c r="AE426" i="5"/>
  <c r="AF426" i="5" s="1"/>
  <c r="AG437" i="5"/>
  <c r="AH437" i="5" s="1"/>
  <c r="AE446" i="5"/>
  <c r="AF446" i="5" s="1"/>
  <c r="AG431" i="5"/>
  <c r="AH431" i="5" s="1"/>
  <c r="AG436" i="5"/>
  <c r="AH436" i="5" s="1"/>
  <c r="AF109" i="5"/>
  <c r="AF423" i="5"/>
  <c r="AG457" i="5"/>
  <c r="AH457" i="5" s="1"/>
  <c r="AG109" i="5"/>
  <c r="AH109" i="5" s="1"/>
  <c r="AG432" i="5"/>
  <c r="AH432" i="5" s="1"/>
  <c r="AF445" i="5"/>
  <c r="AG398" i="5"/>
  <c r="AH398" i="5" s="1"/>
  <c r="AG428" i="5"/>
  <c r="AH428" i="5" s="1"/>
  <c r="AC21" i="1"/>
  <c r="AE28" i="1"/>
  <c r="AA23" i="1"/>
  <c r="AB64" i="1"/>
  <c r="AC64" i="1" s="1"/>
  <c r="AA39" i="1"/>
  <c r="AB16" i="1"/>
  <c r="AB18" i="1"/>
  <c r="AD29" i="1"/>
  <c r="AB79" i="1"/>
  <c r="AC79" i="1" s="1"/>
  <c r="AE5" i="1"/>
  <c r="AB26" i="1"/>
  <c r="AA26" i="1"/>
  <c r="AB6" i="1"/>
  <c r="AE421" i="5"/>
  <c r="AE420" i="5"/>
  <c r="AF407" i="5"/>
  <c r="AG399" i="5"/>
  <c r="AH399" i="5" s="1"/>
  <c r="AG380" i="5"/>
  <c r="AH380" i="5" s="1"/>
  <c r="AE380" i="5"/>
  <c r="AF380" i="5" s="1"/>
  <c r="AG424" i="5"/>
  <c r="AH424" i="5" s="1"/>
  <c r="AE424" i="5"/>
  <c r="AF424" i="5" s="1"/>
  <c r="AG407" i="5"/>
  <c r="AH407" i="5" s="1"/>
  <c r="AI407" i="5"/>
  <c r="AJ407" i="5" s="1"/>
  <c r="Y416" i="5"/>
  <c r="AI369" i="5"/>
  <c r="AJ369" i="5" s="1"/>
  <c r="AE419" i="5"/>
  <c r="AF433" i="5"/>
  <c r="AG442" i="5"/>
  <c r="AH442" i="5" s="1"/>
  <c r="AE442" i="5"/>
  <c r="AG443" i="5"/>
  <c r="AH443" i="5" s="1"/>
  <c r="AE443" i="5"/>
  <c r="AF443" i="5" s="1"/>
  <c r="AG427" i="5"/>
  <c r="AH427" i="5" s="1"/>
  <c r="AI425" i="5"/>
  <c r="AJ425" i="5" s="1"/>
  <c r="T422" i="5"/>
  <c r="AG422" i="5" s="1"/>
  <c r="AH422" i="5" s="1"/>
  <c r="AG444" i="5"/>
  <c r="AH444" i="5" s="1"/>
  <c r="Y415" i="5"/>
  <c r="Y402" i="5"/>
  <c r="AG439" i="5"/>
  <c r="AH439" i="5" s="1"/>
  <c r="AE439" i="5"/>
  <c r="AF439" i="5" s="1"/>
  <c r="AG396" i="5"/>
  <c r="AH396" i="5" s="1"/>
  <c r="AG413" i="5"/>
  <c r="AH413" i="5" s="1"/>
  <c r="AG412" i="5"/>
  <c r="AH412" i="5" s="1"/>
  <c r="AE448" i="5"/>
  <c r="AF448" i="5" s="1"/>
  <c r="AF453" i="5"/>
  <c r="AG403" i="5"/>
  <c r="AH403" i="5" s="1"/>
  <c r="Y431" i="5"/>
  <c r="AI433" i="5"/>
  <c r="AJ433" i="5" s="1"/>
  <c r="AE431" i="5"/>
  <c r="AG414" i="5"/>
  <c r="AH414" i="5" s="1"/>
  <c r="AG401" i="5"/>
  <c r="AH401" i="5" s="1"/>
  <c r="AE456" i="5"/>
  <c r="AF456" i="5" s="1"/>
  <c r="AG456" i="5"/>
  <c r="AH456" i="5" s="1"/>
  <c r="AE457" i="5"/>
  <c r="AG474" i="5"/>
  <c r="AH474" i="5" s="1"/>
  <c r="AE474" i="5"/>
  <c r="AF474" i="5" s="1"/>
  <c r="AG108" i="5"/>
  <c r="AH108" i="5" s="1"/>
  <c r="AG466" i="5"/>
  <c r="AH466" i="5" s="1"/>
  <c r="AE465" i="5"/>
  <c r="AF465" i="5" s="1"/>
  <c r="AG465" i="5"/>
  <c r="AH465" i="5" s="1"/>
  <c r="AE447" i="5"/>
  <c r="AF447" i="5" s="1"/>
  <c r="AG468" i="5"/>
  <c r="AH468" i="5" s="1"/>
  <c r="Y457" i="5"/>
  <c r="AI463" i="5"/>
  <c r="AJ463" i="5" s="1"/>
  <c r="AI472" i="5"/>
  <c r="AJ472" i="5" s="1"/>
  <c r="AE472" i="5"/>
  <c r="AF472" i="5" s="1"/>
  <c r="AG445" i="5"/>
  <c r="AH445" i="5" s="1"/>
  <c r="AI468" i="5"/>
  <c r="AJ468" i="5" s="1"/>
  <c r="AE468" i="5"/>
  <c r="AF468" i="5" s="1"/>
  <c r="AI471" i="5"/>
  <c r="AJ471" i="5" s="1"/>
  <c r="AE471" i="5"/>
  <c r="AF471" i="5" s="1"/>
  <c r="AG377" i="5" l="1"/>
  <c r="AH377" i="5" s="1"/>
  <c r="AF349" i="5"/>
  <c r="AF534" i="5"/>
  <c r="AF402" i="5"/>
  <c r="AF410" i="5"/>
  <c r="AF222" i="5"/>
  <c r="AF432" i="5"/>
  <c r="AF413" i="5"/>
  <c r="AF180" i="5"/>
  <c r="AF412" i="5"/>
  <c r="AF219" i="5"/>
  <c r="AF518" i="5"/>
  <c r="AF400" i="5"/>
  <c r="AF387" i="5"/>
  <c r="AC27" i="1"/>
  <c r="AC33" i="1"/>
  <c r="AF315" i="5"/>
  <c r="AF333" i="5"/>
  <c r="AF30" i="5"/>
  <c r="AF514" i="5"/>
  <c r="AG518" i="5"/>
  <c r="AH518" i="5" s="1"/>
  <c r="AI518" i="5"/>
  <c r="AJ518" i="5" s="1"/>
  <c r="AF269" i="5"/>
  <c r="AF483" i="5"/>
  <c r="AF486" i="5"/>
  <c r="AA37" i="1"/>
  <c r="AF267" i="5"/>
  <c r="AF33" i="5"/>
  <c r="AF480" i="5"/>
  <c r="AF65" i="5"/>
  <c r="AE38" i="1"/>
  <c r="AC4" i="1"/>
  <c r="AF139" i="5"/>
  <c r="AF37" i="5"/>
  <c r="AF60" i="5"/>
  <c r="AF479" i="5"/>
  <c r="AC36" i="1"/>
  <c r="AE37" i="1"/>
  <c r="AF371" i="5"/>
  <c r="AF141" i="5"/>
  <c r="AF270" i="5"/>
  <c r="AF378" i="5"/>
  <c r="AF375" i="5"/>
  <c r="AF379" i="5"/>
  <c r="AF485" i="5"/>
  <c r="AF148" i="5"/>
  <c r="AF198" i="5"/>
  <c r="AF36" i="5"/>
  <c r="AF199" i="5"/>
  <c r="AF31" i="5"/>
  <c r="AF314" i="5"/>
  <c r="AF320" i="5"/>
  <c r="AF67" i="5"/>
  <c r="AC3" i="1"/>
  <c r="AF279" i="5"/>
  <c r="AE33" i="1"/>
  <c r="AF62" i="5"/>
  <c r="AG379" i="5"/>
  <c r="AH379" i="5" s="1"/>
  <c r="AC20" i="1"/>
  <c r="AG485" i="5"/>
  <c r="AH485" i="5" s="1"/>
  <c r="AE19" i="1"/>
  <c r="AC14" i="1"/>
  <c r="AF484" i="5"/>
  <c r="AF201" i="5"/>
  <c r="AF316" i="5"/>
  <c r="AF200" i="5"/>
  <c r="AF138" i="5"/>
  <c r="AF137" i="5"/>
  <c r="AF32" i="5"/>
  <c r="AF63" i="5"/>
  <c r="AF64" i="5"/>
  <c r="AF66" i="5"/>
  <c r="AF61" i="5"/>
  <c r="AF409" i="5"/>
  <c r="AF313" i="5"/>
  <c r="AC37" i="1"/>
  <c r="AF415" i="5"/>
  <c r="AF136" i="5"/>
  <c r="AF322" i="5"/>
  <c r="AF374" i="5"/>
  <c r="AF278" i="5"/>
  <c r="AF268" i="5"/>
  <c r="AF276" i="5"/>
  <c r="AE30" i="1"/>
  <c r="AF277" i="5"/>
  <c r="AF419" i="5"/>
  <c r="AF321" i="5"/>
  <c r="AF232" i="5"/>
  <c r="AF142" i="5"/>
  <c r="AF442" i="5"/>
  <c r="AF319" i="5"/>
  <c r="AF35" i="5"/>
  <c r="AF372" i="5"/>
  <c r="AG32" i="5"/>
  <c r="AH32" i="5" s="1"/>
  <c r="AF143" i="5"/>
  <c r="AF373" i="5"/>
  <c r="AF381" i="5"/>
  <c r="AF69" i="5"/>
  <c r="AF34" i="5"/>
  <c r="AF417" i="5"/>
  <c r="AF140" i="5"/>
  <c r="AF376" i="5"/>
  <c r="AF420" i="5"/>
  <c r="AA15" i="1"/>
  <c r="AC40" i="1"/>
  <c r="AA38" i="1"/>
  <c r="AC7" i="1"/>
  <c r="AC23" i="1"/>
  <c r="AC30" i="1"/>
  <c r="AF418" i="5"/>
  <c r="AF421" i="5"/>
  <c r="AF422" i="5"/>
  <c r="AF416" i="5"/>
  <c r="AF370" i="5"/>
  <c r="AF431" i="5"/>
  <c r="AC15" i="1"/>
  <c r="AC8" i="1"/>
  <c r="AE34" i="1"/>
  <c r="AC38" i="1"/>
  <c r="AC34" i="1"/>
  <c r="AC25" i="1"/>
  <c r="AE22" i="1"/>
  <c r="AE31" i="1"/>
  <c r="AC13" i="1"/>
  <c r="AC22" i="1"/>
  <c r="AF457" i="5"/>
  <c r="AE29" i="1"/>
  <c r="AC16" i="1"/>
  <c r="AC26" i="1"/>
  <c r="AC18" i="1"/>
  <c r="AC6" i="1"/>
  <c r="C39" i="19"/>
  <c r="C47" i="19" s="1"/>
  <c r="C41" i="19"/>
  <c r="C48" i="19" s="1"/>
  <c r="D39" i="19"/>
  <c r="D47" i="19" s="1"/>
  <c r="D41" i="19"/>
  <c r="D48" i="19" s="1"/>
  <c r="E39" i="19"/>
  <c r="E47" i="19" s="1"/>
  <c r="E41" i="19"/>
  <c r="E48" i="19" s="1"/>
  <c r="F39" i="19"/>
  <c r="F47" i="19" s="1"/>
  <c r="F41" i="19"/>
  <c r="F48" i="19" s="1"/>
  <c r="G39" i="19"/>
  <c r="G47" i="19" s="1"/>
  <c r="G41" i="19"/>
  <c r="G48" i="19" s="1"/>
  <c r="H39" i="19"/>
  <c r="H47" i="19" s="1"/>
  <c r="H41" i="19"/>
  <c r="H48" i="19" s="1"/>
  <c r="I39" i="19"/>
  <c r="I47" i="19" s="1"/>
  <c r="I41" i="19"/>
  <c r="I48" i="19" s="1"/>
  <c r="N39" i="19"/>
  <c r="N47" i="19" s="1"/>
  <c r="N41" i="19"/>
  <c r="N48" i="19" s="1"/>
  <c r="M39" i="19"/>
  <c r="M47" i="19" s="1"/>
  <c r="M41" i="19"/>
  <c r="M48" i="19" s="1"/>
  <c r="L39" i="19"/>
  <c r="L47" i="19" s="1"/>
  <c r="L41" i="19"/>
  <c r="L48" i="19" s="1"/>
  <c r="K39" i="19"/>
  <c r="K47" i="19" s="1"/>
  <c r="K41" i="19"/>
  <c r="K48" i="19" s="1"/>
  <c r="J39" i="19"/>
  <c r="J47" i="19" s="1"/>
  <c r="J41" i="19"/>
  <c r="J4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tc={74169752-6C1F-44A4-8D45-48602A08AA40}</author>
    <author>tc={A8D0E46A-6596-7843-BF98-7F1F730EBCF2}</author>
    <author>tc={D436788A-7E4C-D646-AE7C-49E8A73E1A9F}</author>
    <author>tc={3DB8FD6D-7B67-4B3D-A3B8-592A87C536CE}</author>
    <author>tc={1E9E921C-6EBF-104B-9351-FA03C92B0316}</author>
  </authors>
  <commentList>
    <comment ref="AI5" authorId="0" shapeId="0" xr:uid="{74169752-6C1F-44A4-8D45-48602A08AA40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  <comment ref="DY5" authorId="1" shapeId="0" xr:uid="{A8D0E46A-6596-7843-BF98-7F1F730E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  <comment ref="EQ5" authorId="2" shapeId="0" xr:uid="{D436788A-7E4C-D646-AE7C-49E8A73E1A9F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  <comment ref="FK5" authorId="3" shapeId="0" xr:uid="{3DB8FD6D-7B67-4B3D-A3B8-592A87C536CE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  <comment ref="GT6" authorId="4" shapeId="0" xr:uid="{1E9E921C-6EBF-104B-9351-FA03C92B031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tc={BD026D1A-9C79-0941-90E3-BE902BAFEB9A}</author>
  </authors>
  <commentList>
    <comment ref="P5" authorId="0" shapeId="0" xr:uid="{BD026D1A-9C79-0941-90E3-BE902BAFEB9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actual figure takes the number of drivers for all Mobile sellers during the last week of the month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Lusi Rosalia</author>
  </authors>
  <commentList>
    <comment ref="W319" authorId="0" shapeId="0" xr:uid="{90DDD886-58BA-4A30-A635-802DE7094B7A}">
      <text>
        <r>
          <rPr>
            <sz val="11"/>
            <color theme="1"/>
            <rFont val="Aptos Narrow"/>
            <family val="2"/>
            <scheme val="minor"/>
          </rPr>
          <t>Lusi Rosalia:
Banner</t>
        </r>
      </text>
    </comment>
    <comment ref="W359" authorId="0" shapeId="0" xr:uid="{6B49A6E0-B416-4B81-850D-51FC8190A652}">
      <text>
        <r>
          <rPr>
            <sz val="11"/>
            <color theme="1"/>
            <rFont val="Aptos Narrow"/>
            <family val="2"/>
            <scheme val="minor"/>
          </rPr>
          <t>Lusi Rosalia:
Client Visit</t>
        </r>
      </text>
    </comment>
    <comment ref="W451" authorId="0" shapeId="0" xr:uid="{09556F70-83C4-453B-89B9-AC29D6F2D34E}">
      <text>
        <r>
          <rPr>
            <sz val="11"/>
            <color theme="1"/>
            <rFont val="Aptos Narrow"/>
            <family val="2"/>
            <scheme val="minor"/>
          </rPr>
          <t>Lusi Rosalia:
pembuatan flyer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Wevi Yolasari Sitanggang</author>
    <author>tc={E2C8DA90-D470-4C60-81AD-0A98B9D69CFB}</author>
    <author>tc={167C23C6-94EE-2B40-AE15-6934A57B71CE}</author>
    <author>tc={ECB6452A-497D-5643-AF8B-BA0B8C05836C}</author>
    <author>tc={7B01D306-FA14-3D43-A473-CD129DAF46F2}</author>
  </authors>
  <commentList>
    <comment ref="L13" authorId="0" shapeId="0" xr:uid="{8A8D2DA6-326C-4B46-B995-B1576C24EF49}">
      <text>
        <r>
          <rPr>
            <sz val="11"/>
            <color rgb="FF000000"/>
            <rFont val="Aptos Narrow"/>
            <family val="2"/>
          </rPr>
          <t xml:space="preserve">Wevi Yolasari Sitanggang:
</t>
        </r>
        <r>
          <rPr>
            <sz val="11"/>
            <color rgb="FF000000"/>
            <rFont val="Aptos Narrow"/>
            <family val="2"/>
          </rPr>
          <t xml:space="preserve">Active riders: 5
</t>
        </r>
        <r>
          <rPr>
            <sz val="11"/>
            <color rgb="FF000000"/>
            <rFont val="Aptos Narrow"/>
            <family val="2"/>
          </rPr>
          <t xml:space="preserve">Resigned: 2
</t>
        </r>
      </text>
    </comment>
    <comment ref="W26" authorId="1" shapeId="0" xr:uid="{E2C8DA90-D470-4C60-81AD-0A98B9D69C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Masih perlu konfirmasi dengan team lapangan (Anwar)
</t>
      </text>
    </comment>
    <comment ref="W27" authorId="2" shapeId="0" xr:uid="{167C23C6-94EE-2B40-AE15-6934A57B71C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@Wevi Yolasari Sitanggang untuk Kopi pas Kantong, 23% juga ya profit sharing nya? 
cc @Charles @Theo Pattipeiluhu
Reply:
    @Wevi Yolasari Sitanggang KPK bukannya harusnya 25% ya?</t>
      </text>
    </comment>
    <comment ref="W32" authorId="3" shapeId="0" xr:uid="{ECB6452A-497D-5643-AF8B-BA0B8C05836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juga ya? just checking rumus nya @Wevi Yolasari Sitanggang</t>
      </text>
    </comment>
    <comment ref="W85" authorId="4" shapeId="0" xr:uid="{7B01D306-FA14-3D43-A473-CD129DAF46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Masih perlu konfirmasi dengan team lapangan (Anwar)
</t>
      </text>
    </comment>
    <comment ref="M87" authorId="0" shapeId="0" xr:uid="{4FE09ADE-745C-4816-BB06-F191D46EB020}">
      <text>
        <r>
          <rPr>
            <sz val="11"/>
            <color rgb="FF000000"/>
            <rFont val="Aptos Narrow"/>
            <family val="2"/>
          </rPr>
          <t xml:space="preserve">Wevi Yolasari Sitanggang:
</t>
        </r>
        <r>
          <rPr>
            <sz val="11"/>
            <color rgb="FF000000"/>
            <rFont val="Aptos Narrow"/>
            <family val="2"/>
          </rPr>
          <t>Data masih 3 rider segera di lengkapi</t>
        </r>
      </text>
    </comment>
    <comment ref="N87" authorId="0" shapeId="0" xr:uid="{67F92AD7-FCCE-4582-83FD-87DF2A3E276F}">
      <text>
        <r>
          <rPr>
            <sz val="11"/>
            <color rgb="FF000000"/>
            <rFont val="Aptos Narrow"/>
            <family val="2"/>
          </rPr>
          <t xml:space="preserve">Wevi Yolasari Sitanggang:
</t>
        </r>
        <r>
          <rPr>
            <sz val="11"/>
            <color rgb="FF000000"/>
            <rFont val="Aptos Narrow"/>
            <family val="2"/>
          </rPr>
          <t>Data masih 3 rider segera di lengkapi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<sst xmlns="http://schemas.openxmlformats.org/spreadsheetml/2006/main" count="9923" uniqueCount="430">
  <si>
    <t>Month</t>
  </si>
  <si>
    <t>Week</t>
  </si>
  <si>
    <t>Date Specifics</t>
  </si>
  <si>
    <t>Project</t>
  </si>
  <si>
    <t>Location</t>
  </si>
  <si>
    <t>Total Active Riders</t>
  </si>
  <si>
    <t>Total Cups Sold</t>
  </si>
  <si>
    <t>Total Selling KSJ</t>
  </si>
  <si>
    <t>Total Selling Comission/Sales (Weekly)</t>
  </si>
  <si>
    <t>Total Daily Incentive (Weekly)</t>
  </si>
  <si>
    <t>Total 26 Days Attendance Bonus (Monthly)</t>
  </si>
  <si>
    <t>Total Selling 20Mio Bonus (Monthly)</t>
  </si>
  <si>
    <t>Total Cost Molis (Weekly)</t>
  </si>
  <si>
    <t>Total Income Sales (Weekly)</t>
  </si>
  <si>
    <t>Total Sharing % (Weekly)</t>
  </si>
  <si>
    <t>Rider Penalty (Denda to Riders)</t>
  </si>
  <si>
    <t xml:space="preserve">Total Potongan Moils (Weekly) </t>
  </si>
  <si>
    <t>Total Subsidi Molis KSJ (Monthly)</t>
  </si>
  <si>
    <t>Profit</t>
  </si>
  <si>
    <t>Project List</t>
  </si>
  <si>
    <t>Location List</t>
  </si>
  <si>
    <t>January</t>
  </si>
  <si>
    <t>5-11 Jan</t>
  </si>
  <si>
    <t>KSJ</t>
  </si>
  <si>
    <t>Surabaya</t>
  </si>
  <si>
    <t>Jabodetabek</t>
  </si>
  <si>
    <t>6-12 Jan</t>
  </si>
  <si>
    <t>Hanja Coffee</t>
  </si>
  <si>
    <t>Jakarta</t>
  </si>
  <si>
    <t>Kopi Pas Kantong</t>
  </si>
  <si>
    <t>-</t>
  </si>
  <si>
    <t>Bandung</t>
  </si>
  <si>
    <t>29 -4 Jan</t>
  </si>
  <si>
    <t>Hehe</t>
  </si>
  <si>
    <t>Chocoa</t>
  </si>
  <si>
    <t>13-19 Jan</t>
  </si>
  <si>
    <t>November</t>
  </si>
  <si>
    <t>Revenue Sharing 26%</t>
  </si>
  <si>
    <t>Additional Costs</t>
  </si>
  <si>
    <t>Total Riders Active</t>
  </si>
  <si>
    <t>Total Revenue Selling KSJ</t>
  </si>
  <si>
    <t>Total Income Riders</t>
  </si>
  <si>
    <t>Rental Bike with Subsidy</t>
  </si>
  <si>
    <t>Revenue Blitz</t>
  </si>
  <si>
    <t>Gross Margin</t>
  </si>
  <si>
    <t>Total Revenue</t>
  </si>
  <si>
    <t>Manpower</t>
  </si>
  <si>
    <t>EV Cost</t>
  </si>
  <si>
    <t>Storing Cost</t>
  </si>
  <si>
    <t>Total Costs</t>
  </si>
  <si>
    <t>Total Gross Margin</t>
  </si>
  <si>
    <t>%</t>
  </si>
  <si>
    <t>KSJ Cost</t>
  </si>
  <si>
    <t>Rider Income</t>
  </si>
  <si>
    <t>7% to Blitz</t>
  </si>
  <si>
    <t>Rental Bike</t>
  </si>
  <si>
    <t>KSJ's Profit</t>
  </si>
  <si>
    <t>Rental (1.2 mio) and Management Fee from Rider's income (7%)</t>
  </si>
  <si>
    <t>Rental Bike by KSJ</t>
  </si>
  <si>
    <t>Revenue Excl Rider Inc</t>
  </si>
  <si>
    <t>Rental (1.2 mio) and Management Fee from Revenue (7%)</t>
  </si>
  <si>
    <t>Rental (1 mio) and Management Fee from Revenue (10%)</t>
  </si>
  <si>
    <t>Rental (1 mio) and Management Fee from Riders Income (10%)</t>
  </si>
  <si>
    <t>Proposed Scheme: Rental (1 mio) and Management Fee from Riders Income (7%)</t>
  </si>
  <si>
    <t xml:space="preserve">* need invoice </t>
  </si>
  <si>
    <t>a</t>
  </si>
  <si>
    <t>Rider income</t>
  </si>
  <si>
    <t>b</t>
  </si>
  <si>
    <t>Management fee</t>
  </si>
  <si>
    <t>KSJ Simulation</t>
  </si>
  <si>
    <t>a + b</t>
  </si>
  <si>
    <t>Outsourcing revenue</t>
  </si>
  <si>
    <t>&lt;&lt; amount to be invoiced</t>
  </si>
  <si>
    <t>&lt;&lt; VAT</t>
  </si>
  <si>
    <t>need to confirmed with KSJ</t>
  </si>
  <si>
    <t>c</t>
  </si>
  <si>
    <t>with rental 1 mio/month, KSJ pay PPn outsourcing. or 1.2 mio/month, Blitz pay PPn</t>
  </si>
  <si>
    <t>But need invoicing for total manaagement fee+riders income --&gt; outsourcing fee</t>
  </si>
  <si>
    <t>a + b + c + d</t>
  </si>
  <si>
    <t>Total revenue</t>
  </si>
  <si>
    <t>If they make a big deal of the oursourcing revenues, either start with 1.2 mio bike rental</t>
  </si>
  <si>
    <t>Check with Effendi</t>
  </si>
  <si>
    <t>Who manages what</t>
  </si>
  <si>
    <t>Notes from discussion:</t>
  </si>
  <si>
    <t>Changing scheme to rental instead of management fee</t>
  </si>
  <si>
    <t>1) Rental of EV Bikes</t>
  </si>
  <si>
    <t>Duration ~2 years</t>
  </si>
  <si>
    <t>New or current fleet? Which brand?</t>
  </si>
  <si>
    <t>They want to RTO - will need to think about existing riders already within this scheme</t>
  </si>
  <si>
    <t>Will need to be discussed further with KSJ. Structure it as them acquiring bikes. RTO figure out along the way</t>
  </si>
  <si>
    <t>Pricing structure</t>
  </si>
  <si>
    <t>&gt;&gt; period; and price (whether incl tax or not)</t>
  </si>
  <si>
    <t xml:space="preserve">@Fado @Ricky to explore </t>
  </si>
  <si>
    <t>300 KSJ Bikes - need to find out history</t>
  </si>
  <si>
    <t>&gt;&gt; need to find out remaining value of the bike (based on how much has already been paid and for how many months)</t>
  </si>
  <si>
    <t>Cannot be more than 7%</t>
  </si>
  <si>
    <t>driver take rate</t>
  </si>
  <si>
    <t>Follow their internal scheme</t>
  </si>
  <si>
    <t>Drivers still Blitz to manage</t>
  </si>
  <si>
    <t>^^ all to Blitz Acc</t>
  </si>
  <si>
    <t>Client Location</t>
  </si>
  <si>
    <t>(All)</t>
  </si>
  <si>
    <t>Client Name</t>
  </si>
  <si>
    <t>~on average gross margin would approximately be 15% . 10% and 10% per revenue stream</t>
  </si>
  <si>
    <t>Year</t>
  </si>
  <si>
    <t>(Multiple Items)</t>
  </si>
  <si>
    <t>Blitz Team</t>
  </si>
  <si>
    <t>Non EV Related Revenue and Costs</t>
  </si>
  <si>
    <t>Incl: manpower, EV, Claim, Storing</t>
  </si>
  <si>
    <t>check this a well</t>
  </si>
  <si>
    <t>average = all weeks / 28</t>
  </si>
  <si>
    <t>EV Rental Rev</t>
  </si>
  <si>
    <t>Ev Rental Cost</t>
  </si>
  <si>
    <t>Row Labels</t>
  </si>
  <si>
    <t>Sum of Total Cups Sold</t>
  </si>
  <si>
    <t>Max of Total Active Riders</t>
  </si>
  <si>
    <t>Sum of Total Selling (Clients Revenue)</t>
  </si>
  <si>
    <t>Sum of Total Revenue Sharing % (Weekly)</t>
  </si>
  <si>
    <t>Sum of Total Subsidi Molis KSJ (Monthly)</t>
  </si>
  <si>
    <t xml:space="preserve">Sum of Total Potongan Molis (Weekly) </t>
  </si>
  <si>
    <t>Sum of Total Revenue</t>
  </si>
  <si>
    <t>Sum of Total Income Sales (Weekly)</t>
  </si>
  <si>
    <t>Sum of Total Operational Cost</t>
  </si>
  <si>
    <t>Sum of Total Cost</t>
  </si>
  <si>
    <t>Sum of Profit</t>
  </si>
  <si>
    <t>Sum of Profit %</t>
  </si>
  <si>
    <t>Sum of Avg Price per Cup</t>
  </si>
  <si>
    <t>Total Riders Actual Figure</t>
  </si>
  <si>
    <t>Total Sellings per Rider</t>
  </si>
  <si>
    <t>Cups sold per Rider</t>
  </si>
  <si>
    <t>Rider Count</t>
  </si>
  <si>
    <t>Client Revenue per Rider</t>
  </si>
  <si>
    <t>Average Riders Figure</t>
  </si>
  <si>
    <t>Sum of Total Cost Molis (Weekly)</t>
  </si>
  <si>
    <t>EV revenue</t>
  </si>
  <si>
    <t>Total EV Cost</t>
  </si>
  <si>
    <t>EV Profit</t>
  </si>
  <si>
    <t>EV Margins</t>
  </si>
  <si>
    <t>Total profit</t>
  </si>
  <si>
    <t>Total Margins</t>
  </si>
  <si>
    <t>Sum of Rider Penalty (Claim, Other Denda to Riders)</t>
  </si>
  <si>
    <t>Sum of Total Non EV Revenue</t>
  </si>
  <si>
    <t>Sum of Total Selling Comission/Sales (Weekly)</t>
  </si>
  <si>
    <t>Sum of Total Daily Incentive (Weekly)</t>
  </si>
  <si>
    <t>Sum of Total 26 Days Attendance Bonus (Monthly)</t>
  </si>
  <si>
    <t>Sum of Total Selling 20Mio Bonus (Monthly)</t>
  </si>
  <si>
    <t>Sum of Manpower (Korlap)</t>
  </si>
  <si>
    <t>Sum of Storing Cost</t>
  </si>
  <si>
    <t>Sum of Total Non EV Costs</t>
  </si>
  <si>
    <t>Sum of Delivery PV</t>
  </si>
  <si>
    <t>Sum of Non EV Related Profit %</t>
  </si>
  <si>
    <t>GTV</t>
  </si>
  <si>
    <t>Cups growth</t>
  </si>
  <si>
    <t>Revenue Cost</t>
  </si>
  <si>
    <t>Profits Growth</t>
  </si>
  <si>
    <t>Margin</t>
  </si>
  <si>
    <t>June</t>
  </si>
  <si>
    <t>Column Labels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</si>
  <si>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</si>
  <si>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</si>
  <si>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</si>
  <si>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</si>
  <si>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</si>
  <si>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</si>
  <si>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</si>
  <si>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</si>
  <si>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December</t>
  </si>
  <si>
    <t>Grand Total</t>
  </si>
  <si>
    <t>Enterprise</t>
  </si>
  <si>
    <t>UMKM</t>
  </si>
  <si>
    <t>Go Kopi</t>
  </si>
  <si>
    <t>JoyDay</t>
  </si>
  <si>
    <t>KSJ Bandung</t>
  </si>
  <si>
    <t>KSJ Semarang</t>
  </si>
  <si>
    <t>KSJ Surabaya</t>
  </si>
  <si>
    <t>Prenjak</t>
  </si>
  <si>
    <t>Sejagad</t>
  </si>
  <si>
    <t>Zeger Coffee</t>
  </si>
  <si>
    <t>Yumisum</t>
  </si>
  <si>
    <t>EV Related Revenue and Costs</t>
  </si>
  <si>
    <t>Diff W13%</t>
  </si>
  <si>
    <t>Diff W14%</t>
  </si>
  <si>
    <t>Diff W15%</t>
  </si>
  <si>
    <t>Sum of Total EV Related Revenue</t>
  </si>
  <si>
    <t>Sum of EV Related PV</t>
  </si>
  <si>
    <t>Sum of EV Related Profit %</t>
  </si>
  <si>
    <t>notes to Bu Devi:</t>
  </si>
  <si>
    <t>. Olin (need replacement) -&gt; bu devi take over</t>
  </si>
  <si>
    <t>w13 expectation for cups sold and rev to return back to normal</t>
  </si>
  <si>
    <t>Units</t>
  </si>
  <si>
    <t xml:space="preserve">check for internal -&gt; should be a flat rate. </t>
  </si>
  <si>
    <t>Sum of Cost Claim</t>
  </si>
  <si>
    <t>1-5 Apr</t>
  </si>
  <si>
    <t>13-19 Apr</t>
  </si>
  <si>
    <t>20-26 Apr</t>
  </si>
  <si>
    <t>26-5 Apr</t>
  </si>
  <si>
    <t>Kang Eskrim</t>
  </si>
  <si>
    <t>27-30 Apr</t>
  </si>
  <si>
    <t>6-12 Apr</t>
  </si>
  <si>
    <t>Jus Dong</t>
  </si>
  <si>
    <t>Sedjawat</t>
  </si>
  <si>
    <t>Surplus</t>
  </si>
  <si>
    <t>Nemu Coffee</t>
  </si>
  <si>
    <t>Oi Shusi</t>
  </si>
  <si>
    <t>Yage</t>
  </si>
  <si>
    <t>KSJ Cart Surabaya</t>
  </si>
  <si>
    <t>Rev</t>
  </si>
  <si>
    <t>Rider C</t>
  </si>
  <si>
    <t>EV cost MS</t>
  </si>
  <si>
    <t>Ev Cost 3PL</t>
  </si>
  <si>
    <t>Adj PL Cost</t>
  </si>
  <si>
    <t>MS</t>
  </si>
  <si>
    <t>3PL</t>
  </si>
  <si>
    <t>Total 3PL</t>
  </si>
  <si>
    <t>Total MS</t>
  </si>
  <si>
    <t>2024 Total</t>
  </si>
  <si>
    <t>2025 Total</t>
  </si>
  <si>
    <t>2026 Total</t>
  </si>
  <si>
    <t>2026 Sum of Total Revenue</t>
  </si>
  <si>
    <t>2026 Sum of Total Cups Sold</t>
  </si>
  <si>
    <t>Total Sum of Total Revenue</t>
  </si>
  <si>
    <t>Total Sum of Total Cups Sold</t>
  </si>
  <si>
    <t>Total</t>
  </si>
  <si>
    <t>&lt; rev drop</t>
  </si>
  <si>
    <t>Sales Fee</t>
  </si>
  <si>
    <t>Operational Cost</t>
  </si>
  <si>
    <t>Revenue</t>
  </si>
  <si>
    <t>to switch cost and revenue (revenue left side)</t>
  </si>
  <si>
    <t>Comission Sales / Toal Selling</t>
  </si>
  <si>
    <t>Daily Incentive / Total Selling</t>
  </si>
  <si>
    <t>Daily Incentive / Rider</t>
  </si>
  <si>
    <t>Sum of Referral</t>
  </si>
  <si>
    <t>Sum of Rider Comission as a % of Total Selling (Client)</t>
  </si>
  <si>
    <t>Sum of Rider Daily Incentives as a % of Total Selling (Client)</t>
  </si>
  <si>
    <t>Actual Rider Count</t>
  </si>
  <si>
    <t>Sum of Biaya Registrasi</t>
  </si>
  <si>
    <t>Details for Sum of Total Selling 20Mio Bonus (Monthly) - Week (by Year): 152026, Project: KSJ, Client Name: KSJ, Year: 2025 (+)</t>
  </si>
  <si>
    <t>Client Level</t>
  </si>
  <si>
    <t>Week (by Year)</t>
  </si>
  <si>
    <t>Week (by Month)</t>
  </si>
  <si>
    <t>Date Range</t>
  </si>
  <si>
    <t>Total Selling (Clients Revenue)</t>
  </si>
  <si>
    <t>Referral</t>
  </si>
  <si>
    <t>Bonus+Beras</t>
  </si>
  <si>
    <t>Manpower (Korlap)</t>
  </si>
  <si>
    <t>Cost Claim</t>
  </si>
  <si>
    <t>Total Operational Cost</t>
  </si>
  <si>
    <t>Total Revenue Sharing % (Weekly)</t>
  </si>
  <si>
    <t xml:space="preserve">Total Potongan Molis (Weekly) </t>
  </si>
  <si>
    <t>Biaya Registrasi</t>
  </si>
  <si>
    <t>Rider Penalty (Claim, Other Denda to Riders)</t>
  </si>
  <si>
    <t>Delivery PV</t>
  </si>
  <si>
    <t>Delivery Only PnL</t>
  </si>
  <si>
    <t>EV Related PV</t>
  </si>
  <si>
    <t xml:space="preserve">EV Related Only PnL </t>
  </si>
  <si>
    <t>Supporting Docs</t>
  </si>
  <si>
    <t>Week 2</t>
  </si>
  <si>
    <t>15. Rekapan 06 - 12 April 2026.xlsx</t>
  </si>
  <si>
    <t>Details for Sum of Total Cups Sold - Week (by Year): 152026, Project: KSJ, Client Name: KSJ, Year: 2025 (+)</t>
  </si>
  <si>
    <t>ç</t>
  </si>
  <si>
    <t>Client (Filtered) per Location per Week</t>
  </si>
  <si>
    <t>Margin inc and decrease to align with Ricky -&gt; theo not as hands on</t>
  </si>
  <si>
    <t>Manpower JKT</t>
  </si>
  <si>
    <t>explore tiktok live - wihan</t>
  </si>
  <si>
    <t>comms and education -&lt; wawan</t>
  </si>
  <si>
    <t>Comission SBY</t>
  </si>
  <si>
    <t>Comission SMRG</t>
  </si>
  <si>
    <t>Cross Check the math in the cells</t>
  </si>
  <si>
    <t>Breakdown of Referal and bonus</t>
  </si>
  <si>
    <t>Sum of Total Active Riders</t>
  </si>
  <si>
    <t>Sum of Bonus+Beras</t>
  </si>
  <si>
    <t>Cups sold per driver</t>
  </si>
  <si>
    <t>EV w Subsidies</t>
  </si>
  <si>
    <t>Margins</t>
  </si>
  <si>
    <t>KSJ Jabodetabek</t>
  </si>
  <si>
    <t>Week 1</t>
  </si>
  <si>
    <t>Joyday Jombang</t>
  </si>
  <si>
    <t>Joyday Surabaya</t>
  </si>
  <si>
    <t>Week 3</t>
  </si>
  <si>
    <t>Week 4</t>
  </si>
  <si>
    <t>Week 5</t>
  </si>
  <si>
    <t xml:space="preserve">          </t>
  </si>
  <si>
    <t>Semarang</t>
  </si>
  <si>
    <t>Jombang</t>
  </si>
  <si>
    <t>% Commision</t>
  </si>
  <si>
    <t>% Incentive</t>
  </si>
  <si>
    <t>% Commision+Incentive</t>
  </si>
  <si>
    <t>9-15 Feb</t>
  </si>
  <si>
    <t>Rekapan 9-15 Februari 2025.xlsx</t>
  </si>
  <si>
    <t>2-8 Feb</t>
  </si>
  <si>
    <t>Rekapan 2-8 Februari 2025.xlsx</t>
  </si>
  <si>
    <t>3-8 Feb</t>
  </si>
  <si>
    <t xml:space="preserve"> </t>
  </si>
  <si>
    <t>27-2 Feb</t>
  </si>
  <si>
    <t>Incentive_Blitz_JKT_26-1_Feb_2025.xlsx</t>
  </si>
  <si>
    <t>26-31 Jan</t>
  </si>
  <si>
    <t>04) Slip KSJ 23 - 1 Mar 2025.xlsx</t>
  </si>
  <si>
    <t>20-26 Jan</t>
  </si>
  <si>
    <t>19-25 Jan</t>
  </si>
  <si>
    <t xml:space="preserve">12-18 Jan </t>
  </si>
  <si>
    <t>29-4 Jan</t>
  </si>
  <si>
    <t>29-31 Dec</t>
  </si>
  <si>
    <t>1-4 Jan</t>
  </si>
  <si>
    <t>22-28 Dec</t>
  </si>
  <si>
    <t>15-21 Dec</t>
  </si>
  <si>
    <t>8-14 Dec</t>
  </si>
  <si>
    <t>1-7 Dec</t>
  </si>
  <si>
    <t>24-30 Nov</t>
  </si>
  <si>
    <t>09) Rekap KSJ Outlet - Nov 2024.xlsx</t>
  </si>
  <si>
    <t>17-23 Nov</t>
  </si>
  <si>
    <t>10-16 Nov</t>
  </si>
  <si>
    <t>3-9 Nov</t>
  </si>
  <si>
    <t>27-2 Nov</t>
  </si>
  <si>
    <t>20-26 Oct</t>
  </si>
  <si>
    <t>20- 26 Oct</t>
  </si>
  <si>
    <t>08) Rekap KSJ Outlet - Oct 2024.xlsx</t>
  </si>
  <si>
    <t>13-19 Oct</t>
  </si>
  <si>
    <t>6-12 Oct</t>
  </si>
  <si>
    <t>6- 12 Oct</t>
  </si>
  <si>
    <t>29-5 Oct</t>
  </si>
  <si>
    <t>Joyday</t>
  </si>
  <si>
    <t>1-7 Sep</t>
  </si>
  <si>
    <t>8-14 Sep</t>
  </si>
  <si>
    <t>22-28 Sep</t>
  </si>
  <si>
    <t>22- 28 Sept</t>
  </si>
  <si>
    <t>07) Rekap KSJ Outlet - Sept 2024.xlsx</t>
  </si>
  <si>
    <t>15-21 Sep</t>
  </si>
  <si>
    <t>15-21 Sept</t>
  </si>
  <si>
    <t>8- 14 Sept</t>
  </si>
  <si>
    <t>25-31 Aug</t>
  </si>
  <si>
    <t>18-24 Aug</t>
  </si>
  <si>
    <t>25- 31 Aug</t>
  </si>
  <si>
    <t>11-17 Aug</t>
  </si>
  <si>
    <t>4-10 Aug</t>
  </si>
  <si>
    <t>16-22 Feb</t>
  </si>
  <si>
    <t>Rekapan 16-22 Februari 2025.xlsx</t>
  </si>
  <si>
    <t xml:space="preserve">26-1 Feb </t>
  </si>
  <si>
    <t>23-28 Feb</t>
  </si>
  <si>
    <t>23-1 Mar</t>
  </si>
  <si>
    <t>Rekapan KSJ 23- 1 Maret 2025.xlsx</t>
  </si>
  <si>
    <t>2-8 Mar</t>
  </si>
  <si>
    <t>Rekapan 2-8 Maret 2025.xlsx</t>
  </si>
  <si>
    <t>9-15 Mar</t>
  </si>
  <si>
    <t>Rekapan 9-15 Maret 2025.xlsx</t>
  </si>
  <si>
    <t>16-22 Mar</t>
  </si>
  <si>
    <t>Rekapan 16-22 Maret 2025.xlsx</t>
  </si>
  <si>
    <t>23-25 Mar</t>
  </si>
  <si>
    <t>Rekapan 23-25 dan Bonus 2025.xlsx</t>
  </si>
  <si>
    <t>23-29 Mar</t>
  </si>
  <si>
    <t>30-31 Mar</t>
  </si>
  <si>
    <t>26-31 Mar</t>
  </si>
  <si>
    <t>Rekapan 26 Mar-5 April 2025.xlsx</t>
  </si>
  <si>
    <t>Rekapan 6-12 April 2025.xlsx</t>
  </si>
  <si>
    <t>28 Jul-03 Aug</t>
  </si>
  <si>
    <t>21-27 Jul</t>
  </si>
  <si>
    <t>14-20 Jul</t>
  </si>
  <si>
    <t>7-13 Jul</t>
  </si>
  <si>
    <t>30 Jun-6 Jul</t>
  </si>
  <si>
    <t>23-29 Jun</t>
  </si>
  <si>
    <t>16-22 Jun</t>
  </si>
  <si>
    <t>9-15 Jun</t>
  </si>
  <si>
    <t>2-8 Jun</t>
  </si>
  <si>
    <t>26 May-01 Jun</t>
  </si>
  <si>
    <t>19-25 May</t>
  </si>
  <si>
    <t>12-18 May</t>
  </si>
  <si>
    <t>5-11 May</t>
  </si>
  <si>
    <t>26 Apr-4 May</t>
  </si>
  <si>
    <t>21-25 Apr</t>
  </si>
  <si>
    <t>14-20 Apr</t>
  </si>
  <si>
    <t>7-13 Apr</t>
  </si>
  <si>
    <t>31 Mar-6 Apr</t>
  </si>
  <si>
    <t>24-30 Mar</t>
  </si>
  <si>
    <t>17-23 Mar</t>
  </si>
  <si>
    <t>10-16 Mar</t>
  </si>
  <si>
    <t>3-9 Mar</t>
  </si>
  <si>
    <t>25 Feb-2 Mar</t>
  </si>
  <si>
    <t>18-24 Feb</t>
  </si>
  <si>
    <t>11-17 Feb</t>
  </si>
  <si>
    <t>4-10 Feb</t>
  </si>
  <si>
    <t>28 Jan-3 Feb</t>
  </si>
  <si>
    <t>21-27 Jan</t>
  </si>
  <si>
    <t>Rekapan 13-19 April 2025.xlsx</t>
  </si>
  <si>
    <t>Rekapan dan Bonus 20- 26 April.xlsx</t>
  </si>
  <si>
    <t>Rekapan 27-4 Mei.xlsx</t>
  </si>
  <si>
    <t>1-4 Mei</t>
  </si>
  <si>
    <t>26-3 Mei</t>
  </si>
  <si>
    <t>27-3 Mei</t>
  </si>
  <si>
    <t>5-11 Mei</t>
  </si>
  <si>
    <t>Rekapan JKT 5-11 Mei 2025.xlsx</t>
  </si>
  <si>
    <t>4-11 Mei</t>
  </si>
  <si>
    <t>4-10 Mei</t>
  </si>
  <si>
    <t>12-18 Mei</t>
  </si>
  <si>
    <t>Rekapan 12-18 Mei 2025.xlsx</t>
  </si>
  <si>
    <t>11-17 Mei</t>
  </si>
  <si>
    <t>19-25 Mei</t>
  </si>
  <si>
    <t>Rekapan 19-25 Mei 2025.xlsx</t>
  </si>
  <si>
    <t>18-24 Mei</t>
  </si>
  <si>
    <t>26-31 Mei</t>
  </si>
  <si>
    <t>Rekapan 26-1 Juni 2025.xlsx</t>
  </si>
  <si>
    <t>26-1 Jun</t>
  </si>
  <si>
    <t>Rekapan 9-15 Juni 2025.xlsx</t>
  </si>
  <si>
    <t>Rekapan 16-22 Juni 2025.xlsx</t>
  </si>
  <si>
    <t>23-29Jun</t>
  </si>
  <si>
    <t>1-6 Jul</t>
  </si>
  <si>
    <t>7-13Jul</t>
  </si>
  <si>
    <t>28-31 Jul</t>
  </si>
  <si>
    <t>1-3 Aug</t>
  </si>
  <si>
    <t>1- 7 Sep</t>
  </si>
  <si>
    <t>29-30 Sep</t>
  </si>
  <si>
    <t>1-5 Oct</t>
  </si>
  <si>
    <t>27-31 Oct</t>
  </si>
  <si>
    <t>1-2 Nov</t>
  </si>
  <si>
    <t>1-7 Des</t>
  </si>
  <si>
    <t>8-14 Des</t>
  </si>
  <si>
    <t>15-21 Des</t>
  </si>
  <si>
    <t>22-28 Des</t>
  </si>
  <si>
    <t>29-31 Des</t>
  </si>
  <si>
    <t>12-18 Jan</t>
  </si>
  <si>
    <t>15-22 Mar</t>
  </si>
  <si>
    <t>Total Selling</t>
  </si>
  <si>
    <t>Active Clients</t>
  </si>
  <si>
    <t>26-1 Feb</t>
  </si>
  <si>
    <t>1- 7 Sept</t>
  </si>
  <si>
    <t>Sharing Revenue</t>
  </si>
  <si>
    <t>Hanja</t>
  </si>
  <si>
    <t>KPK</t>
  </si>
  <si>
    <t>Kang Es Krim</t>
  </si>
  <si>
    <t>Prendjak</t>
  </si>
  <si>
    <t>Jus Donk</t>
  </si>
  <si>
    <t>Sejagat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</si>
</sst>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_-;\-* #,##0_-;_-* &quot;-&quot;??_-;_-@_-"/>
    <numFmt numFmtId="166" formatCode="_(* #,##0_);_(* \(#,##0\);_(* &quot;-&quot;??_);_(@_)"/>
    <numFmt numFmtId="167" formatCode="_(* #,##0.0000_);_(* \(#,##0.0000\);_(* &quot;-&quot;_);_(@_)"/>
    <numFmt numFmtId="168" formatCode="_(* #,##0.0_);_(* \(#,##0.0\);_(* &quot;-&quot;??_);_(@_)"/>
    <numFmt numFmtId="169" formatCode="0.0%"/>
  </numFmts>
  <fonts count="2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rgb="FF000000"/>
      <name val="Aptos Narrow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1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theme="9" tint="-0.249977111117893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7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7"/>
      </top>
      <bottom style="thin">
        <color theme="4" tint="0.3999755851924192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7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96">
    <xf numFmtId="0" fontId="0" fillId="0" borderId="0" xfId="0"/>
    <xf numFmtId="41" fontId="0" fillId="0" borderId="0" xfId="1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9" fontId="0" fillId="0" borderId="0" xfId="0" applyNumberFormat="1"/>
    <xf numFmtId="3" fontId="0" fillId="0" borderId="0" xfId="1" applyNumberFormat="1" applyFont="1"/>
    <xf numFmtId="3" fontId="0" fillId="0" borderId="0" xfId="0" applyNumberFormat="1" applyAlignment="1">
      <alignment horizontal="right"/>
    </xf>
    <xf numFmtId="3" fontId="0" fillId="0" borderId="0" xfId="0" applyNumberFormat="1"/>
    <xf numFmtId="165" fontId="0" fillId="0" borderId="0" xfId="0" applyNumberFormat="1"/>
    <xf numFmtId="17" fontId="0" fillId="0" borderId="0" xfId="0" applyNumberFormat="1"/>
    <xf numFmtId="0" fontId="0" fillId="4" borderId="0" xfId="0" applyFill="1"/>
    <xf numFmtId="3" fontId="0" fillId="0" borderId="3" xfId="0" applyNumberFormat="1" applyBorder="1"/>
    <xf numFmtId="3" fontId="0" fillId="0" borderId="4" xfId="0" applyNumberFormat="1" applyBorder="1"/>
    <xf numFmtId="0" fontId="0" fillId="5" borderId="0" xfId="0" applyFill="1"/>
    <xf numFmtId="0" fontId="0" fillId="0" borderId="7" xfId="0" applyBorder="1"/>
    <xf numFmtId="0" fontId="0" fillId="0" borderId="0" xfId="0" applyAlignment="1">
      <alignment wrapText="1"/>
    </xf>
    <xf numFmtId="41" fontId="0" fillId="0" borderId="0" xfId="1" applyFont="1" applyAlignment="1">
      <alignment horizontal="right"/>
    </xf>
    <xf numFmtId="0" fontId="0" fillId="0" borderId="0" xfId="0" applyAlignment="1">
      <alignment horizontal="left" indent="1"/>
    </xf>
    <xf numFmtId="9" fontId="0" fillId="0" borderId="0" xfId="2" applyFont="1"/>
    <xf numFmtId="41" fontId="0" fillId="0" borderId="0" xfId="2" applyNumberFormat="1" applyFont="1"/>
    <xf numFmtId="9" fontId="0" fillId="0" borderId="0" xfId="1" applyNumberFormat="1" applyFont="1"/>
    <xf numFmtId="0" fontId="5" fillId="0" borderId="0" xfId="0" applyFont="1"/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" fontId="0" fillId="0" borderId="0" xfId="0" applyNumberFormat="1"/>
    <xf numFmtId="164" fontId="0" fillId="0" borderId="0" xfId="0" applyNumberFormat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0" fontId="6" fillId="0" borderId="0" xfId="0" applyFont="1" applyAlignment="1">
      <alignment vertical="top" wrapText="1"/>
    </xf>
    <xf numFmtId="0" fontId="0" fillId="0" borderId="8" xfId="0" applyBorder="1"/>
    <xf numFmtId="41" fontId="0" fillId="0" borderId="0" xfId="1" applyFont="1" applyFill="1"/>
    <xf numFmtId="9" fontId="0" fillId="0" borderId="0" xfId="2" applyFont="1" applyFill="1"/>
    <xf numFmtId="41" fontId="0" fillId="0" borderId="0" xfId="2" applyNumberFormat="1" applyFont="1" applyFill="1"/>
    <xf numFmtId="41" fontId="0" fillId="0" borderId="0" xfId="1" applyFont="1" applyFill="1" applyAlignment="1">
      <alignment horizontal="right"/>
    </xf>
    <xf numFmtId="9" fontId="0" fillId="0" borderId="0" xfId="1" applyNumberFormat="1" applyFont="1" applyFill="1"/>
    <xf numFmtId="17" fontId="0" fillId="0" borderId="8" xfId="0" applyNumberFormat="1" applyBorder="1"/>
    <xf numFmtId="41" fontId="0" fillId="0" borderId="8" xfId="1" applyFont="1" applyBorder="1"/>
    <xf numFmtId="0" fontId="5" fillId="7" borderId="0" xfId="0" applyFont="1" applyFill="1"/>
    <xf numFmtId="164" fontId="0" fillId="12" borderId="0" xfId="0" applyNumberFormat="1" applyFill="1"/>
    <xf numFmtId="9" fontId="0" fillId="12" borderId="0" xfId="0" applyNumberFormat="1" applyFill="1"/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3" fontId="0" fillId="0" borderId="8" xfId="0" applyNumberFormat="1" applyBorder="1"/>
    <xf numFmtId="41" fontId="0" fillId="0" borderId="8" xfId="1" applyFont="1" applyBorder="1" applyAlignment="1"/>
    <xf numFmtId="41" fontId="0" fillId="0" borderId="8" xfId="2" applyNumberFormat="1" applyFont="1" applyBorder="1" applyAlignment="1"/>
    <xf numFmtId="41" fontId="0" fillId="0" borderId="8" xfId="0" applyNumberFormat="1" applyBorder="1"/>
    <xf numFmtId="16" fontId="0" fillId="0" borderId="8" xfId="0" applyNumberFormat="1" applyBorder="1"/>
    <xf numFmtId="9" fontId="0" fillId="0" borderId="8" xfId="0" applyNumberFormat="1" applyBorder="1"/>
    <xf numFmtId="9" fontId="0" fillId="0" borderId="8" xfId="2" applyFont="1" applyBorder="1" applyAlignment="1"/>
    <xf numFmtId="41" fontId="0" fillId="0" borderId="0" xfId="1" applyFont="1" applyBorder="1" applyAlignment="1"/>
    <xf numFmtId="41" fontId="0" fillId="0" borderId="0" xfId="2" applyNumberFormat="1" applyFont="1" applyBorder="1" applyAlignment="1"/>
    <xf numFmtId="0" fontId="0" fillId="0" borderId="10" xfId="0" applyBorder="1"/>
    <xf numFmtId="0" fontId="0" fillId="0" borderId="11" xfId="0" applyBorder="1"/>
    <xf numFmtId="0" fontId="7" fillId="13" borderId="0" xfId="0" applyFont="1" applyFill="1" applyAlignment="1">
      <alignment horizontal="center" vertical="center" wrapText="1"/>
    </xf>
    <xf numFmtId="41" fontId="7" fillId="13" borderId="0" xfId="1" applyFont="1" applyFill="1" applyBorder="1" applyAlignment="1">
      <alignment horizontal="center" vertical="center" wrapText="1"/>
    </xf>
    <xf numFmtId="41" fontId="7" fillId="5" borderId="0" xfId="1" applyFont="1" applyFill="1" applyBorder="1" applyAlignment="1">
      <alignment horizontal="center" vertical="center" wrapText="1"/>
    </xf>
    <xf numFmtId="41" fontId="7" fillId="14" borderId="0" xfId="1" applyFont="1" applyFill="1" applyBorder="1" applyAlignment="1">
      <alignment horizontal="center" vertical="center" wrapText="1"/>
    </xf>
    <xf numFmtId="41" fontId="7" fillId="4" borderId="0" xfId="1" applyFont="1" applyFill="1" applyBorder="1" applyAlignment="1">
      <alignment horizontal="center" vertical="center" wrapText="1"/>
    </xf>
    <xf numFmtId="41" fontId="7" fillId="2" borderId="0" xfId="1" applyFont="1" applyFill="1" applyBorder="1" applyAlignment="1">
      <alignment horizontal="center" vertical="center" wrapText="1"/>
    </xf>
    <xf numFmtId="41" fontId="7" fillId="3" borderId="0" xfId="1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9" fontId="7" fillId="13" borderId="0" xfId="2" applyFont="1" applyFill="1" applyBorder="1" applyAlignment="1">
      <alignment horizontal="center" vertical="center" wrapText="1"/>
    </xf>
    <xf numFmtId="17" fontId="0" fillId="0" borderId="11" xfId="0" applyNumberFormat="1" applyBorder="1"/>
    <xf numFmtId="41" fontId="0" fillId="0" borderId="0" xfId="1" applyFont="1" applyFill="1" applyBorder="1" applyAlignment="1"/>
    <xf numFmtId="41" fontId="0" fillId="0" borderId="0" xfId="1" applyFont="1" applyBorder="1"/>
    <xf numFmtId="3" fontId="0" fillId="15" borderId="0" xfId="0" applyNumberFormat="1" applyFill="1"/>
    <xf numFmtId="9" fontId="0" fillId="15" borderId="0" xfId="0" applyNumberFormat="1" applyFill="1"/>
    <xf numFmtId="3" fontId="0" fillId="16" borderId="0" xfId="0" applyNumberFormat="1" applyFill="1"/>
    <xf numFmtId="9" fontId="0" fillId="16" borderId="0" xfId="0" applyNumberFormat="1" applyFill="1"/>
    <xf numFmtId="3" fontId="0" fillId="7" borderId="0" xfId="0" applyNumberFormat="1" applyFill="1"/>
    <xf numFmtId="0" fontId="0" fillId="7" borderId="0" xfId="0" applyFill="1" applyAlignment="1">
      <alignment horizontal="left" indent="1"/>
    </xf>
    <xf numFmtId="3" fontId="0" fillId="18" borderId="0" xfId="0" applyNumberFormat="1" applyFill="1"/>
    <xf numFmtId="9" fontId="0" fillId="18" borderId="0" xfId="0" applyNumberFormat="1" applyFill="1"/>
    <xf numFmtId="9" fontId="8" fillId="0" borderId="0" xfId="0" applyNumberFormat="1" applyFont="1"/>
    <xf numFmtId="41" fontId="0" fillId="0" borderId="0" xfId="1" applyFont="1" applyAlignment="1"/>
    <xf numFmtId="0" fontId="1" fillId="0" borderId="0" xfId="0" applyFont="1" applyAlignment="1">
      <alignment horizontal="center" vertical="center" wrapText="1"/>
    </xf>
    <xf numFmtId="0" fontId="9" fillId="0" borderId="0" xfId="3"/>
    <xf numFmtId="0" fontId="0" fillId="8" borderId="0" xfId="0" applyFill="1"/>
    <xf numFmtId="0" fontId="5" fillId="8" borderId="0" xfId="0" applyFont="1" applyFill="1"/>
    <xf numFmtId="0" fontId="0" fillId="7" borderId="0" xfId="0" applyFill="1"/>
    <xf numFmtId="9" fontId="0" fillId="0" borderId="0" xfId="2" applyFont="1" applyBorder="1" applyAlignment="1"/>
    <xf numFmtId="0" fontId="0" fillId="0" borderId="12" xfId="0" applyBorder="1"/>
    <xf numFmtId="9" fontId="0" fillId="0" borderId="12" xfId="0" applyNumberFormat="1" applyBorder="1"/>
    <xf numFmtId="1" fontId="0" fillId="0" borderId="13" xfId="0" applyNumberFormat="1" applyBorder="1" applyAlignment="1">
      <alignment horizontal="center"/>
    </xf>
    <xf numFmtId="41" fontId="1" fillId="0" borderId="0" xfId="1" applyFont="1" applyAlignment="1">
      <alignment horizontal="center" vertical="center" wrapText="1"/>
    </xf>
    <xf numFmtId="41" fontId="1" fillId="5" borderId="0" xfId="1" applyFont="1" applyFill="1" applyAlignment="1">
      <alignment horizontal="center" vertical="center" wrapText="1"/>
    </xf>
    <xf numFmtId="41" fontId="1" fillId="14" borderId="0" xfId="1" applyFont="1" applyFill="1" applyAlignment="1">
      <alignment horizontal="center" vertical="center" wrapText="1"/>
    </xf>
    <xf numFmtId="41" fontId="1" fillId="4" borderId="0" xfId="1" applyFont="1" applyFill="1" applyAlignment="1">
      <alignment horizontal="center" vertical="center" wrapText="1"/>
    </xf>
    <xf numFmtId="41" fontId="1" fillId="2" borderId="0" xfId="1" applyFont="1" applyFill="1" applyAlignment="1">
      <alignment horizontal="center" vertical="center" wrapText="1"/>
    </xf>
    <xf numFmtId="41" fontId="1" fillId="3" borderId="0" xfId="1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9" fontId="1" fillId="0" borderId="0" xfId="2" applyFont="1" applyAlignment="1">
      <alignment horizontal="center" vertical="center" wrapText="1"/>
    </xf>
    <xf numFmtId="41" fontId="0" fillId="0" borderId="8" xfId="1" applyFont="1" applyFill="1" applyBorder="1" applyAlignment="1"/>
    <xf numFmtId="0" fontId="9" fillId="0" borderId="0" xfId="3" applyAlignment="1"/>
    <xf numFmtId="41" fontId="0" fillId="0" borderId="0" xfId="1" applyFont="1" applyFill="1" applyBorder="1"/>
    <xf numFmtId="0" fontId="10" fillId="0" borderId="0" xfId="0" applyFont="1"/>
    <xf numFmtId="41" fontId="10" fillId="0" borderId="0" xfId="0" applyNumberFormat="1" applyFont="1"/>
    <xf numFmtId="10" fontId="0" fillId="0" borderId="0" xfId="0" applyNumberFormat="1"/>
    <xf numFmtId="3" fontId="0" fillId="0" borderId="8" xfId="1" applyNumberFormat="1" applyFont="1" applyBorder="1" applyAlignment="1"/>
    <xf numFmtId="3" fontId="0" fillId="0" borderId="0" xfId="1" applyNumberFormat="1" applyFont="1" applyAlignment="1"/>
    <xf numFmtId="3" fontId="0" fillId="0" borderId="0" xfId="1" applyNumberFormat="1" applyFont="1" applyBorder="1" applyAlignment="1"/>
    <xf numFmtId="3" fontId="11" fillId="0" borderId="0" xfId="0" applyNumberFormat="1" applyFont="1"/>
    <xf numFmtId="0" fontId="11" fillId="0" borderId="0" xfId="0" applyFont="1"/>
    <xf numFmtId="41" fontId="0" fillId="0" borderId="14" xfId="0" applyNumberFormat="1" applyBorder="1"/>
    <xf numFmtId="41" fontId="0" fillId="0" borderId="11" xfId="0" applyNumberFormat="1" applyBorder="1"/>
    <xf numFmtId="0" fontId="0" fillId="0" borderId="14" xfId="0" applyBorder="1"/>
    <xf numFmtId="3" fontId="0" fillId="0" borderId="14" xfId="0" applyNumberFormat="1" applyBorder="1"/>
    <xf numFmtId="0" fontId="0" fillId="19" borderId="11" xfId="0" applyFill="1" applyBorder="1"/>
    <xf numFmtId="41" fontId="0" fillId="19" borderId="11" xfId="1" applyFont="1" applyFill="1" applyBorder="1"/>
    <xf numFmtId="41" fontId="0" fillId="9" borderId="0" xfId="0" applyNumberFormat="1" applyFill="1"/>
    <xf numFmtId="3" fontId="0" fillId="24" borderId="0" xfId="1" applyNumberFormat="1" applyFont="1" applyFill="1" applyBorder="1" applyAlignment="1"/>
    <xf numFmtId="166" fontId="0" fillId="0" borderId="0" xfId="0" applyNumberFormat="1"/>
    <xf numFmtId="167" fontId="0" fillId="0" borderId="0" xfId="1" applyNumberFormat="1" applyFont="1"/>
    <xf numFmtId="3" fontId="0" fillId="24" borderId="0" xfId="0" applyNumberFormat="1" applyFill="1"/>
    <xf numFmtId="3" fontId="0" fillId="8" borderId="0" xfId="0" applyNumberFormat="1" applyFill="1"/>
    <xf numFmtId="3" fontId="0" fillId="12" borderId="0" xfId="0" applyNumberFormat="1" applyFill="1"/>
    <xf numFmtId="164" fontId="0" fillId="22" borderId="0" xfId="0" applyNumberFormat="1" applyFill="1"/>
    <xf numFmtId="0" fontId="12" fillId="25" borderId="15" xfId="0" applyFont="1" applyFill="1" applyBorder="1" applyAlignment="1">
      <alignment vertical="top" wrapText="1"/>
    </xf>
    <xf numFmtId="0" fontId="0" fillId="9" borderId="0" xfId="0" applyFill="1"/>
    <xf numFmtId="2" fontId="0" fillId="0" borderId="0" xfId="0" applyNumberFormat="1"/>
    <xf numFmtId="0" fontId="0" fillId="0" borderId="16" xfId="0" applyBorder="1"/>
    <xf numFmtId="9" fontId="0" fillId="0" borderId="16" xfId="0" applyNumberFormat="1" applyBorder="1"/>
    <xf numFmtId="164" fontId="0" fillId="16" borderId="0" xfId="0" applyNumberFormat="1" applyFill="1"/>
    <xf numFmtId="164" fontId="0" fillId="24" borderId="0" xfId="0" applyNumberFormat="1" applyFill="1"/>
    <xf numFmtId="3" fontId="0" fillId="24" borderId="0" xfId="1" applyNumberFormat="1" applyFont="1" applyFill="1"/>
    <xf numFmtId="10" fontId="0" fillId="0" borderId="8" xfId="0" applyNumberFormat="1" applyBorder="1"/>
    <xf numFmtId="166" fontId="0" fillId="0" borderId="8" xfId="0" applyNumberFormat="1" applyBorder="1"/>
    <xf numFmtId="166" fontId="0" fillId="0" borderId="8" xfId="1" applyNumberFormat="1" applyFont="1" applyBorder="1" applyAlignment="1"/>
    <xf numFmtId="166" fontId="0" fillId="0" borderId="0" xfId="1" applyNumberFormat="1" applyFont="1" applyBorder="1" applyAlignment="1"/>
    <xf numFmtId="166" fontId="0" fillId="0" borderId="8" xfId="1" applyNumberFormat="1" applyFont="1" applyFill="1" applyBorder="1" applyAlignment="1"/>
    <xf numFmtId="166" fontId="0" fillId="0" borderId="0" xfId="1" applyNumberFormat="1" applyFont="1" applyFill="1" applyBorder="1" applyAlignment="1"/>
    <xf numFmtId="0" fontId="0" fillId="24" borderId="8" xfId="0" applyFill="1" applyBorder="1"/>
    <xf numFmtId="3" fontId="0" fillId="24" borderId="8" xfId="0" applyNumberFormat="1" applyFill="1" applyBorder="1"/>
    <xf numFmtId="3" fontId="8" fillId="0" borderId="0" xfId="0" applyNumberFormat="1" applyFont="1"/>
    <xf numFmtId="0" fontId="0" fillId="8" borderId="0" xfId="0" applyFill="1" applyAlignment="1">
      <alignment vertical="top"/>
    </xf>
    <xf numFmtId="41" fontId="0" fillId="0" borderId="11" xfId="1" applyFont="1" applyFill="1" applyBorder="1"/>
    <xf numFmtId="0" fontId="0" fillId="0" borderId="0" xfId="0" applyAlignment="1">
      <alignment horizontal="center" vertical="center" wrapText="1"/>
    </xf>
    <xf numFmtId="3" fontId="3" fillId="0" borderId="0" xfId="0" applyNumberFormat="1" applyFont="1"/>
    <xf numFmtId="16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18" borderId="0" xfId="0" applyFill="1"/>
    <xf numFmtId="41" fontId="0" fillId="0" borderId="11" xfId="1" applyFont="1" applyBorder="1"/>
    <xf numFmtId="0" fontId="13" fillId="20" borderId="0" xfId="0" applyFont="1" applyFill="1" applyAlignment="1">
      <alignment vertical="top" wrapText="1"/>
    </xf>
    <xf numFmtId="0" fontId="6" fillId="0" borderId="0" xfId="0" applyFont="1"/>
    <xf numFmtId="0" fontId="3" fillId="0" borderId="0" xfId="0" applyFont="1"/>
    <xf numFmtId="164" fontId="5" fillId="0" borderId="21" xfId="0" applyNumberFormat="1" applyFont="1" applyBorder="1"/>
    <xf numFmtId="166" fontId="5" fillId="0" borderId="0" xfId="0" applyNumberFormat="1" applyFont="1"/>
    <xf numFmtId="0" fontId="5" fillId="19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3" fontId="5" fillId="0" borderId="0" xfId="0" applyNumberFormat="1" applyFont="1"/>
    <xf numFmtId="3" fontId="5" fillId="19" borderId="0" xfId="0" applyNumberFormat="1" applyFont="1" applyFill="1"/>
    <xf numFmtId="164" fontId="5" fillId="0" borderId="0" xfId="0" applyNumberFormat="1" applyFont="1"/>
    <xf numFmtId="41" fontId="3" fillId="0" borderId="0" xfId="1" applyFont="1" applyBorder="1"/>
    <xf numFmtId="0" fontId="5" fillId="0" borderId="11" xfId="0" applyFont="1" applyBorder="1"/>
    <xf numFmtId="0" fontId="5" fillId="0" borderId="7" xfId="0" applyFont="1" applyBorder="1"/>
    <xf numFmtId="0" fontId="5" fillId="21" borderId="12" xfId="0" applyFont="1" applyFill="1" applyBorder="1" applyAlignment="1">
      <alignment horizontal="center"/>
    </xf>
    <xf numFmtId="3" fontId="14" fillId="0" borderId="0" xfId="0" applyNumberFormat="1" applyFont="1"/>
    <xf numFmtId="164" fontId="0" fillId="11" borderId="0" xfId="0" applyNumberFormat="1" applyFill="1"/>
    <xf numFmtId="164" fontId="0" fillId="23" borderId="0" xfId="0" applyNumberFormat="1" applyFill="1"/>
    <xf numFmtId="164" fontId="0" fillId="15" borderId="0" xfId="0" applyNumberFormat="1" applyFill="1"/>
    <xf numFmtId="164" fontId="0" fillId="18" borderId="0" xfId="0" applyNumberFormat="1" applyFill="1"/>
    <xf numFmtId="3" fontId="0" fillId="0" borderId="0" xfId="1" applyNumberFormat="1" applyFont="1" applyBorder="1"/>
    <xf numFmtId="0" fontId="0" fillId="0" borderId="0" xfId="0" applyAlignment="1">
      <alignment horizontal="right"/>
    </xf>
    <xf numFmtId="164" fontId="0" fillId="27" borderId="0" xfId="0" applyNumberFormat="1" applyFill="1"/>
    <xf numFmtId="0" fontId="15" fillId="0" borderId="0" xfId="0" applyFont="1" applyAlignment="1">
      <alignment vertical="top" wrapText="1"/>
    </xf>
    <xf numFmtId="0" fontId="15" fillId="0" borderId="0" xfId="0" applyFont="1"/>
    <xf numFmtId="0" fontId="17" fillId="0" borderId="0" xfId="0" pivotButton="1" applyFont="1"/>
    <xf numFmtId="0" fontId="0" fillId="0" borderId="20" xfId="0" applyBorder="1"/>
    <xf numFmtId="0" fontId="0" fillId="19" borderId="10" xfId="0" applyFill="1" applyBorder="1"/>
    <xf numFmtId="0" fontId="0" fillId="0" borderId="22" xfId="0" applyBorder="1"/>
    <xf numFmtId="41" fontId="14" fillId="0" borderId="0" xfId="1" applyFont="1"/>
    <xf numFmtId="166" fontId="0" fillId="0" borderId="0" xfId="1" applyNumberFormat="1" applyFont="1"/>
    <xf numFmtId="41" fontId="0" fillId="0" borderId="20" xfId="1" applyFont="1" applyBorder="1"/>
    <xf numFmtId="16" fontId="0" fillId="0" borderId="0" xfId="0" applyNumberFormat="1" applyAlignment="1">
      <alignment horizontal="right"/>
    </xf>
    <xf numFmtId="0" fontId="0" fillId="0" borderId="11" xfId="0" applyBorder="1" applyAlignment="1">
      <alignment horizontal="right"/>
    </xf>
    <xf numFmtId="166" fontId="0" fillId="0" borderId="0" xfId="2" applyNumberFormat="1" applyFont="1"/>
    <xf numFmtId="1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0" fontId="0" fillId="19" borderId="20" xfId="0" applyFill="1" applyBorder="1"/>
    <xf numFmtId="3" fontId="14" fillId="0" borderId="23" xfId="0" applyNumberFormat="1" applyFont="1" applyBorder="1"/>
    <xf numFmtId="0" fontId="5" fillId="19" borderId="24" xfId="0" applyFont="1" applyFill="1" applyBorder="1" applyAlignment="1">
      <alignment vertical="top" wrapText="1"/>
    </xf>
    <xf numFmtId="164" fontId="5" fillId="6" borderId="24" xfId="0" applyNumberFormat="1" applyFont="1" applyFill="1" applyBorder="1"/>
    <xf numFmtId="164" fontId="5" fillId="9" borderId="24" xfId="0" applyNumberFormat="1" applyFont="1" applyFill="1" applyBorder="1"/>
    <xf numFmtId="164" fontId="5" fillId="16" borderId="24" xfId="0" applyNumberFormat="1" applyFont="1" applyFill="1" applyBorder="1"/>
    <xf numFmtId="164" fontId="5" fillId="27" borderId="24" xfId="0" applyNumberFormat="1" applyFont="1" applyFill="1" applyBorder="1"/>
    <xf numFmtId="164" fontId="5" fillId="19" borderId="20" xfId="0" applyNumberFormat="1" applyFont="1" applyFill="1" applyBorder="1"/>
    <xf numFmtId="43" fontId="0" fillId="0" borderId="0" xfId="0" applyNumberFormat="1"/>
    <xf numFmtId="3" fontId="18" fillId="0" borderId="0" xfId="0" applyNumberFormat="1" applyFont="1"/>
    <xf numFmtId="164" fontId="5" fillId="0" borderId="24" xfId="0" applyNumberFormat="1" applyFont="1" applyBorder="1"/>
    <xf numFmtId="164" fontId="5" fillId="0" borderId="20" xfId="0" applyNumberFormat="1" applyFont="1" applyBorder="1"/>
    <xf numFmtId="0" fontId="0" fillId="28" borderId="0" xfId="0" applyFill="1"/>
    <xf numFmtId="166" fontId="0" fillId="0" borderId="0" xfId="0" applyNumberFormat="1" applyAlignment="1">
      <alignment vertical="top" wrapText="1"/>
    </xf>
    <xf numFmtId="166" fontId="0" fillId="28" borderId="0" xfId="0" applyNumberFormat="1" applyFill="1"/>
    <xf numFmtId="169" fontId="0" fillId="0" borderId="0" xfId="0" applyNumberFormat="1"/>
    <xf numFmtId="0" fontId="17" fillId="0" borderId="0" xfId="0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166" fontId="17" fillId="0" borderId="0" xfId="0" applyNumberFormat="1" applyFont="1" applyAlignment="1">
      <alignment vertical="top" wrapText="1"/>
    </xf>
    <xf numFmtId="166" fontId="0" fillId="29" borderId="0" xfId="0" applyNumberFormat="1" applyFill="1"/>
    <xf numFmtId="41" fontId="0" fillId="29" borderId="0" xfId="1" applyFont="1" applyFill="1"/>
    <xf numFmtId="0" fontId="0" fillId="29" borderId="0" xfId="0" applyFill="1"/>
    <xf numFmtId="0" fontId="0" fillId="29" borderId="0" xfId="0" applyFill="1" applyAlignment="1">
      <alignment horizontal="left" vertical="top" wrapText="1"/>
    </xf>
    <xf numFmtId="3" fontId="19" fillId="0" borderId="0" xfId="0" applyNumberFormat="1" applyFont="1"/>
    <xf numFmtId="0" fontId="5" fillId="30" borderId="0" xfId="0" applyFont="1" applyFill="1" applyAlignment="1">
      <alignment vertical="top" wrapText="1"/>
    </xf>
    <xf numFmtId="164" fontId="5" fillId="8" borderId="24" xfId="0" applyNumberFormat="1" applyFont="1" applyFill="1" applyBorder="1"/>
    <xf numFmtId="41" fontId="0" fillId="26" borderId="0" xfId="1" applyFont="1" applyFill="1"/>
    <xf numFmtId="41" fontId="0" fillId="17" borderId="0" xfId="0" applyNumberFormat="1" applyFill="1"/>
    <xf numFmtId="0" fontId="0" fillId="0" borderId="25" xfId="0" applyBorder="1"/>
    <xf numFmtId="0" fontId="0" fillId="0" borderId="26" xfId="0" applyBorder="1"/>
    <xf numFmtId="0" fontId="0" fillId="0" borderId="28" xfId="0" applyBorder="1"/>
    <xf numFmtId="41" fontId="0" fillId="0" borderId="30" xfId="1" applyFont="1" applyBorder="1"/>
    <xf numFmtId="0" fontId="0" fillId="0" borderId="9" xfId="0" applyBorder="1"/>
    <xf numFmtId="0" fontId="0" fillId="0" borderId="31" xfId="0" applyBorder="1"/>
    <xf numFmtId="9" fontId="0" fillId="8" borderId="0" xfId="2" applyFont="1" applyFill="1"/>
    <xf numFmtId="0" fontId="0" fillId="8" borderId="26" xfId="0" applyFill="1" applyBorder="1"/>
    <xf numFmtId="0" fontId="0" fillId="8" borderId="27" xfId="0" applyFill="1" applyBorder="1"/>
    <xf numFmtId="0" fontId="0" fillId="8" borderId="29" xfId="0" applyFill="1" applyBorder="1"/>
    <xf numFmtId="9" fontId="0" fillId="8" borderId="29" xfId="2" applyFont="1" applyFill="1" applyBorder="1"/>
    <xf numFmtId="0" fontId="18" fillId="0" borderId="0" xfId="0" applyFont="1"/>
    <xf numFmtId="3" fontId="0" fillId="28" borderId="0" xfId="0" applyNumberFormat="1" applyFill="1"/>
    <xf numFmtId="0" fontId="0" fillId="28" borderId="28" xfId="0" applyFill="1" applyBorder="1"/>
    <xf numFmtId="0" fontId="0" fillId="21" borderId="0" xfId="0" applyFill="1"/>
    <xf numFmtId="0" fontId="5" fillId="0" borderId="32" xfId="0" applyFont="1" applyBorder="1"/>
    <xf numFmtId="3" fontId="0" fillId="0" borderId="33" xfId="0" applyNumberFormat="1" applyBorder="1"/>
    <xf numFmtId="0" fontId="0" fillId="0" borderId="34" xfId="0" applyBorder="1"/>
    <xf numFmtId="0" fontId="0" fillId="19" borderId="11" xfId="0" applyFill="1" applyBorder="1" applyAlignment="1">
      <alignment horizontal="right"/>
    </xf>
    <xf numFmtId="0" fontId="0" fillId="19" borderId="22" xfId="0" applyFill="1" applyBorder="1"/>
    <xf numFmtId="0" fontId="0" fillId="0" borderId="0" xfId="0" quotePrefix="1"/>
    <xf numFmtId="0" fontId="0" fillId="16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7" borderId="0" xfId="0" applyFill="1" applyAlignment="1">
      <alignment horizontal="left"/>
    </xf>
    <xf numFmtId="0" fontId="0" fillId="22" borderId="0" xfId="0" applyFill="1" applyAlignment="1">
      <alignment horizontal="left"/>
    </xf>
    <xf numFmtId="9" fontId="0" fillId="7" borderId="0" xfId="0" applyNumberFormat="1" applyFill="1"/>
    <xf numFmtId="9" fontId="0" fillId="22" borderId="0" xfId="0" applyNumberFormat="1" applyFill="1"/>
    <xf numFmtId="41" fontId="0" fillId="7" borderId="0" xfId="0" applyNumberFormat="1" applyFill="1"/>
    <xf numFmtId="41" fontId="0" fillId="24" borderId="0" xfId="0" applyNumberFormat="1" applyFill="1"/>
    <xf numFmtId="0" fontId="0" fillId="17" borderId="0" xfId="0" applyFill="1"/>
    <xf numFmtId="0" fontId="0" fillId="17" borderId="0" xfId="0" applyFill="1" applyAlignment="1">
      <alignment vertical="top" wrapText="1"/>
    </xf>
    <xf numFmtId="0" fontId="0" fillId="1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41" fontId="0" fillId="28" borderId="0" xfId="0" applyNumberFormat="1" applyFill="1"/>
    <xf numFmtId="0" fontId="0" fillId="6" borderId="0" xfId="0" applyFill="1" applyAlignment="1">
      <alignment horizontal="left"/>
    </xf>
    <xf numFmtId="3" fontId="0" fillId="6" borderId="0" xfId="0" applyNumberFormat="1" applyFill="1"/>
    <xf numFmtId="41" fontId="0" fillId="6" borderId="0" xfId="0" applyNumberFormat="1" applyFill="1"/>
    <xf numFmtId="9" fontId="0" fillId="6" borderId="0" xfId="0" applyNumberFormat="1" applyFill="1"/>
    <xf numFmtId="0" fontId="0" fillId="0" borderId="0" xfId="0" pivotButton="1" applyAlignment="1">
      <alignment vertical="top"/>
    </xf>
    <xf numFmtId="41" fontId="0" fillId="18" borderId="0" xfId="0" applyNumberFormat="1" applyFill="1"/>
    <xf numFmtId="0" fontId="0" fillId="18" borderId="0" xfId="0" applyFill="1" applyAlignment="1">
      <alignment horizontal="left" indent="1"/>
    </xf>
    <xf numFmtId="0" fontId="0" fillId="15" borderId="0" xfId="0" applyFill="1"/>
    <xf numFmtId="41" fontId="0" fillId="15" borderId="0" xfId="0" applyNumberFormat="1" applyFill="1"/>
    <xf numFmtId="0" fontId="0" fillId="15" borderId="0" xfId="0" applyFill="1" applyAlignment="1">
      <alignment horizontal="left" indent="1"/>
    </xf>
    <xf numFmtId="0" fontId="0" fillId="16" borderId="0" xfId="0" applyFill="1"/>
    <xf numFmtId="41" fontId="0" fillId="16" borderId="0" xfId="0" applyNumberFormat="1" applyFill="1"/>
    <xf numFmtId="0" fontId="0" fillId="16" borderId="0" xfId="0" applyFill="1" applyAlignment="1">
      <alignment horizontal="left" indent="1"/>
    </xf>
    <xf numFmtId="0" fontId="0" fillId="12" borderId="0" xfId="0" applyFill="1"/>
    <xf numFmtId="41" fontId="0" fillId="12" borderId="0" xfId="0" applyNumberFormat="1" applyFill="1"/>
    <xf numFmtId="0" fontId="0" fillId="12" borderId="0" xfId="0" applyFill="1" applyAlignment="1">
      <alignment horizontal="left" indent="1"/>
    </xf>
    <xf numFmtId="0" fontId="0" fillId="33" borderId="0" xfId="0" applyFill="1" applyAlignment="1">
      <alignment vertical="top" wrapText="1"/>
    </xf>
    <xf numFmtId="0" fontId="0" fillId="17" borderId="0" xfId="0" applyFill="1" applyAlignment="1">
      <alignment horizontal="left" vertical="top" wrapText="1"/>
    </xf>
    <xf numFmtId="3" fontId="8" fillId="18" borderId="0" xfId="0" applyNumberFormat="1" applyFont="1" applyFill="1"/>
    <xf numFmtId="43" fontId="0" fillId="18" borderId="0" xfId="0" applyNumberFormat="1" applyFill="1"/>
    <xf numFmtId="43" fontId="0" fillId="15" borderId="0" xfId="0" applyNumberFormat="1" applyFill="1"/>
    <xf numFmtId="43" fontId="0" fillId="16" borderId="0" xfId="0" applyNumberFormat="1" applyFill="1"/>
    <xf numFmtId="43" fontId="0" fillId="12" borderId="0" xfId="0" applyNumberFormat="1" applyFill="1"/>
    <xf numFmtId="0" fontId="0" fillId="26" borderId="0" xfId="0" applyFill="1" applyAlignment="1">
      <alignment vertical="top" wrapText="1"/>
    </xf>
    <xf numFmtId="0" fontId="0" fillId="26" borderId="0" xfId="0" applyFill="1" applyAlignment="1">
      <alignment horizontal="left" vertical="top" wrapText="1"/>
    </xf>
    <xf numFmtId="0" fontId="0" fillId="0" borderId="0" xfId="0" applyAlignment="1">
      <alignment horizontal="left" indent="2"/>
    </xf>
    <xf numFmtId="0" fontId="0" fillId="35" borderId="0" xfId="0" applyFill="1" applyAlignment="1">
      <alignment vertical="top" wrapText="1"/>
    </xf>
    <xf numFmtId="37" fontId="0" fillId="0" borderId="0" xfId="0" applyNumberFormat="1"/>
    <xf numFmtId="164" fontId="0" fillId="0" borderId="0" xfId="0" applyNumberFormat="1" applyAlignment="1">
      <alignment vertical="top" wrapText="1"/>
    </xf>
    <xf numFmtId="0" fontId="0" fillId="36" borderId="0" xfId="0" applyFill="1" applyAlignment="1">
      <alignment horizontal="left" vertical="top" wrapText="1"/>
    </xf>
    <xf numFmtId="37" fontId="0" fillId="7" borderId="0" xfId="0" applyNumberFormat="1" applyFill="1"/>
    <xf numFmtId="0" fontId="0" fillId="16" borderId="0" xfId="0" applyFill="1" applyAlignment="1">
      <alignment horizontal="left" indent="2"/>
    </xf>
    <xf numFmtId="0" fontId="0" fillId="12" borderId="0" xfId="0" applyFill="1" applyAlignment="1">
      <alignment horizontal="left" indent="2"/>
    </xf>
    <xf numFmtId="0" fontId="0" fillId="18" borderId="0" xfId="0" applyFill="1" applyAlignment="1">
      <alignment horizontal="left" indent="2"/>
    </xf>
    <xf numFmtId="0" fontId="0" fillId="9" borderId="0" xfId="0" applyFill="1" applyAlignment="1">
      <alignment horizontal="left"/>
    </xf>
    <xf numFmtId="3" fontId="0" fillId="9" borderId="0" xfId="0" applyNumberFormat="1" applyFill="1"/>
    <xf numFmtId="9" fontId="0" fillId="9" borderId="0" xfId="0" applyNumberFormat="1" applyFill="1"/>
    <xf numFmtId="0" fontId="0" fillId="16" borderId="0" xfId="0" applyFill="1" applyAlignment="1">
      <alignment horizontal="left"/>
    </xf>
    <xf numFmtId="42" fontId="0" fillId="17" borderId="0" xfId="0" applyNumberFormat="1" applyFill="1" applyAlignment="1">
      <alignment vertical="top" wrapText="1"/>
    </xf>
    <xf numFmtId="41" fontId="0" fillId="27" borderId="0" xfId="0" applyNumberFormat="1" applyFill="1"/>
    <xf numFmtId="3" fontId="0" fillId="27" borderId="0" xfId="0" applyNumberFormat="1" applyFill="1"/>
    <xf numFmtId="9" fontId="0" fillId="27" borderId="0" xfId="0" applyNumberFormat="1" applyFill="1"/>
    <xf numFmtId="0" fontId="0" fillId="27" borderId="0" xfId="0" applyFill="1" applyAlignment="1">
      <alignment horizontal="left"/>
    </xf>
    <xf numFmtId="0" fontId="0" fillId="8" borderId="0" xfId="0" applyFill="1" applyAlignment="1">
      <alignment horizontal="left"/>
    </xf>
    <xf numFmtId="41" fontId="0" fillId="8" borderId="0" xfId="0" applyNumberFormat="1" applyFill="1"/>
    <xf numFmtId="9" fontId="0" fillId="8" borderId="0" xfId="0" applyNumberFormat="1" applyFill="1"/>
    <xf numFmtId="41" fontId="0" fillId="22" borderId="0" xfId="0" applyNumberFormat="1" applyFill="1"/>
    <xf numFmtId="3" fontId="0" fillId="22" borderId="0" xfId="0" applyNumberFormat="1" applyFill="1"/>
    <xf numFmtId="0" fontId="0" fillId="11" borderId="0" xfId="0" applyFill="1" applyAlignment="1">
      <alignment horizontal="left"/>
    </xf>
    <xf numFmtId="41" fontId="0" fillId="11" borderId="0" xfId="0" applyNumberFormat="1" applyFill="1"/>
    <xf numFmtId="3" fontId="0" fillId="11" borderId="0" xfId="0" applyNumberFormat="1" applyFill="1"/>
    <xf numFmtId="9" fontId="0" fillId="11" borderId="0" xfId="0" applyNumberFormat="1" applyFill="1"/>
    <xf numFmtId="0" fontId="0" fillId="23" borderId="0" xfId="0" applyFill="1" applyAlignment="1">
      <alignment horizontal="left"/>
    </xf>
    <xf numFmtId="41" fontId="0" fillId="23" borderId="0" xfId="0" applyNumberFormat="1" applyFill="1"/>
    <xf numFmtId="3" fontId="0" fillId="23" borderId="0" xfId="0" applyNumberFormat="1" applyFill="1"/>
    <xf numFmtId="9" fontId="0" fillId="23" borderId="0" xfId="0" applyNumberFormat="1" applyFill="1"/>
    <xf numFmtId="0" fontId="0" fillId="15" borderId="0" xfId="0" applyFill="1" applyAlignment="1">
      <alignment horizontal="left"/>
    </xf>
    <xf numFmtId="166" fontId="0" fillId="7" borderId="0" xfId="0" applyNumberFormat="1" applyFill="1"/>
    <xf numFmtId="41" fontId="0" fillId="37" borderId="0" xfId="0" applyNumberFormat="1" applyFill="1"/>
    <xf numFmtId="41" fontId="0" fillId="38" borderId="0" xfId="0" applyNumberFormat="1" applyFill="1"/>
    <xf numFmtId="3" fontId="0" fillId="0" borderId="0" xfId="0" applyNumberFormat="1" applyAlignment="1">
      <alignment vertical="top" wrapText="1"/>
    </xf>
    <xf numFmtId="0" fontId="6" fillId="0" borderId="0" xfId="0" pivotButton="1" applyFont="1" applyAlignment="1">
      <alignment vertical="top" wrapText="1"/>
    </xf>
    <xf numFmtId="164" fontId="13" fillId="39" borderId="0" xfId="0" applyNumberFormat="1" applyFont="1" applyFill="1" applyAlignment="1">
      <alignment vertical="top" wrapText="1"/>
    </xf>
    <xf numFmtId="164" fontId="13" fillId="2" borderId="0" xfId="0" applyNumberFormat="1" applyFont="1" applyFill="1" applyAlignment="1">
      <alignment vertical="top" wrapText="1"/>
    </xf>
    <xf numFmtId="164" fontId="13" fillId="34" borderId="0" xfId="0" applyNumberFormat="1" applyFont="1" applyFill="1" applyAlignment="1">
      <alignment vertical="top" wrapText="1"/>
    </xf>
    <xf numFmtId="0" fontId="13" fillId="10" borderId="0" xfId="0" applyFont="1" applyFill="1" applyAlignment="1">
      <alignment vertical="top" wrapText="1"/>
    </xf>
    <xf numFmtId="164" fontId="13" fillId="10" borderId="0" xfId="0" applyNumberFormat="1" applyFont="1" applyFill="1" applyAlignment="1">
      <alignment vertical="top" wrapText="1"/>
    </xf>
    <xf numFmtId="164" fontId="13" fillId="4" borderId="0" xfId="0" applyNumberFormat="1" applyFont="1" applyFill="1" applyAlignment="1">
      <alignment vertical="top" wrapText="1"/>
    </xf>
    <xf numFmtId="164" fontId="13" fillId="20" borderId="0" xfId="0" applyNumberFormat="1" applyFont="1" applyFill="1" applyAlignment="1">
      <alignment vertical="top" wrapText="1"/>
    </xf>
    <xf numFmtId="3" fontId="0" fillId="7" borderId="0" xfId="0" applyNumberFormat="1" applyFill="1" applyAlignment="1">
      <alignment vertical="top" wrapText="1"/>
    </xf>
    <xf numFmtId="0" fontId="0" fillId="24" borderId="0" xfId="0" applyFill="1" applyAlignment="1">
      <alignment horizontal="left" indent="1"/>
    </xf>
    <xf numFmtId="9" fontId="0" fillId="24" borderId="0" xfId="0" applyNumberFormat="1" applyFill="1"/>
    <xf numFmtId="3" fontId="0" fillId="24" borderId="0" xfId="0" applyNumberFormat="1" applyFill="1" applyAlignment="1">
      <alignment vertical="top" wrapText="1"/>
    </xf>
    <xf numFmtId="37" fontId="0" fillId="24" borderId="0" xfId="0" applyNumberFormat="1" applyFill="1"/>
    <xf numFmtId="0" fontId="15" fillId="21" borderId="0" xfId="0" applyFont="1" applyFill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15" fillId="32" borderId="0" xfId="0" applyFont="1" applyFill="1" applyAlignment="1">
      <alignment vertical="top" wrapText="1"/>
    </xf>
    <xf numFmtId="0" fontId="16" fillId="25" borderId="0" xfId="0" applyFont="1" applyFill="1" applyAlignment="1">
      <alignment vertical="top" wrapText="1"/>
    </xf>
    <xf numFmtId="166" fontId="15" fillId="0" borderId="0" xfId="0" applyNumberFormat="1" applyFont="1" applyAlignment="1">
      <alignment vertical="top" wrapText="1"/>
    </xf>
    <xf numFmtId="41" fontId="15" fillId="0" borderId="0" xfId="0" applyNumberFormat="1" applyFont="1" applyAlignment="1">
      <alignment vertical="top" wrapText="1"/>
    </xf>
    <xf numFmtId="41" fontId="15" fillId="7" borderId="0" xfId="0" applyNumberFormat="1" applyFont="1" applyFill="1" applyAlignment="1">
      <alignment vertical="top" wrapText="1"/>
    </xf>
    <xf numFmtId="16" fontId="0" fillId="19" borderId="11" xfId="0" applyNumberFormat="1" applyFill="1" applyBorder="1" applyAlignment="1">
      <alignment horizontal="right"/>
    </xf>
    <xf numFmtId="9" fontId="21" fillId="7" borderId="0" xfId="0" applyNumberFormat="1" applyFont="1" applyFill="1"/>
    <xf numFmtId="0" fontId="0" fillId="9" borderId="0" xfId="0" applyFill="1" applyAlignment="1">
      <alignment horizontal="left" indent="1"/>
    </xf>
    <xf numFmtId="0" fontId="0" fillId="0" borderId="0" xfId="0" applyAlignment="1">
      <alignment horizontal="left" indent="3"/>
    </xf>
    <xf numFmtId="0" fontId="0" fillId="7" borderId="0" xfId="0" applyFill="1" applyAlignment="1">
      <alignment horizontal="left" indent="3"/>
    </xf>
    <xf numFmtId="166" fontId="3" fillId="0" borderId="0" xfId="0" applyNumberFormat="1" applyFont="1"/>
    <xf numFmtId="3" fontId="22" fillId="0" borderId="0" xfId="0" applyNumberFormat="1" applyFont="1"/>
    <xf numFmtId="0" fontId="0" fillId="7" borderId="0" xfId="0" applyFill="1" applyAlignment="1">
      <alignment horizontal="left" indent="2"/>
    </xf>
    <xf numFmtId="0" fontId="15" fillId="31" borderId="0" xfId="0" applyFont="1" applyFill="1" applyAlignment="1">
      <alignment vertical="top" wrapText="1"/>
    </xf>
    <xf numFmtId="16" fontId="0" fillId="19" borderId="20" xfId="0" applyNumberFormat="1" applyFill="1" applyBorder="1" applyAlignment="1">
      <alignment horizontal="right"/>
    </xf>
    <xf numFmtId="164" fontId="0" fillId="0" borderId="0" xfId="0" quotePrefix="1" applyNumberFormat="1"/>
    <xf numFmtId="4" fontId="0" fillId="0" borderId="0" xfId="0" applyNumberFormat="1"/>
    <xf numFmtId="0" fontId="0" fillId="11" borderId="0" xfId="0" applyFill="1" applyAlignment="1">
      <alignment horizontal="left" indent="1"/>
    </xf>
    <xf numFmtId="3" fontId="0" fillId="11" borderId="0" xfId="0" applyNumberFormat="1" applyFill="1" applyAlignment="1">
      <alignment vertical="top" wrapText="1"/>
    </xf>
    <xf numFmtId="166" fontId="0" fillId="11" borderId="0" xfId="0" applyNumberFormat="1" applyFill="1"/>
    <xf numFmtId="9" fontId="25" fillId="0" borderId="0" xfId="0" applyNumberFormat="1" applyFont="1"/>
    <xf numFmtId="0" fontId="24" fillId="25" borderId="15" xfId="0" applyFont="1" applyFill="1" applyBorder="1" applyAlignment="1">
      <alignment vertical="top" wrapText="1"/>
    </xf>
    <xf numFmtId="164" fontId="24" fillId="39" borderId="15" xfId="0" applyNumberFormat="1" applyFont="1" applyFill="1" applyBorder="1" applyAlignment="1">
      <alignment vertical="top" wrapText="1"/>
    </xf>
    <xf numFmtId="164" fontId="24" fillId="2" borderId="15" xfId="0" applyNumberFormat="1" applyFont="1" applyFill="1" applyBorder="1" applyAlignment="1">
      <alignment vertical="top" wrapText="1"/>
    </xf>
    <xf numFmtId="164" fontId="24" fillId="34" borderId="15" xfId="0" applyNumberFormat="1" applyFont="1" applyFill="1" applyBorder="1" applyAlignment="1">
      <alignment vertical="top" wrapText="1"/>
    </xf>
    <xf numFmtId="0" fontId="24" fillId="10" borderId="15" xfId="0" applyFont="1" applyFill="1" applyBorder="1" applyAlignment="1">
      <alignment vertical="top" wrapText="1"/>
    </xf>
    <xf numFmtId="164" fontId="24" fillId="10" borderId="15" xfId="0" applyNumberFormat="1" applyFont="1" applyFill="1" applyBorder="1" applyAlignment="1">
      <alignment vertical="top" wrapText="1"/>
    </xf>
    <xf numFmtId="164" fontId="24" fillId="4" borderId="15" xfId="0" applyNumberFormat="1" applyFont="1" applyFill="1" applyBorder="1" applyAlignment="1">
      <alignment vertical="top" wrapText="1"/>
    </xf>
    <xf numFmtId="164" fontId="24" fillId="20" borderId="15" xfId="0" applyNumberFormat="1" applyFont="1" applyFill="1" applyBorder="1" applyAlignment="1">
      <alignment vertical="top" wrapText="1"/>
    </xf>
    <xf numFmtId="0" fontId="24" fillId="20" borderId="15" xfId="0" applyFont="1" applyFill="1" applyBorder="1" applyAlignment="1">
      <alignment vertical="top" wrapText="1"/>
    </xf>
    <xf numFmtId="0" fontId="5" fillId="19" borderId="0" xfId="0" applyFont="1" applyFill="1" applyAlignment="1">
      <alignment horizontal="left"/>
    </xf>
    <xf numFmtId="41" fontId="5" fillId="19" borderId="0" xfId="0" applyNumberFormat="1" applyFont="1" applyFill="1"/>
    <xf numFmtId="3" fontId="5" fillId="19" borderId="0" xfId="0" applyNumberFormat="1" applyFont="1" applyFill="1" applyAlignment="1">
      <alignment vertical="top" wrapText="1"/>
    </xf>
    <xf numFmtId="164" fontId="5" fillId="19" borderId="0" xfId="0" applyNumberFormat="1" applyFont="1" applyFill="1"/>
    <xf numFmtId="37" fontId="5" fillId="19" borderId="0" xfId="0" applyNumberFormat="1" applyFont="1" applyFill="1"/>
    <xf numFmtId="9" fontId="5" fillId="19" borderId="0" xfId="0" applyNumberFormat="1" applyFont="1" applyFill="1"/>
    <xf numFmtId="0" fontId="5" fillId="0" borderId="21" xfId="0" applyFont="1" applyBorder="1" applyAlignment="1">
      <alignment horizontal="left"/>
    </xf>
    <xf numFmtId="41" fontId="5" fillId="0" borderId="21" xfId="0" applyNumberFormat="1" applyFont="1" applyBorder="1"/>
    <xf numFmtId="3" fontId="5" fillId="0" borderId="21" xfId="0" applyNumberFormat="1" applyFont="1" applyBorder="1" applyAlignment="1">
      <alignment vertical="top" wrapText="1"/>
    </xf>
    <xf numFmtId="3" fontId="5" fillId="0" borderId="21" xfId="0" applyNumberFormat="1" applyFont="1" applyBorder="1"/>
    <xf numFmtId="37" fontId="5" fillId="0" borderId="21" xfId="0" applyNumberFormat="1" applyFont="1" applyBorder="1"/>
    <xf numFmtId="9" fontId="5" fillId="0" borderId="21" xfId="0" applyNumberFormat="1" applyFont="1" applyBorder="1"/>
    <xf numFmtId="9" fontId="8" fillId="0" borderId="0" xfId="0" applyNumberFormat="1" applyFont="1" applyAlignment="1">
      <alignment horizontal="left" indent="2"/>
    </xf>
    <xf numFmtId="9" fontId="8" fillId="0" borderId="0" xfId="0" applyNumberFormat="1" applyFont="1" applyAlignment="1">
      <alignment vertical="top" wrapText="1"/>
    </xf>
    <xf numFmtId="169" fontId="0" fillId="7" borderId="0" xfId="0" applyNumberFormat="1" applyFill="1"/>
    <xf numFmtId="3" fontId="0" fillId="17" borderId="0" xfId="0" applyNumberFormat="1" applyFill="1"/>
    <xf numFmtId="0" fontId="0" fillId="0" borderId="35" xfId="0" applyBorder="1"/>
    <xf numFmtId="9" fontId="8" fillId="0" borderId="0" xfId="0" applyNumberFormat="1" applyFont="1" applyAlignment="1">
      <alignment horizontal="left" indent="1"/>
    </xf>
    <xf numFmtId="9" fontId="8" fillId="38" borderId="0" xfId="0" applyNumberFormat="1" applyFont="1" applyFill="1"/>
    <xf numFmtId="3" fontId="23" fillId="0" borderId="0" xfId="0" applyNumberFormat="1" applyFont="1"/>
    <xf numFmtId="0" fontId="0" fillId="0" borderId="0" xfId="0" applyAlignment="1">
      <alignment vertical="center"/>
    </xf>
    <xf numFmtId="3" fontId="8" fillId="0" borderId="0" xfId="0" applyNumberFormat="1" applyFont="1" applyAlignment="1">
      <alignment vertical="top" wrapText="1"/>
    </xf>
    <xf numFmtId="3" fontId="20" fillId="0" borderId="0" xfId="0" applyNumberFormat="1" applyFont="1" applyAlignment="1">
      <alignment vertical="top" wrapText="1"/>
    </xf>
    <xf numFmtId="0" fontId="21" fillId="0" borderId="0" xfId="0" applyFont="1" applyAlignment="1">
      <alignment horizontal="left" indent="2"/>
    </xf>
    <xf numFmtId="3" fontId="21" fillId="0" borderId="0" xfId="0" applyNumberFormat="1" applyFont="1"/>
    <xf numFmtId="0" fontId="21" fillId="0" borderId="0" xfId="0" applyFont="1"/>
    <xf numFmtId="166" fontId="21" fillId="0" borderId="0" xfId="0" applyNumberFormat="1" applyFont="1"/>
    <xf numFmtId="41" fontId="21" fillId="0" borderId="0" xfId="0" applyNumberFormat="1" applyFont="1"/>
    <xf numFmtId="3" fontId="21" fillId="0" borderId="0" xfId="0" applyNumberFormat="1" applyFont="1" applyAlignment="1">
      <alignment vertical="top" wrapText="1"/>
    </xf>
    <xf numFmtId="9" fontId="21" fillId="0" borderId="0" xfId="0" applyNumberFormat="1" applyFont="1"/>
    <xf numFmtId="0" fontId="0" fillId="11" borderId="0" xfId="0" applyFill="1"/>
    <xf numFmtId="9" fontId="25" fillId="0" borderId="0" xfId="0" applyNumberFormat="1" applyFont="1" applyAlignment="1">
      <alignment horizontal="left" indent="2"/>
    </xf>
    <xf numFmtId="9" fontId="25" fillId="0" borderId="0" xfId="0" applyNumberFormat="1" applyFont="1" applyAlignment="1">
      <alignment vertical="top" wrapText="1"/>
    </xf>
    <xf numFmtId="164" fontId="0" fillId="38" borderId="0" xfId="0" applyNumberFormat="1" applyFill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2191">
    <dxf>
      <border outline="0">
        <bottom style="medium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alignment horizontal="general" vertical="center" textRotation="0" wrapText="1" indent="0" justifyLastLine="0" shrinkToFit="0" readingOrder="0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22" formatCode="mmm\-yy"/>
      <border diagonalUp="0" diagonalDown="0">
        <left/>
        <right/>
        <top style="thin">
          <color theme="7"/>
        </top>
        <bottom/>
        <vertical/>
        <horizontal/>
      </border>
    </dxf>
    <dxf>
      <numFmt numFmtId="22" formatCode="mmm\-yy"/>
    </dxf>
    <dxf>
      <numFmt numFmtId="33" formatCode="_(* #,##0_);_(* \(#,##0\);_(* &quot;-&quot;_);_(@_)"/>
    </dxf>
    <dxf>
      <numFmt numFmtId="33" formatCode="_(* #,##0_);_(* \(#,##0\);_(* &quot;-&quot;_);_(@_)"/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font>
        <sz val="12"/>
      </font>
      <alignment horizontal="center" vertical="center" textRotation="0" wrapText="1" indent="0" justifyLastLine="0" shrinkToFit="0" readingOrder="0"/>
    </dxf>
    <dxf>
      <font>
        <b val="0"/>
      </font>
      <numFmt numFmtId="3" formatCode="#,##0"/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3" formatCode="#,##0"/>
      <border diagonalUp="0" diagonalDown="0">
        <left/>
        <right/>
        <top style="thin">
          <color theme="7"/>
        </top>
        <bottom/>
      </border>
    </dxf>
    <dxf>
      <font>
        <b val="0"/>
      </font>
      <numFmt numFmtId="170" formatCode="dd\-mmm"/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font>
        <b val="0"/>
      </font>
      <border diagonalUp="0" diagonalDown="0">
        <left/>
        <right/>
        <top style="thin">
          <color theme="7"/>
        </top>
        <bottom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  <dxf>
      <font>
        <b val="0"/>
      </font>
    </dxf>
    <dxf>
      <alignment horizontal="center" vertical="center" textRotation="0" wrapText="1" indent="0" justifyLastLine="0" shrinkToFit="0" readingOrder="0"/>
    </dxf>
    <dxf>
      <numFmt numFmtId="33" formatCode="_(* #,##0_);_(* \(#,##0\);_(* &quot;-&quot;_);_(@_)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numFmt numFmtId="3" formatCode="#,##0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numFmt numFmtId="3" formatCode="#,##0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numFmt numFmtId="3" formatCode="#,##0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numFmt numFmtId="3" formatCode="#,##0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numFmt numFmtId="3" formatCode="#,##0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numFmt numFmtId="3" formatCode="#,##0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numFmt numFmtId="3" formatCode="#,##0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numFmt numFmtId="3" formatCode="#,##0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alignment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b/>
        <sz val="10"/>
        <color theme="0"/>
      </font>
      <fill>
        <patternFill patternType="solid">
          <fgColor theme="4"/>
          <bgColor theme="4"/>
        </patternFill>
      </fill>
      <alignment vertical="top" wrapText="1"/>
    </dxf>
    <dxf>
      <numFmt numFmtId="13" formatCode="0%"/>
    </dxf>
    <dxf>
      <font>
        <sz val="9"/>
      </font>
    </dxf>
    <dxf>
      <font>
        <sz val="9"/>
      </font>
    </dxf>
    <dxf>
      <numFmt numFmtId="13" formatCode="0%"/>
    </dxf>
    <dxf>
      <font>
        <sz val="9"/>
      </font>
      <alignment vertical="top" wrapText="1"/>
    </dxf>
    <dxf>
      <font>
        <b/>
        <sz val="9"/>
        <color theme="0"/>
      </font>
      <fill>
        <patternFill patternType="solid">
          <fgColor theme="4"/>
          <bgColor theme="4"/>
        </patternFill>
      </fill>
      <alignment vertical="top" wrapText="1"/>
    </dxf>
    <dxf>
      <font>
        <sz val="8"/>
      </font>
    </dxf>
    <dxf>
      <font>
        <sz val="8"/>
      </font>
    </dxf>
    <dxf>
      <fill>
        <patternFill patternType="none">
          <bgColor auto="1"/>
        </patternFill>
      </fill>
    </dxf>
    <dxf>
      <numFmt numFmtId="3" formatCode="#,##0"/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alignment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b/>
        <sz val="10"/>
        <color theme="0"/>
      </font>
      <fill>
        <patternFill patternType="solid">
          <fgColor theme="4"/>
          <bgColor theme="4"/>
        </patternFill>
      </fill>
      <alignment vertical="top" wrapText="1"/>
    </dxf>
    <dxf>
      <numFmt numFmtId="13" formatCode="0%"/>
    </dxf>
    <dxf>
      <font>
        <sz val="9"/>
      </font>
    </dxf>
    <dxf>
      <font>
        <sz val="9"/>
      </font>
    </dxf>
    <dxf>
      <numFmt numFmtId="13" formatCode="0%"/>
    </dxf>
    <dxf>
      <font>
        <sz val="9"/>
      </font>
      <alignment vertical="top" wrapText="1"/>
    </dxf>
    <dxf>
      <font>
        <b/>
        <sz val="9"/>
        <color theme="0"/>
      </font>
      <fill>
        <patternFill patternType="solid">
          <fgColor theme="4"/>
          <bgColor theme="4"/>
        </patternFill>
      </fill>
      <alignment vertical="top" wrapText="1"/>
    </dxf>
    <dxf>
      <font>
        <sz val="8"/>
      </font>
    </dxf>
    <dxf>
      <font>
        <sz val="8"/>
      </font>
    </dxf>
    <dxf>
      <numFmt numFmtId="3" formatCode="#,##0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alignment wrapText="1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vertical="top"/>
    </dxf>
    <dxf>
      <font>
        <sz val="9"/>
      </font>
    </dxf>
    <dxf>
      <font>
        <sz val="8"/>
      </font>
    </dxf>
    <dxf>
      <font>
        <sz val="8"/>
      </font>
    </dxf>
    <dxf>
      <alignment wrapText="1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vertical="top"/>
    </dxf>
    <dxf>
      <font>
        <sz val="9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64" formatCode="_-* #,##0_-;\-* #,##0_-;_-* &quot;-&quot;_-;_-@_-"/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numFmt numFmtId="3" formatCode="#,##0"/>
    </dxf>
    <dxf>
      <numFmt numFmtId="3" formatCode="#,##0"/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sz val="10"/>
        <color theme="0"/>
      </font>
      <fill>
        <patternFill patternType="solid">
          <fgColor theme="4"/>
          <bgColor theme="4"/>
        </patternFill>
      </fill>
      <alignment vertical="top" wrapText="1"/>
    </dxf>
    <dxf>
      <numFmt numFmtId="13" formatCode="0%"/>
    </dxf>
    <dxf>
      <fill>
        <patternFill patternType="none">
          <bgColor auto="1"/>
        </patternFill>
      </fill>
    </dxf>
    <dxf>
      <font>
        <sz val="9"/>
      </font>
    </dxf>
    <dxf>
      <numFmt numFmtId="13" formatCode="0%"/>
    </dxf>
    <dxf>
      <font>
        <sz val="9"/>
      </font>
      <alignment vertical="top" wrapText="1"/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  <alignment vertical="top" wrapText="1"/>
    </dxf>
    <dxf>
      <fill>
        <patternFill patternType="solid">
          <fgColor indexed="64"/>
          <bgColor theme="5" tint="-0.249977111117893"/>
        </patternFill>
      </fill>
    </dxf>
    <dxf>
      <font>
        <sz val="8"/>
      </font>
      <alignment vertical="top" wrapText="1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vertical="top"/>
    </dxf>
    <dxf>
      <font>
        <sz val="9"/>
      </font>
    </dxf>
    <dxf>
      <font>
        <sz val="8"/>
      </font>
    </dxf>
    <dxf>
      <font>
        <sz val="8"/>
      </font>
    </dxf>
    <dxf>
      <alignment vertical="center"/>
    </dxf>
    <dxf>
      <fill>
        <patternFill patternType="solid">
          <bgColor rgb="FFFFFF00"/>
        </patternFill>
      </fill>
    </dxf>
    <dxf>
      <alignment wrapText="1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vertical="top"/>
    </dxf>
    <dxf>
      <font>
        <sz val="9"/>
      </font>
    </dxf>
    <dxf>
      <font>
        <sz val="8"/>
      </font>
    </dxf>
    <dxf>
      <font>
        <sz val="8"/>
      </font>
    </dxf>
    <dxf>
      <alignment vertical="center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13" formatCode="0%"/>
    </dxf>
    <dxf>
      <fill>
        <patternFill patternType="solid">
          <bgColor rgb="FF00B0F0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00B050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alignment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numFmt numFmtId="3" formatCode="#,##0"/>
    </dxf>
    <dxf>
      <alignment vertical="top" wrapText="1"/>
    </dxf>
    <dxf>
      <alignment vertical="top" wrapText="1"/>
    </dxf>
    <dxf>
      <alignment wrapText="1"/>
    </dxf>
    <dxf>
      <alignment wrapText="1"/>
    </dxf>
    <dxf>
      <alignment vertical="top"/>
    </dxf>
    <dxf>
      <alignment vertical="top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numFmt numFmtId="166" formatCode="_(* #,##0_);_(* \(#,##0\);_(* &quot;-&quot;??_);_(@_)"/>
    </dxf>
    <dxf>
      <font>
        <sz val="10"/>
      </font>
      <numFmt numFmtId="0" formatCode="General"/>
      <alignment vertical="top" wrapText="1"/>
    </dxf>
    <dxf>
      <font>
        <b/>
        <sz val="10"/>
        <color theme="0"/>
      </font>
      <fill>
        <patternFill patternType="solid">
          <fgColor theme="4"/>
          <bgColor theme="4"/>
        </patternFill>
      </fill>
      <alignment vertical="top" wrapText="1"/>
    </dxf>
    <dxf>
      <numFmt numFmtId="13" formatCode="0%"/>
    </dxf>
    <dxf>
      <font>
        <sz val="9"/>
      </font>
    </dxf>
    <dxf>
      <numFmt numFmtId="13" formatCode="0%"/>
    </dxf>
    <dxf>
      <font>
        <sz val="9"/>
      </font>
      <alignment vertical="top" wrapText="1"/>
    </dxf>
    <dxf>
      <font>
        <sz val="8"/>
      </font>
    </dxf>
    <dxf>
      <font>
        <sz val="8"/>
      </font>
    </dxf>
    <dxf>
      <font>
        <sz val="8"/>
      </font>
      <numFmt numFmtId="0" formatCode="General"/>
      <alignment vertical="top" wrapText="1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ont>
        <sz val="8"/>
      </font>
      <alignment vertical="top" wrapText="1"/>
    </dxf>
    <dxf>
      <numFmt numFmtId="3" formatCode="#,##0"/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f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i/>
      </font>
      <numFmt numFmtId="3" formatCode="#,##0"/>
      <fill>
        <patternFill>
          <fgColor theme="5" tint="0.79998168889431442"/>
        </patternFill>
      </fill>
      <alignment vertical="top" wrapText="1"/>
    </dxf>
    <dxf>
      <font>
        <i/>
        <color rgb="FFFF0000"/>
      </font>
      <numFmt numFmtId="3" formatCode="#,##0"/>
      <fill>
        <patternFill>
          <fgColor theme="5" tint="0.79998168889431442"/>
          <bgColor theme="8" tint="0.79998168889431442"/>
        </patternFill>
      </fill>
      <alignment vertical="top" wrapText="1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  <alignment vertical="top" wrapText="1"/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sz val="8"/>
      </font>
      <alignment vertical="top" wrapText="1"/>
    </dxf>
    <dxf>
      <font>
        <sz val="8"/>
      </font>
      <alignment vertical="top" wrapText="1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579"/>
        </patternFill>
      </fill>
    </dxf>
    <dxf>
      <fill>
        <patternFill patternType="none">
          <bgColor auto="1"/>
        </patternFill>
      </fill>
    </dxf>
    <dxf>
      <font>
        <i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ont>
        <i/>
      </font>
    </dxf>
    <dxf>
      <numFmt numFmtId="13" formatCode="0%"/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i/>
      </font>
    </dxf>
    <dxf>
      <numFmt numFmtId="13" formatCode="0%"/>
    </dxf>
    <dxf>
      <fill>
        <patternFill patternType="none">
          <bgColor auto="1"/>
        </patternFill>
      </fill>
    </dxf>
    <dxf>
      <font>
        <i/>
      </font>
    </dxf>
    <dxf>
      <numFmt numFmtId="13" formatCode="0%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-0.499984740745262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wrapText="1"/>
    </dxf>
    <dxf>
      <alignment wrapText="1"/>
    </dxf>
    <dxf>
      <alignment vertical="top"/>
    </dxf>
    <dxf>
      <alignment vertical="top"/>
    </dxf>
    <dxf>
      <fill>
        <patternFill>
          <bgColor theme="9" tint="-0.499984740745262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499984740745262"/>
        </patternFill>
      </fill>
    </dxf>
    <dxf>
      <numFmt numFmtId="13" formatCode="0%"/>
    </dxf>
    <dxf>
      <numFmt numFmtId="164" formatCode="_-* #,##0_-;\-* #,##0_-;_-* &quot;-&quot;_-;_-@_-"/>
    </dxf>
    <dxf>
      <alignment wrapText="1"/>
    </dxf>
    <dxf>
      <alignment wrapText="1"/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ont>
        <color theme="0"/>
      </font>
      <numFmt numFmtId="164" formatCode="_-* #,##0_-;\-* #,##0_-;_-* &quot;-&quot;_-;_-@_-"/>
      <fill>
        <patternFill>
          <fgColor theme="9" tint="-0.249977111117893"/>
        </patternFill>
      </fill>
    </dxf>
    <dxf>
      <numFmt numFmtId="3" formatCode="#,##0"/>
    </dxf>
    <dxf>
      <numFmt numFmtId="3" formatCode="#,##0"/>
    </dxf>
    <dxf>
      <fill>
        <patternFill>
          <bgColor theme="9" tint="-0.249977111117893"/>
        </patternFill>
      </fill>
    </dxf>
    <dxf>
      <alignment vertical="top" wrapText="1"/>
    </dxf>
    <dxf>
      <numFmt numFmtId="3" formatCode="#,##0"/>
    </dxf>
    <dxf>
      <font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font>
        <sz val="10"/>
      </font>
    </dxf>
    <dxf>
      <font>
        <sz val="10"/>
      </font>
    </dxf>
    <dxf>
      <numFmt numFmtId="164" formatCode="_-* #,##0_-;\-* #,##0_-;_-* &quot;-&quot;_-;_-@_-"/>
    </dxf>
    <dxf>
      <numFmt numFmtId="13" formatCode="0%"/>
    </dxf>
    <dxf>
      <font>
        <sz val="10"/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numFmt numFmtId="164" formatCode="_-* #,##0_-;\-* #,##0_-;_-* &quot;-&quot;_-;_-@_-"/>
    </dxf>
    <dxf>
      <numFmt numFmtId="13" formatCode="0%"/>
    </dxf>
    <dxf>
      <font>
        <sz val="10"/>
      </font>
      <alignment vertical="top" wrapText="1"/>
    </dxf>
    <dxf>
      <numFmt numFmtId="5" formatCode="#,##0_);\(#,##0\)"/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2" tint="-0.499984740745262"/>
        </patternFill>
      </fill>
    </dxf>
    <dxf>
      <fill>
        <patternFill patternType="solid">
          <fgColor indexed="64"/>
          <bgColor theme="2" tint="-0.499984740745262"/>
        </patternFill>
      </fill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bgColor theme="5" tint="-0.499984740745262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wrapText="1"/>
    </dxf>
    <dxf>
      <alignment wrapText="1"/>
    </dxf>
    <dxf>
      <alignment vertical="top"/>
    </dxf>
    <dxf>
      <alignment vertical="top"/>
    </dxf>
    <dxf>
      <fill>
        <patternFill>
          <bgColor theme="9" tint="-0.499984740745262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499984740745262"/>
        </patternFill>
      </fill>
    </dxf>
    <dxf>
      <numFmt numFmtId="13" formatCode="0%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_-;_-@_-"/>
    </dxf>
    <dxf>
      <alignment wrapText="1"/>
    </dxf>
    <dxf>
      <alignment wrapText="1"/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ont>
        <color theme="0"/>
      </font>
      <numFmt numFmtId="164" formatCode="_-* #,##0_-;\-* #,##0_-;_-* &quot;-&quot;_-;_-@_-"/>
      <fill>
        <patternFill>
          <fgColor theme="9" tint="-0.249977111117893"/>
        </patternFill>
      </fill>
    </dxf>
    <dxf>
      <numFmt numFmtId="3" formatCode="#,##0"/>
    </dxf>
    <dxf>
      <numFmt numFmtId="3" formatCode="#,##0"/>
    </dxf>
    <dxf>
      <fill>
        <patternFill>
          <bgColor theme="9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none">
          <bgColor auto="1"/>
        </patternFill>
      </fill>
    </dxf>
    <dxf>
      <alignment vertical="top" wrapText="1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font>
        <sz val="10"/>
      </font>
    </dxf>
    <dxf>
      <font>
        <sz val="10"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_-* #,##0_-;\-* #,##0_-;_-* &quot;-&quot;_-;_-@_-"/>
    </dxf>
    <dxf>
      <numFmt numFmtId="13" formatCode="0%"/>
    </dxf>
    <dxf>
      <font>
        <sz val="10"/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numFmt numFmtId="164" formatCode="_-* #,##0_-;\-* #,##0_-;_-* &quot;-&quot;_-;_-@_-"/>
    </dxf>
    <dxf>
      <fill>
        <patternFill patternType="none">
          <bgColor auto="1"/>
        </patternFill>
      </fill>
    </dxf>
    <dxf>
      <numFmt numFmtId="13" formatCode="0%"/>
    </dxf>
    <dxf>
      <fill>
        <patternFill patternType="none">
          <bgColor auto="1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rgb="FFFFD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  <alignment vertical="top" wrapText="1"/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numFmt numFmtId="5" formatCode="#,##0_);\(#,##0\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solid">
          <fgColor indexed="64"/>
          <bgColor rgb="FFFFD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  <color theme="0"/>
      </font>
      <numFmt numFmtId="164" formatCode="_-* #,##0_-;\-* #,##0_-;_-* &quot;-&quot;_-;_-@_-"/>
      <fill>
        <patternFill patternType="solid">
          <fgColor indexed="64"/>
          <bgColor theme="5" tint="-0.249977111117893"/>
        </patternFill>
      </fill>
      <alignment vertical="top" wrapText="1"/>
    </dxf>
    <dxf>
      <numFmt numFmtId="3" formatCode="#,##0"/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>
          <bgColor rgb="FFFFD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-0.499984740745262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wrapText="1"/>
    </dxf>
    <dxf>
      <alignment wrapText="1"/>
    </dxf>
    <dxf>
      <alignment vertical="top"/>
    </dxf>
    <dxf>
      <alignment vertical="top"/>
    </dxf>
    <dxf>
      <fill>
        <patternFill>
          <bgColor theme="9" tint="-0.499984740745262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499984740745262"/>
        </patternFill>
      </fill>
    </dxf>
    <dxf>
      <numFmt numFmtId="13" formatCode="0%"/>
    </dxf>
    <dxf>
      <numFmt numFmtId="164" formatCode="_-* #,##0_-;\-* #,##0_-;_-* &quot;-&quot;_-;_-@_-"/>
    </dxf>
    <dxf>
      <alignment wrapText="1"/>
    </dxf>
    <dxf>
      <alignment wrapText="1"/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ont>
        <color theme="0"/>
      </font>
      <numFmt numFmtId="164" formatCode="_-* #,##0_-;\-* #,##0_-;_-* &quot;-&quot;_-;_-@_-"/>
      <fill>
        <patternFill>
          <fgColor theme="9" tint="-0.249977111117893"/>
        </patternFill>
      </fill>
    </dxf>
    <dxf>
      <numFmt numFmtId="3" formatCode="#,##0"/>
    </dxf>
    <dxf>
      <numFmt numFmtId="3" formatCode="#,##0"/>
    </dxf>
    <dxf>
      <fill>
        <patternFill>
          <bgColor theme="9" tint="-0.249977111117893"/>
        </patternFill>
      </fill>
    </dxf>
    <dxf>
      <alignment vertical="top" wrapText="1"/>
    </dxf>
    <dxf>
      <numFmt numFmtId="3" formatCode="#,##0"/>
    </dxf>
    <dxf>
      <font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font>
        <sz val="10"/>
      </font>
    </dxf>
    <dxf>
      <font>
        <sz val="10"/>
      </font>
    </dxf>
    <dxf>
      <numFmt numFmtId="164" formatCode="_-* #,##0_-;\-* #,##0_-;_-* &quot;-&quot;_-;_-@_-"/>
    </dxf>
    <dxf>
      <numFmt numFmtId="13" formatCode="0%"/>
    </dxf>
    <dxf>
      <font>
        <sz val="10"/>
        <color theme="0"/>
      </font>
      <fill>
        <patternFill patternType="solid">
          <fgColor indexed="64"/>
          <bgColor theme="7" tint="-0.249977111117893"/>
        </patternFill>
      </fill>
      <alignment vertical="top" wrapText="1"/>
    </dxf>
    <dxf>
      <numFmt numFmtId="164" formatCode="_-* #,##0_-;\-* #,##0_-;_-* &quot;-&quot;_-;_-@_-"/>
    </dxf>
    <dxf>
      <numFmt numFmtId="13" formatCode="0%"/>
    </dxf>
    <dxf>
      <font>
        <sz val="10"/>
      </font>
      <alignment vertical="top" wrapText="1"/>
    </dxf>
    <dxf>
      <numFmt numFmtId="5" formatCode="#,##0_);\(#,##0\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1" tint="0.34998626667073579"/>
        </patternFill>
      </fill>
    </dxf>
    <dxf>
      <numFmt numFmtId="169" formatCode="0.0%"/>
    </dxf>
    <dxf>
      <numFmt numFmtId="33" formatCode="_(* #,##0_);_(* \(#,##0\);_(* &quot;-&quot;_);_(@_)"/>
    </dxf>
    <dxf>
      <numFmt numFmtId="33" formatCode="_(* #,##0_);_(* \(#,##0\);_(* &quot;-&quot;_);_(@_)"/>
    </dxf>
    <dxf>
      <alignment wrapText="1"/>
    </dxf>
    <dxf>
      <alignment vertical="top"/>
    </dxf>
    <dxf>
      <alignment wrapText="1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3999755851924192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vertical="top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3999755851924192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vertical="top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3999755851924192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vertical="top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3999755851924192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69" formatCode="0.0%"/>
    </dxf>
    <dxf>
      <fill>
        <patternFill patternType="solid">
          <bgColor theme="5" tint="0.59999389629810485"/>
        </patternFill>
      </fill>
    </dxf>
    <dxf>
      <numFmt numFmtId="33" formatCode="_(* #,##0_);_(* \(#,##0\);_(* &quot;-&quot;_);_(@_)"/>
    </dxf>
    <dxf>
      <numFmt numFmtId="35" formatCode="_(* #,##0.00_);_(* \(#,##0.00\);_(* &quot;-&quot;??_);_(@_)"/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69" formatCode="0.0%"/>
    </dxf>
    <dxf>
      <fill>
        <patternFill>
          <bgColor theme="5" tint="0.59999389629810485"/>
        </patternFill>
      </fill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69" formatCode="0.0%"/>
    </dxf>
    <dxf>
      <fill>
        <patternFill>
          <bgColor theme="5" tint="0.59999389629810485"/>
        </patternFill>
      </fill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alignment vertical="top" wrapText="1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vertical="top" wrapText="1"/>
    </dxf>
    <dxf>
      <fill>
        <patternFill patternType="solid">
          <bgColor theme="9" tint="-0.249977111117893"/>
        </patternFill>
      </fill>
    </dxf>
    <dxf>
      <fill>
        <patternFill>
          <bgColor theme="9" tint="0.39997558519241921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alignment wrapText="1"/>
    </dxf>
    <dxf>
      <alignment wrapText="1"/>
    </dxf>
    <dxf>
      <alignment vertical="top"/>
    </dxf>
    <dxf>
      <numFmt numFmtId="164" formatCode="_-* #,##0_-;\-* #,##0_-;_-* &quot;-&quot;_-;_-@_-"/>
    </dxf>
    <dxf>
      <numFmt numFmtId="164" formatCode="_-* #,##0_-;\-* #,##0_-;_-* &quot;-&quot;_-;_-@_-"/>
    </dxf>
    <dxf>
      <alignment wrapText="1"/>
    </dxf>
    <dxf>
      <alignment vertical="top"/>
    </dxf>
    <dxf>
      <fill>
        <patternFill patternType="solid">
          <bgColor theme="7" tint="0.39997558519241921"/>
        </patternFill>
      </fill>
    </dxf>
    <dxf>
      <fill>
        <patternFill>
          <bgColor theme="5" tint="0.59999389629810485"/>
        </patternFill>
      </fill>
    </dxf>
    <dxf>
      <font>
        <color theme="1"/>
      </font>
    </dxf>
    <dxf>
      <fill>
        <patternFill>
          <bgColor theme="6" tint="0.59999389629810485"/>
        </patternFill>
      </fill>
    </dxf>
    <dxf>
      <font>
        <color theme="1"/>
      </font>
    </dxf>
    <dxf>
      <numFmt numFmtId="164" formatCode="_-* #,##0_-;\-* #,##0_-;_-* &quot;-&quot;_-;_-@_-"/>
    </dxf>
    <dxf>
      <numFmt numFmtId="3" formatCode="#,##0"/>
    </dxf>
    <dxf>
      <alignment wrapText="1"/>
    </dxf>
    <dxf>
      <alignment vertical="top"/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9"/>
        </patternFill>
      </fill>
    </dxf>
    <dxf>
      <font>
        <color theme="1"/>
      </font>
    </dxf>
    <dxf>
      <alignment vertical="top"/>
    </dxf>
    <dxf>
      <alignment wrapText="1"/>
    </dxf>
    <dxf>
      <numFmt numFmtId="3" formatCode="#,##0"/>
    </dxf>
    <dxf>
      <fill>
        <patternFill patternType="solid">
          <bgColor theme="5" tint="0.39997558519241921"/>
        </patternFill>
      </fill>
    </dxf>
    <dxf>
      <numFmt numFmtId="13" formatCode="0%"/>
    </dxf>
    <dxf>
      <alignment vertical="top"/>
    </dxf>
    <dxf>
      <alignment wrapText="1"/>
    </dxf>
    <dxf>
      <fill>
        <patternFill patternType="solid">
          <bgColor theme="7" tint="0.39997558519241921"/>
        </patternFill>
      </fill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6" formatCode="_(* #,##0_);_(* \(#,##0\);_(* &quot;-&quot;??_);_(@_)"/>
    </dxf>
    <dxf>
      <alignment vertical="top"/>
    </dxf>
    <dxf>
      <alignment vertical="top"/>
    </dxf>
    <dxf>
      <alignment wrapText="1"/>
    </dxf>
    <dxf>
      <alignment vertical="top"/>
    </dxf>
    <dxf>
      <alignment wrapText="1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-* #,##0_-;\-* #,##0_-;_-* &quot;-&quot;_-;_-@_-"/>
    </dxf>
    <dxf>
      <numFmt numFmtId="164" formatCode="_-* #,##0_-;\-* #,##0_-;_-* &quot;-&quot;_-;_-@_-"/>
    </dxf>
    <dxf>
      <alignment wrapText="1"/>
    </dxf>
    <dxf>
      <alignment wrapText="1"/>
    </dxf>
    <dxf>
      <alignment vertical="top"/>
    </dxf>
    <dxf>
      <alignment vertical="top"/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39997558519241921"/>
        </patternFill>
      </fill>
    </dxf>
    <dxf>
      <numFmt numFmtId="164" formatCode="_-* #,##0_-;\-* #,##0_-;_-* &quot;-&quot;_-;_-@_-"/>
    </dxf>
    <dxf>
      <numFmt numFmtId="13" formatCode="0%"/>
    </dxf>
    <dxf>
      <alignment wrapText="1"/>
    </dxf>
    <dxf>
      <alignment vertical="top"/>
    </dxf>
    <dxf>
      <fill>
        <patternFill patternType="solid">
          <bgColor theme="7" tint="0.39997558519241921"/>
        </patternFill>
      </fill>
    </dxf>
    <dxf>
      <alignment vertical="top"/>
    </dxf>
    <dxf>
      <alignment wrapText="1"/>
    </dxf>
    <dxf>
      <fill>
        <patternFill patternType="solid">
          <bgColor theme="9"/>
        </patternFill>
      </fill>
    </dxf>
    <dxf>
      <numFmt numFmtId="3" formatCode="#,##0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bgColor theme="6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39997558519241921"/>
        </patternFill>
      </fill>
    </dxf>
    <dxf>
      <numFmt numFmtId="13" formatCode="0%"/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>
          <bgColor theme="5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alignment wrapText="1"/>
    </dxf>
    <dxf>
      <alignment wrapText="1"/>
    </dxf>
    <dxf>
      <alignment vertical="top"/>
    </dxf>
    <dxf>
      <alignment vertical="top"/>
    </dxf>
    <dxf>
      <numFmt numFmtId="13" formatCode="0%"/>
    </dxf>
    <dxf>
      <alignment vertical="top"/>
    </dxf>
    <dxf>
      <alignment wrapText="1"/>
    </dxf>
    <dxf>
      <fill>
        <patternFill>
          <bgColor theme="6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7" tint="0.39997558519241921"/>
        </patternFill>
      </fill>
    </dxf>
    <dxf>
      <font>
        <color theme="1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7E79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alignment wrapText="1"/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>
          <bgColor theme="5" tint="0.39997558519241921"/>
        </patternFill>
      </fill>
    </dxf>
    <dxf>
      <numFmt numFmtId="164" formatCode="_-* #,##0_-;\-* #,##0_-;_-* &quot;-&quot;_-;_-@_-"/>
    </dxf>
    <dxf>
      <alignment wrapText="1"/>
    </dxf>
    <dxf>
      <alignment vertical="top"/>
    </dxf>
    <dxf>
      <alignment vertical="top"/>
    </dxf>
    <dxf>
      <numFmt numFmtId="3" formatCode="#,##0"/>
    </dxf>
    <dxf>
      <alignment wrapText="1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71" formatCode="_-* #,##0.00_-;\-* #,##0.00_-;_-* &quot;-&quot;??_-;_-@_-"/>
    </dxf>
    <dxf>
      <numFmt numFmtId="32" formatCode="_(&quot;$&quot;* #,##0_);_(&quot;$&quot;* \(#,##0\);_(&quot;$&quot;* &quot;-&quot;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fill>
        <patternFill patternType="solid">
          <fgColor indexed="64"/>
          <bgColor theme="5" tint="0.59999389629810485"/>
        </patternFill>
      </fill>
      <alignment vertical="top" wrapText="1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alignment vertical="top"/>
    </dxf>
    <dxf>
      <alignment wrapText="1"/>
    </dxf>
    <dxf>
      <alignment vertical="top"/>
    </dxf>
    <dxf>
      <numFmt numFmtId="166" formatCode="_(* #,##0_);_(* \(#,##0\);_(* &quot;-&quot;??_);_(@_)"/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>
          <bgColor theme="5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alignment wrapText="1"/>
    </dxf>
    <dxf>
      <alignment wrapText="1"/>
    </dxf>
    <dxf>
      <alignment vertical="top"/>
    </dxf>
    <dxf>
      <alignment vertical="top"/>
    </dxf>
    <dxf>
      <numFmt numFmtId="13" formatCode="0%"/>
    </dxf>
    <dxf>
      <alignment vertical="top"/>
    </dxf>
    <dxf>
      <alignment wrapText="1"/>
    </dxf>
    <dxf>
      <fill>
        <patternFill>
          <bgColor theme="6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7" tint="0.39997558519241921"/>
        </patternFill>
      </fill>
    </dxf>
    <dxf>
      <font>
        <color theme="1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D579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7E79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alignment wrapText="1"/>
    </dxf>
    <dxf>
      <numFmt numFmtId="3" formatCode="#,##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5" tint="0.39997558519241921"/>
        </patternFill>
      </fill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alignment wrapText="1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numFmt numFmtId="166" formatCode="_(* #,##0_);_(* \(#,##0\);_(* &quot;-&quot;??_);_(@_)"/>
    </dxf>
    <dxf>
      <numFmt numFmtId="164" formatCode="_-* #,##0_-;\-* #,##0_-;_-* &quot;-&quot;_-;_-@_-"/>
    </dxf>
    <dxf>
      <alignment vertical="top"/>
    </dxf>
    <dxf>
      <alignment vertical="top"/>
    </dxf>
    <dxf>
      <numFmt numFmtId="3" formatCode="#,##0"/>
    </dxf>
    <dxf>
      <alignment wrapText="1"/>
    </dxf>
    <dxf>
      <fill>
        <patternFill patternType="none">
          <bgColor auto="1"/>
        </patternFill>
      </fill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71" formatCode="_-* #,##0.00_-;\-* #,##0.00_-;_-* &quot;-&quot;??_-;_-@_-"/>
    </dxf>
    <dxf>
      <numFmt numFmtId="32" formatCode="_(&quot;$&quot;* #,##0_);_(&quot;$&quot;* \(#,##0\);_(&quot;$&quot;* &quot;-&quot;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ill>
        <patternFill patternType="none">
          <bgColor auto="1"/>
        </patternFill>
      </fill>
    </dxf>
    <dxf>
      <numFmt numFmtId="164" formatCode="_-* #,##0_-;\-* #,##0_-;_-* &quot;-&quot;_-;_-@_-"/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fill>
        <patternFill>
          <bgColor theme="5" tint="0.79998168889431442"/>
        </patternFill>
      </fill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numFmt numFmtId="0" formatCode="General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59999389629810485"/>
        </patternFill>
      </fill>
      <alignment vertical="top" wrapText="1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numFmt numFmtId="164" formatCode="_-* #,##0_-;\-* #,##0_-;_-* &quot;-&quot;_-;_-@_-"/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 wrapText="1"/>
    </dxf>
    <dxf>
      <fill>
        <patternFill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_-;_-@_-"/>
      <fill>
        <patternFill patternType="solid">
          <fgColor indexed="64"/>
          <bgColor theme="1" tint="0.3499862666707357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solid">
          <fgColor indexed="64"/>
          <bgColor theme="1" tint="0.34998626667073579"/>
        </patternFill>
      </fill>
    </dxf>
    <dxf>
      <fill>
        <patternFill patternType="solid">
          <fgColor indexed="64"/>
          <bgColor theme="1" tint="0.34998626667073579"/>
        </patternFill>
      </fill>
    </dxf>
    <dxf>
      <font>
        <i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i/>
      </font>
    </dxf>
    <dxf>
      <numFmt numFmtId="13" formatCode="0%"/>
    </dxf>
    <dxf>
      <fill>
        <patternFill patternType="solid">
          <fgColor indexed="64"/>
          <bgColor theme="1" tint="0.34998626667073579"/>
        </patternFill>
      </fill>
    </dxf>
    <dxf>
      <font>
        <i/>
      </font>
    </dxf>
    <dxf>
      <numFmt numFmtId="13" formatCode="0%"/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alignment vertical="top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64" formatCode="_-* #,##0_-;\-* #,##0_-;_-* &quot;-&quot;_-;_-@_-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/>
    </dxf>
    <dxf>
      <fill>
        <patternFill patternType="none">
          <bgColor auto="1"/>
        </patternFill>
      </fill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" formatCode="#,##0"/>
    </dxf>
    <dxf>
      <alignment vertical="top" wrapText="1"/>
    </dxf>
    <dxf>
      <alignment vertical="top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numFmt numFmtId="13" formatCode="0%"/>
    </dxf>
    <dxf>
      <alignment vertical="top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3" formatCode="#,##0"/>
    </dxf>
    <dxf>
      <alignment vertical="top"/>
    </dxf>
    <dxf>
      <alignment vertical="top"/>
    </dxf>
    <dxf>
      <alignment wrapText="1"/>
    </dxf>
    <dxf>
      <alignment wrapText="1"/>
    </dxf>
    <dxf>
      <numFmt numFmtId="166" formatCode="_(* #,##0_);_(* \(#,##0\);_(* &quot;-&quot;??_);_(@_)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wrapText="1"/>
    </dxf>
    <dxf>
      <alignment wrapText="1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alignment vertical="top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64" formatCode="_-* #,##0_-;\-* #,##0_-;_-* &quot;-&quot;_-;_-@_-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top"/>
    </dxf>
    <dxf>
      <fill>
        <patternFill patternType="none">
          <bgColor auto="1"/>
        </patternFill>
      </fill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" formatCode="#,##0"/>
    </dxf>
    <dxf>
      <alignment vertical="top" wrapText="1"/>
    </dxf>
    <dxf>
      <alignment vertical="top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6"/>
      </font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alignment vertical="top"/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vertical="top"/>
    </dxf>
    <dxf>
      <alignment horizontal="left"/>
    </dxf>
    <dxf>
      <fill>
        <patternFill patternType="none">
          <bgColor auto="1"/>
        </patternFill>
      </fill>
    </dxf>
    <dxf>
      <numFmt numFmtId="3" formatCode="#,##0"/>
    </dxf>
    <dxf>
      <alignment vertical="top" wrapText="1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fill>
        <patternFill patternType="solid">
          <bgColor theme="5" tint="0.39997558519241921"/>
        </patternFill>
      </fill>
    </dxf>
    <dxf>
      <alignment wrapText="0"/>
    </dxf>
    <dxf>
      <alignment vertical="top"/>
    </dxf>
    <dxf>
      <alignment vertical="top"/>
    </dxf>
    <dxf>
      <numFmt numFmtId="172" formatCode="#,##0;\-#,##0"/>
    </dxf>
    <dxf>
      <numFmt numFmtId="3" formatCode="#,##0"/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fill>
        <patternFill>
          <bgColor theme="6"/>
        </patternFill>
      </fill>
    </dxf>
    <dxf>
      <fill>
        <patternFill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numFmt numFmtId="13" formatCode="0%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numFmt numFmtId="171" formatCode="_-* #,##0.00_-;\-* #,##0.00_-;_-* &quot;-&quot;??_-;_-@_-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3" formatCode="#,##0"/>
    </dxf>
    <dxf>
      <alignment vertical="top"/>
    </dxf>
    <dxf>
      <alignment vertical="top"/>
    </dxf>
    <dxf>
      <alignment vertical="top" wrapText="1"/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alignment vertical="top" wrapText="1"/>
    </dxf>
    <dxf>
      <alignment vertical="top" wrapText="1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vertical="top" wrapText="1"/>
    </dxf>
    <dxf>
      <numFmt numFmtId="3" formatCode="#,##0"/>
    </dxf>
    <dxf>
      <numFmt numFmtId="3" formatCode="#,##0"/>
    </dxf>
    <dxf>
      <numFmt numFmtId="164" formatCode="_-* #,##0_-;\-* #,##0_-;_-* &quot;-&quot;_-;_-@_-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vertical="top" wrapText="1"/>
    </dxf>
    <dxf>
      <font>
        <i/>
      </font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vertical="top"/>
    </dxf>
    <dxf>
      <numFmt numFmtId="166" formatCode="_(* #,##0_);_(* \(#,##0\);_(* &quot;-&quot;??_);_(@_)"/>
    </dxf>
    <dxf>
      <alignment wrapText="1"/>
    </dxf>
    <dxf>
      <alignment wrapText="1"/>
    </dxf>
    <dxf>
      <alignment vertical="top"/>
    </dxf>
    <dxf>
      <alignment wrapText="1"/>
    </dxf>
    <dxf>
      <alignment wrapText="1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top"/>
    </dxf>
    <dxf>
      <alignment vertical="top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</dxfs>
  <tableStyles count="0" defaultTableStyle="TableStyleMedium2" defaultPivotStyle="PivotStyleLight16"/>
  <colors>
    <mruColors>
      <color rgb="FFFFD579"/>
      <color rgb="FFFFFC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CEA1C8EC-2AC3-FA41-AA63-F180BF559C33}">
    <Anchor>
      <Comment id="{167C23C6-94EE-2B40-AE15-6934A57B71CE}"/>
    </Anchor>
    <History>
      <Event time="2025-02-11T06:08:43.65" id="{E27C542A-4340-B54B-A41E-C825BA140158}">
        <Attribution userId="S::fado@rideblitz.com::2911e388-3f0f-49df-9027-e551756507de" userName="Fado Ganinduto" userProvider="AD"/>
        <Anchor>
          <Comment id="{167C23C6-94EE-2B40-AE15-6934A57B71CE}"/>
        </Anchor>
        <Create/>
      </Event>
      <Event time="2025-02-11T06:08:43.65" id="{69925EA1-9CC3-884C-BB30-6EFC00502845}">
        <Attribution userId="S::fado@rideblitz.com::2911e388-3f0f-49df-9027-e551756507de" userName="Fado Ganinduto" userProvider="AD"/>
        <Anchor>
          <Comment id="{167C23C6-94EE-2B40-AE15-6934A57B71CE}"/>
        </Anchor>
        <Assign userId="S::wevi@rideblitz.com::07b114e8-8d4a-46cf-9bd7-1155a153e838" userName="Wevi Yolasari Sitanggang" userProvider="AD"/>
      </Event>
      <Event time="2025-02-11T06:08:43.65" id="{A12D9FCC-775B-8D4F-A45C-B875DB81EAEF}">
        <Attribution userId="S::fado@rideblitz.com::2911e388-3f0f-49df-9027-e551756507de" userName="Fado Ganinduto" userProvider="AD"/>
        <Anchor>
          <Comment id="{167C23C6-94EE-2B40-AE15-6934A57B71CE}"/>
        </Anchor>
        <SetTitle title="@Wevi Yolasari Sitanggang untuk Kopi pas Kantong, 23% juga ya profit sharing nya? cc @Charles @Theo Pattipeiluhu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55</xdr:row>
      <xdr:rowOff>0</xdr:rowOff>
    </xdr:from>
    <xdr:to>
      <xdr:col>24</xdr:col>
      <xdr:colOff>304800</xdr:colOff>
      <xdr:row>56</xdr:row>
      <xdr:rowOff>104770</xdr:rowOff>
    </xdr:to>
    <xdr:sp macro="" textlink="">
      <xdr:nvSpPr>
        <xdr:cNvPr id="10242" name="AutoShape 2" descr="Feishu Docs - Image">
          <a:extLst>
            <a:ext uri="{FF2B5EF4-FFF2-40B4-BE49-F238E27FC236}">
              <a16:creationId xmlns:a16="http://schemas.microsoft.com/office/drawing/2014/main" id="{3740188D-0054-AE73-5015-A0CBFC8758F4}"/>
            </a:ext>
          </a:extLst>
        </xdr:cNvPr>
        <xdr:cNvSpPr>
          <a:spLocks noChangeAspect="1" noChangeArrowheads="1"/>
        </xdr:cNvSpPr>
      </xdr:nvSpPr>
      <xdr:spPr bwMode="auto">
        <a:xfrm>
          <a:off x="14859000" y="107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304800</xdr:colOff>
      <xdr:row>48</xdr:row>
      <xdr:rowOff>81287</xdr:rowOff>
    </xdr:to>
    <xdr:sp macro="" textlink="">
      <xdr:nvSpPr>
        <xdr:cNvPr id="10243" name="AutoShape 3" descr="Feishu Docs - Image">
          <a:extLst>
            <a:ext uri="{FF2B5EF4-FFF2-40B4-BE49-F238E27FC236}">
              <a16:creationId xmlns:a16="http://schemas.microsoft.com/office/drawing/2014/main" id="{FA4EBAA8-7619-AD86-A70A-2F7AF506925C}"/>
            </a:ext>
          </a:extLst>
        </xdr:cNvPr>
        <xdr:cNvSpPr>
          <a:spLocks noChangeAspect="1" noChangeArrowheads="1"/>
        </xdr:cNvSpPr>
      </xdr:nvSpPr>
      <xdr:spPr bwMode="auto">
        <a:xfrm>
          <a:off x="129032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610658</xdr:colOff>
      <xdr:row>110</xdr:row>
      <xdr:rowOff>137583</xdr:rowOff>
    </xdr:from>
    <xdr:to>
      <xdr:col>70</xdr:col>
      <xdr:colOff>429263</xdr:colOff>
      <xdr:row>120</xdr:row>
      <xdr:rowOff>1377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97642FF5-CF76-84DC-D16D-867BD18FB712}"/>
            </a:ext>
            <a:ext uri="{147F2762-F138-4A5C-976F-8EAC2B608ADB}">
              <a16:predDERef xmlns:a16="http://schemas.microsoft.com/office/drawing/2014/main" pred="{FA4EBAA8-7619-AD86-A70A-2F7AF506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5058" y="22438783"/>
          <a:ext cx="6990423" cy="2385769"/>
        </a:xfrm>
        <a:prstGeom prst="rect">
          <a:avLst/>
        </a:prstGeom>
      </xdr:spPr>
    </xdr:pic>
    <xdr:clientData/>
  </xdr:twoCellAnchor>
  <xdr:oneCellAnchor>
    <xdr:from>
      <xdr:col>87</xdr:col>
      <xdr:colOff>0</xdr:colOff>
      <xdr:row>43</xdr:row>
      <xdr:rowOff>0</xdr:rowOff>
    </xdr:from>
    <xdr:ext cx="304800" cy="304800"/>
    <xdr:sp macro="" textlink="">
      <xdr:nvSpPr>
        <xdr:cNvPr id="3" name="AutoShape 2" descr="Feishu Docs - Image">
          <a:extLst>
            <a:ext uri="{FF2B5EF4-FFF2-40B4-BE49-F238E27FC236}">
              <a16:creationId xmlns:a16="http://schemas.microsoft.com/office/drawing/2014/main" id="{49ACA581-D438-4D4E-AED8-B16387209C26}"/>
            </a:ext>
          </a:extLst>
        </xdr:cNvPr>
        <xdr:cNvSpPr>
          <a:spLocks noChangeAspect="1" noChangeArrowheads="1"/>
        </xdr:cNvSpPr>
      </xdr:nvSpPr>
      <xdr:spPr bwMode="auto">
        <a:xfrm>
          <a:off x="14871700" y="92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85</xdr:col>
      <xdr:colOff>0</xdr:colOff>
      <xdr:row>35</xdr:row>
      <xdr:rowOff>0</xdr:rowOff>
    </xdr:from>
    <xdr:ext cx="304800" cy="304801"/>
    <xdr:sp macro="" textlink="">
      <xdr:nvSpPr>
        <xdr:cNvPr id="4" name="AutoShape 3" descr="Feishu Docs - Image">
          <a:extLst>
            <a:ext uri="{FF2B5EF4-FFF2-40B4-BE49-F238E27FC236}">
              <a16:creationId xmlns:a16="http://schemas.microsoft.com/office/drawing/2014/main" id="{1907957D-5EBC-7648-BA53-F8FAB0A1BA51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7327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29</xdr:col>
      <xdr:colOff>0</xdr:colOff>
      <xdr:row>43</xdr:row>
      <xdr:rowOff>0</xdr:rowOff>
    </xdr:from>
    <xdr:to>
      <xdr:col>29</xdr:col>
      <xdr:colOff>304800</xdr:colOff>
      <xdr:row>44</xdr:row>
      <xdr:rowOff>78324</xdr:rowOff>
    </xdr:to>
    <xdr:sp macro="" textlink="">
      <xdr:nvSpPr>
        <xdr:cNvPr id="1025" name="AutoShape 1" descr="Feishu Docs - Image">
          <a:extLst>
            <a:ext uri="{FF2B5EF4-FFF2-40B4-BE49-F238E27FC236}">
              <a16:creationId xmlns:a16="http://schemas.microsoft.com/office/drawing/2014/main" id="{A0345AE0-56DD-0AA3-71D4-0E178D0493AE}"/>
            </a:ext>
          </a:extLst>
        </xdr:cNvPr>
        <xdr:cNvSpPr>
          <a:spLocks noChangeAspect="1" noChangeArrowheads="1"/>
        </xdr:cNvSpPr>
      </xdr:nvSpPr>
      <xdr:spPr bwMode="auto">
        <a:xfrm>
          <a:off x="17589500" y="69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304800</xdr:colOff>
      <xdr:row>35</xdr:row>
      <xdr:rowOff>122401</xdr:rowOff>
    </xdr:to>
    <xdr:sp macro="" textlink="">
      <xdr:nvSpPr>
        <xdr:cNvPr id="1026" name="AutoShape 2" descr="Feishu Docs - Image">
          <a:extLst>
            <a:ext uri="{FF2B5EF4-FFF2-40B4-BE49-F238E27FC236}">
              <a16:creationId xmlns:a16="http://schemas.microsoft.com/office/drawing/2014/main" id="{F031D9FA-D690-2AB3-D3F2-C64C473FF9CF}"/>
            </a:ext>
          </a:extLst>
        </xdr:cNvPr>
        <xdr:cNvSpPr>
          <a:spLocks noChangeAspect="1" noChangeArrowheads="1"/>
        </xdr:cNvSpPr>
      </xdr:nvSpPr>
      <xdr:spPr bwMode="auto">
        <a:xfrm>
          <a:off x="1856740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177</xdr:col>
      <xdr:colOff>0</xdr:colOff>
      <xdr:row>15</xdr:row>
      <xdr:rowOff>0</xdr:rowOff>
    </xdr:from>
    <xdr:ext cx="304800" cy="288832"/>
    <xdr:sp macro="" textlink="">
      <xdr:nvSpPr>
        <xdr:cNvPr id="7" name="AutoShape 2" descr="Feishu Docs - Image">
          <a:extLst>
            <a:ext uri="{FF2B5EF4-FFF2-40B4-BE49-F238E27FC236}">
              <a16:creationId xmlns:a16="http://schemas.microsoft.com/office/drawing/2014/main" id="{D81E10E9-50E0-4F42-87DA-EEA492C3878B}"/>
            </a:ext>
          </a:extLst>
        </xdr:cNvPr>
        <xdr:cNvSpPr>
          <a:spLocks noChangeAspect="1" noChangeArrowheads="1"/>
        </xdr:cNvSpPr>
      </xdr:nvSpPr>
      <xdr:spPr bwMode="auto">
        <a:xfrm>
          <a:off x="22712754" y="10104783"/>
          <a:ext cx="304800" cy="288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175</xdr:col>
      <xdr:colOff>0</xdr:colOff>
      <xdr:row>7</xdr:row>
      <xdr:rowOff>0</xdr:rowOff>
    </xdr:from>
    <xdr:ext cx="304800" cy="265347"/>
    <xdr:sp macro="" textlink="">
      <xdr:nvSpPr>
        <xdr:cNvPr id="8" name="AutoShape 3" descr="Feishu Docs - Image">
          <a:extLst>
            <a:ext uri="{FF2B5EF4-FFF2-40B4-BE49-F238E27FC236}">
              <a16:creationId xmlns:a16="http://schemas.microsoft.com/office/drawing/2014/main" id="{B2706628-3621-3145-9FA5-556D93A83DA9}"/>
            </a:ext>
          </a:extLst>
        </xdr:cNvPr>
        <xdr:cNvSpPr>
          <a:spLocks noChangeAspect="1" noChangeArrowheads="1"/>
        </xdr:cNvSpPr>
      </xdr:nvSpPr>
      <xdr:spPr bwMode="auto">
        <a:xfrm>
          <a:off x="20872174" y="8632319"/>
          <a:ext cx="304800" cy="265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182</xdr:col>
      <xdr:colOff>0</xdr:colOff>
      <xdr:row>3</xdr:row>
      <xdr:rowOff>0</xdr:rowOff>
    </xdr:from>
    <xdr:ext cx="304800" cy="273790"/>
    <xdr:sp macro="" textlink="">
      <xdr:nvSpPr>
        <xdr:cNvPr id="9" name="AutoShape 1" descr="Feishu Docs - Image">
          <a:extLst>
            <a:ext uri="{FF2B5EF4-FFF2-40B4-BE49-F238E27FC236}">
              <a16:creationId xmlns:a16="http://schemas.microsoft.com/office/drawing/2014/main" id="{9877B4DC-87FC-1F47-BDA4-02BC77F9C317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7785652"/>
          <a:ext cx="304800" cy="273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36</xdr:row>
      <xdr:rowOff>0</xdr:rowOff>
    </xdr:from>
    <xdr:to>
      <xdr:col>9</xdr:col>
      <xdr:colOff>304800</xdr:colOff>
      <xdr:row>37</xdr:row>
      <xdr:rowOff>122399</xdr:rowOff>
    </xdr:to>
    <xdr:sp macro="" textlink="">
      <xdr:nvSpPr>
        <xdr:cNvPr id="2" name="AutoShape 2" descr="Feishu Docs - Image">
          <a:extLst>
            <a:ext uri="{FF2B5EF4-FFF2-40B4-BE49-F238E27FC236}">
              <a16:creationId xmlns:a16="http://schemas.microsoft.com/office/drawing/2014/main" id="{3F5BF30F-E426-4C4D-AD91-94809351EFF2}"/>
            </a:ext>
          </a:extLst>
        </xdr:cNvPr>
        <xdr:cNvSpPr>
          <a:spLocks noChangeAspect="1" noChangeArrowheads="1"/>
        </xdr:cNvSpPr>
      </xdr:nvSpPr>
      <xdr:spPr bwMode="auto">
        <a:xfrm>
          <a:off x="26289000" y="7839075"/>
          <a:ext cx="304800" cy="31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34</xdr:row>
      <xdr:rowOff>0</xdr:rowOff>
    </xdr:from>
    <xdr:to>
      <xdr:col>11</xdr:col>
      <xdr:colOff>304800</xdr:colOff>
      <xdr:row>35</xdr:row>
      <xdr:rowOff>122405</xdr:rowOff>
    </xdr:to>
    <xdr:sp macro="" textlink="">
      <xdr:nvSpPr>
        <xdr:cNvPr id="2" name="AutoShape 2" descr="Feishu Docs - Image">
          <a:extLst>
            <a:ext uri="{FF2B5EF4-FFF2-40B4-BE49-F238E27FC236}">
              <a16:creationId xmlns:a16="http://schemas.microsoft.com/office/drawing/2014/main" id="{4EAEF808-AE9E-894D-AAF2-EBCB16EF95DD}"/>
            </a:ext>
          </a:extLst>
        </xdr:cNvPr>
        <xdr:cNvSpPr>
          <a:spLocks noChangeAspect="1" noChangeArrowheads="1"/>
        </xdr:cNvSpPr>
      </xdr:nvSpPr>
      <xdr:spPr bwMode="auto">
        <a:xfrm>
          <a:off x="29070300" y="7556500"/>
          <a:ext cx="304800" cy="31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32</xdr:row>
      <xdr:rowOff>0</xdr:rowOff>
    </xdr:from>
    <xdr:to>
      <xdr:col>28</xdr:col>
      <xdr:colOff>304800</xdr:colOff>
      <xdr:row>33</xdr:row>
      <xdr:rowOff>122399</xdr:rowOff>
    </xdr:to>
    <xdr:sp macro="" textlink="">
      <xdr:nvSpPr>
        <xdr:cNvPr id="3" name="AutoShape 2" descr="Feishu Docs - Image">
          <a:extLst>
            <a:ext uri="{FF2B5EF4-FFF2-40B4-BE49-F238E27FC236}">
              <a16:creationId xmlns:a16="http://schemas.microsoft.com/office/drawing/2014/main" id="{F397A0D5-A186-47F7-9178-DF5808293AFD}"/>
            </a:ext>
            <a:ext uri="{147F2762-F138-4A5C-976F-8EAC2B608ADB}">
              <a16:predDERef xmlns:a16="http://schemas.microsoft.com/office/drawing/2014/main" pred="{4EAEF808-AE9E-894D-AAF2-EBCB16EF95DD}"/>
            </a:ext>
          </a:extLst>
        </xdr:cNvPr>
        <xdr:cNvSpPr>
          <a:spLocks noChangeAspect="1" noChangeArrowheads="1"/>
        </xdr:cNvSpPr>
      </xdr:nvSpPr>
      <xdr:spPr bwMode="auto">
        <a:xfrm>
          <a:off x="27070050" y="7534275"/>
          <a:ext cx="304800" cy="31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D14807D-B885-485D-906E-B147D3B11DA0}">
    <nsvFilter filterId="{10454C85-67F7-1442-A9C0-0C4FB1B60FFD}" ref="A1:AK726" tableId="5">
      <columnFilter colId="9" id="{42FA5F4A-B9A7-0B41-931C-A5A1856EA907}">
        <filter colId="9">
          <x:filters>
            <x:filter val="2-8 Mar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Wevi Yolasari Sitanggang" id="{DC70F91C-2EC3-774D-822D-AEC37F022D3C}" userId="wevi@rideblitz.com" providerId="PeoplePicker"/>
  <person displayName="Charles" id="{6367F323-4273-724E-827B-D8480EFF33F7}" userId="charles@rideblitz.com" providerId="PeoplePicker"/>
  <person displayName="Theo Pattipeiluhu" id="{00C0C291-D7D0-664A-A24B-0F6FA7080D25}" userId="theo.ops@rideblitz.com" providerId="PeoplePicker"/>
  <person displayName="Fado Ganinduto" id="{F3E8D733-06A0-8942-92E8-88B53C45031E}" userId="S::fado@rideblitz.com::2911e388-3f0f-49df-9027-e551756507de" providerId="AD"/>
  <person displayName="Intern" id="{0BE983EB-D98B-412D-9B54-9878D949664B}" userId="S::intern@rideblitz.com::01e47997-44ff-488e-b60f-762ee470dfb5" providerId="AD"/>
  <person displayName="Charles" id="{1B7269D0-4579-46EF-9021-5BA95B5B2960}" userId="S::charles@rideblitz.com::448dbaa8-6a24-4c31-8cfa-7dd628d4b1a7" providerId="AD"/>
  <person displayName="Theo Pattipeiluhu" id="{EEC76CA4-C51E-114C-928C-D5B33F6D8B58}" userId="S::theo.ops@rideblitz.com::4f6f2301-42e0-407c-b8bd-50c9fd9788d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fado Ganinduto" refreshedDate="46128.67603923611" createdVersion="8" refreshedVersion="8" minRefreshableVersion="3" recordCount="720" xr:uid="{F8D2C7BF-6483-DD4D-8325-94B00721BA28}">
  <cacheSource type="worksheet">
    <worksheetSource name="Table5"/>
  </cacheSource>
  <cacheFields count="48">
    <cacheField name="Year" numFmtId="0">
      <sharedItems containsSemiMixedTypes="0" containsString="0" containsNumber="1" containsInteger="1" minValue="2024" maxValue="2026" count="3">
        <n v="2025"/>
        <n v="2024"/>
        <n v="2026"/>
      </sharedItems>
    </cacheField>
    <cacheField name="Client Name" numFmtId="0">
      <sharedItems containsBlank="1" count="19">
        <s v="KSJ"/>
        <s v="Chocoa"/>
        <s v="Hanja Coffee"/>
        <s v="Surplus"/>
        <s v="JoyDay"/>
        <s v="Sedjawat"/>
        <s v="Kopi Pas Kantong"/>
        <s v="Hehe"/>
        <s v="Jus Dong"/>
        <s v="Go Kopi"/>
        <s v="Prenjak"/>
        <s v="Kang Eskrim"/>
        <s v="Sejagad"/>
        <s v="Oi Shusi"/>
        <s v="Zeger Coffee"/>
        <s v="Yumisum"/>
        <s v="Nemu Coffee"/>
        <s v="Yage"/>
        <m u="1"/>
      </sharedItems>
    </cacheField>
    <cacheField name="Project" numFmtId="0">
      <sharedItems containsBlank="1" count="25">
        <s v="KSJ"/>
        <s v="KSJ Bandung"/>
        <s v="Chocoa"/>
        <s v="Hanja Coffee"/>
        <s v="Surplus"/>
        <s v="JoyDay"/>
        <s v="Sedjawat"/>
        <s v="Kopi Pas Kantong"/>
        <s v="Hehe"/>
        <s v="KSJ Surabaya"/>
        <s v="KSJ Semarang"/>
        <s v="Joyday Jombang"/>
        <s v="Jus Dong"/>
        <s v="Go Kopi"/>
        <s v="Prenjak"/>
        <s v="Kang Eskrim"/>
        <s v="Sejagad"/>
        <s v="Oi Shusi"/>
        <s v="Zeger Coffee"/>
        <s v="Joyday Surabaya"/>
        <s v="Yumisum"/>
        <s v="KSJ Cart Surabaya"/>
        <s v="Nemu Coffee"/>
        <s v="Yage"/>
        <m u="1"/>
      </sharedItems>
    </cacheField>
    <cacheField name="Client Level" numFmtId="0">
      <sharedItems containsBlank="1" count="3">
        <s v="Enterprise"/>
        <s v="UMKM"/>
        <m u="1"/>
      </sharedItems>
    </cacheField>
    <cacheField name="Blitz Team" numFmtId="0">
      <sharedItems containsBlank="1" count="3">
        <s v="Jakarta"/>
        <s v="Surabaya"/>
        <m u="1"/>
      </sharedItems>
    </cacheField>
    <cacheField name="Client Location" numFmtId="0">
      <sharedItems containsBlank="1" count="7">
        <s v="Jabodetabek"/>
        <s v="Bandung"/>
        <s v="Jakarta"/>
        <s v="Surabaya"/>
        <s v="Semarang"/>
        <s v="Jombang"/>
        <m u="1"/>
      </sharedItems>
    </cacheField>
    <cacheField name="Week (by Year)" numFmtId="0">
      <sharedItems containsBlank="1" containsMixedTypes="1" containsNumber="1" containsInteger="1" minValue="1" maxValue="152026" count="72">
        <n v="7"/>
        <n v="6"/>
        <n v="5"/>
        <n v="4"/>
        <n v="3"/>
        <n v="2"/>
        <n v="1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6"/>
        <n v="37"/>
        <n v="39"/>
        <n v="38"/>
        <n v="35"/>
        <n v="34"/>
        <n v="33"/>
        <n v="32"/>
        <n v="8"/>
        <n v="9"/>
        <n v="10"/>
        <n v="11"/>
        <n v="12"/>
        <n v="13"/>
        <n v="14"/>
        <n v="15"/>
        <m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12026"/>
        <n v="22026"/>
        <n v="32026"/>
        <n v="42026"/>
        <n v="52026"/>
        <n v="62026"/>
        <n v="72026"/>
        <n v="82026"/>
        <n v="92026"/>
        <n v="102026"/>
        <n v="112026"/>
        <n v="122026"/>
        <n v="132026"/>
        <n v="142026"/>
        <n v="152026"/>
        <s v="Diff W13%" f="1"/>
        <s v="Diff W14%" f="1"/>
        <s v="Diff W15%" f="1"/>
      </sharedItems>
    </cacheField>
    <cacheField name="Month" numFmtId="0">
      <sharedItems containsBlank="1" count="19">
        <s v="February"/>
        <s v="January"/>
        <s v="December"/>
        <s v="November"/>
        <s v="October"/>
        <s v="September"/>
        <s v="August"/>
        <s v="March"/>
        <s v="April"/>
        <s v="July"/>
        <s v="June"/>
        <s v="May"/>
        <m u="1"/>
        <s v="Apr" u="1"/>
        <s v="Mar" u="1"/>
        <s v="Feb" u="1"/>
        <s v="Jan" u="1"/>
        <s v="Mei" u="1"/>
        <s v="April " u="1"/>
      </sharedItems>
    </cacheField>
    <cacheField name="Week (by Month)" numFmtId="0">
      <sharedItems containsBlank="1" count="7">
        <s v="Week 3"/>
        <s v="Week 2"/>
        <s v="Week 1"/>
        <s v="Week 5"/>
        <s v="Week 4"/>
        <m/>
        <s v="Week 6" u="1"/>
      </sharedItems>
    </cacheField>
    <cacheField name="Date Range" numFmtId="0">
      <sharedItems containsDate="1" containsBlank="1" containsMixedTypes="1" minDate="2025-02-01T00:00:00" maxDate="2026-03-02T00:00:00" count="126">
        <s v="9-15 Feb"/>
        <s v="2-8 Feb"/>
        <s v="3-8 Feb"/>
        <s v="27-2 Feb"/>
        <s v="26-31 Jan"/>
        <d v="2025-02-01T00:00:00"/>
        <s v="20-26 Jan"/>
        <s v="19-25 Jan"/>
        <s v="13-19 Jan"/>
        <s v="12-18 Jan "/>
        <s v="6-12 Jan"/>
        <s v="5-11 Jan"/>
        <s v="29-4 Jan"/>
        <s v="29-31 Dec"/>
        <s v="1-4 Jan"/>
        <s v="22-28 Dec"/>
        <s v="15-21 Dec"/>
        <s v="8-14 Dec"/>
        <s v="1-7 Dec"/>
        <s v="24-30 Nov"/>
        <s v="17-23 Nov"/>
        <s v="10-16 Nov"/>
        <s v="3-9 Nov"/>
        <s v="27-2 Nov"/>
        <s v="20-26 Oct"/>
        <s v="20- 26 Oct"/>
        <s v="13-19 Oct"/>
        <s v="6-12 Oct"/>
        <s v="6- 12 Oct"/>
        <s v="29-5 Oct"/>
        <s v="1-7 Sep"/>
        <s v="8-14 Sep"/>
        <s v="22-28 Sep"/>
        <s v="22- 28 Sept"/>
        <s v="15-21 Sep"/>
        <s v="15-21 Sept"/>
        <s v="8- 14 Sept"/>
        <s v="25-31 Aug"/>
        <s v="18-24 Aug"/>
        <s v="25- 31 Aug"/>
        <s v="11-17 Aug"/>
        <s v="4-10 Aug"/>
        <s v="16-22 Feb"/>
        <s v="26-1 Feb "/>
        <s v="23-28 Feb"/>
        <d v="2025-03-01T00:00:00"/>
        <s v="23-1 Mar"/>
        <s v="2-8 Mar"/>
        <s v="9-15 Mar"/>
        <s v="16-22 Mar"/>
        <s v="23-25 Mar"/>
        <s v="23-29 Mar"/>
        <s v="30-31 Mar"/>
        <s v="1-5 Apr"/>
        <s v="26-31 Mar"/>
        <s v="26-5 Apr"/>
        <s v="6-12 Apr"/>
        <s v="28 Jul-03 Aug"/>
        <s v="21-27 Jul"/>
        <s v="14-20 Jul"/>
        <s v="7-13 Jul"/>
        <s v="30 Jun-6 Jul"/>
        <s v="23-29 Jun"/>
        <s v="16-22 Jun"/>
        <s v="9-15 Jun"/>
        <s v="2-8 Jun"/>
        <s v="26 May-01 Jun"/>
        <s v="19-25 May"/>
        <s v="12-18 May"/>
        <s v="5-11 May"/>
        <s v="26 Apr-4 May"/>
        <s v="21-25 Apr"/>
        <s v="13-19 Apr"/>
        <s v="14-20 Apr"/>
        <s v="7-13 Apr"/>
        <s v="31 Mar-6 Apr"/>
        <s v="24-30 Mar"/>
        <s v="17-23 Mar"/>
        <s v="10-16 Mar"/>
        <s v="3-9 Mar"/>
        <s v="25 Feb-2 Mar"/>
        <s v="18-24 Feb"/>
        <s v="11-17 Feb"/>
        <s v="4-10 Feb"/>
        <s v="28 Jan-3 Feb"/>
        <s v="21-27 Jan"/>
        <s v="20-26 Apr"/>
        <s v="27-30 Apr"/>
        <s v="1-4 Mei"/>
        <s v="26-3 Mei"/>
        <s v="27-3 Mei"/>
        <s v="5-11 Mei"/>
        <s v="4-11 Mei"/>
        <s v="4-10 Mei"/>
        <s v="12-18 Mei"/>
        <s v="11-17 Mei"/>
        <s v="19-25 Mei"/>
        <s v="18-24 Mei"/>
        <s v="26-31 Mei"/>
        <d v="2025-06-01T00:00:00"/>
        <s v="26-1 Jun"/>
        <s v="23-29Jun"/>
        <d v="2025-06-30T00:00:00"/>
        <s v="1-6 Jul"/>
        <s v="7-13Jul"/>
        <s v="28-31 Jul"/>
        <s v="1-3 Aug"/>
        <s v="1- 7 Sep"/>
        <s v="29-30 Sep"/>
        <s v="1-5 Oct"/>
        <s v="27-31 Oct"/>
        <s v="1-2 Nov"/>
        <s v="1-7 Des"/>
        <s v="8-14 Des"/>
        <s v="15-21 Des"/>
        <s v="22-28 Des"/>
        <s v="29-31 Des"/>
        <s v="12-18 Jan"/>
        <d v="2026-02-01T00:00:00"/>
        <d v="2026-03-01T00:00:00"/>
        <s v="15-22 Mar"/>
        <m u="1"/>
        <s v="5-21 Des" u="1"/>
        <s v="1- 7 Sept" u="1"/>
        <s v="18-17 Aug" u="1"/>
        <s v="30-6 Jul" u="1"/>
      </sharedItems>
    </cacheField>
    <cacheField name="Total Active Riders" numFmtId="0">
      <sharedItems containsSemiMixedTypes="0" containsDate="1" containsString="0" containsMixedTypes="1" minDate="1899-12-31T00:00:00" maxDate="1900-01-03T09:55:04"/>
    </cacheField>
    <cacheField name="Total Cups Sold" numFmtId="0">
      <sharedItems containsSemiMixedTypes="0" containsString="0" containsNumber="1" containsInteger="1" minValue="2" maxValue="90194"/>
    </cacheField>
    <cacheField name="Total Selling (Clients Revenue)" numFmtId="0">
      <sharedItems containsString="0" containsBlank="1" containsNumber="1" minValue="0" maxValue="788438000"/>
    </cacheField>
    <cacheField name="Total Selling Comission/Sales (Weekly)" numFmtId="0">
      <sharedItems containsSemiMixedTypes="0" containsString="0" containsNumber="1" minValue="0" maxValue="90190000"/>
    </cacheField>
    <cacheField name="Total Daily Incentive (Weekly)" numFmtId="0">
      <sharedItems containsSemiMixedTypes="0" containsString="0" containsNumber="1" minValue="0" maxValue="70025000"/>
    </cacheField>
    <cacheField name="Total 26 Days Attendance Bonus (Monthly)" numFmtId="0">
      <sharedItems containsString="0" containsBlank="1" containsNumber="1" minValue="0" maxValue="55500000"/>
    </cacheField>
    <cacheField name="Referral" numFmtId="0">
      <sharedItems containsString="0" containsBlank="1" containsNumber="1" minValue="0" maxValue="2200000"/>
    </cacheField>
    <cacheField name="Total Selling 20Mio Bonus (Monthly)" numFmtId="0">
      <sharedItems containsBlank="1" containsMixedTypes="1" containsNumber="1" minValue="0" maxValue="6600000"/>
    </cacheField>
    <cacheField name="Bonus+Beras" numFmtId="0">
      <sharedItems containsString="0" containsBlank="1" containsNumber="1" containsInteger="1" minValue="0" maxValue="440000"/>
    </cacheField>
    <cacheField name="Total Income Sales (Weekly)" numFmtId="0">
      <sharedItems containsSemiMixedTypes="0" containsString="0" containsNumber="1" minValue="0" maxValue="200928500"/>
    </cacheField>
    <cacheField name="Manpower (Korlap)" numFmtId="0">
      <sharedItems containsString="0" containsBlank="1" containsNumber="1" minValue="0" maxValue="5875000"/>
    </cacheField>
    <cacheField name="Total Cost Molis (Weekly)" numFmtId="0">
      <sharedItems containsString="0" containsBlank="1" containsNumber="1" minValue="0" maxValue="69930000"/>
    </cacheField>
    <cacheField name="Cost Claim" numFmtId="0">
      <sharedItems containsString="0" containsBlank="1" containsNumber="1" minValue="0" maxValue="894993.68064082542"/>
    </cacheField>
    <cacheField name="Storing Cost" numFmtId="0">
      <sharedItems containsString="0" containsBlank="1" containsNumber="1" minValue="0" maxValue="844445"/>
    </cacheField>
    <cacheField name="Total Operational Cost" numFmtId="0">
      <sharedItems containsSemiMixedTypes="0" containsString="0" containsNumber="1" minValue="0" maxValue="71225600"/>
    </cacheField>
    <cacheField name="Total Revenue Sharing % (Weekly)" numFmtId="0">
      <sharedItems containsSemiMixedTypes="0" containsString="0" containsNumber="1" minValue="0" maxValue="198374280"/>
    </cacheField>
    <cacheField name="Total Potongan Molis (Weekly) " numFmtId="0">
      <sharedItems containsString="0" containsBlank="1" containsNumber="1" minValue="0" maxValue="46675000"/>
    </cacheField>
    <cacheField name="Total Subsidi Molis KSJ (Monthly)" numFmtId="0">
      <sharedItems containsString="0" containsBlank="1" containsNumber="1" minValue="0" maxValue="35927999.625"/>
    </cacheField>
    <cacheField name="Biaya Registrasi" numFmtId="0">
      <sharedItems containsString="0" containsBlank="1" containsNumber="1" minValue="0" maxValue="2725000"/>
    </cacheField>
    <cacheField name="Rider Penalty (Claim, Other Denda to Riders)" numFmtId="0">
      <sharedItems containsString="0" containsBlank="1" containsNumber="1" containsInteger="1" minValue="0" maxValue="2750000"/>
    </cacheField>
    <cacheField name="Total Revenue" numFmtId="0">
      <sharedItems containsSemiMixedTypes="0" containsString="0" containsNumber="1" minValue="0" maxValue="251180739.625"/>
    </cacheField>
    <cacheField name="Profit" numFmtId="0">
      <sharedItems containsSemiMixedTypes="0" containsString="0" containsNumber="1" minValue="-40087519.5" maxValue="30702675.108870983"/>
    </cacheField>
    <cacheField name="Delivery PV" numFmtId="0">
      <sharedItems containsSemiMixedTypes="0" containsString="0" containsNumber="1" minValue="-45849594.516129032" maxValue="40399030.483870968"/>
    </cacheField>
    <cacheField name="Delivery Only PnL" numFmtId="0">
      <sharedItems containsSemiMixedTypes="0" containsString="0" containsNumber="1" minValue="-10.671862171592775" maxValue="1"/>
    </cacheField>
    <cacheField name="EV Related PV" numFmtId="0">
      <sharedItems containsSemiMixedTypes="0" containsString="0" containsNumber="1" minValue="-31635000" maxValue="59252867.903225809"/>
    </cacheField>
    <cacheField name="EV Related Only PnL " numFmtId="0">
      <sharedItems containsSemiMixedTypes="0" containsString="0" containsNumber="1" minValue="-24.666666666666668" maxValue="1"/>
    </cacheField>
    <cacheField name="Supporting Docs" numFmtId="0">
      <sharedItems containsBlank="1"/>
    </cacheField>
    <cacheField name="Profit %" numFmtId="0" formula="IFERROR(Profit/'Total Revenue',0)" databaseField="0"/>
    <cacheField name="EV Related Profit %" numFmtId="0" formula="'EV Related PV'/'Total EV Related Revenue'" databaseField="0"/>
    <cacheField name="Total Cost" numFmtId="0" formula="('Total Income Sales (Weekly)'+'Total Operational Cost')" databaseField="0"/>
    <cacheField name="Total Non EV Revenue" numFmtId="0" formula="('Total Revenue Sharing % (Weekly)'+'Rider Penalty (Claim, Other Denda to Riders)')" databaseField="0"/>
    <cacheField name="Total Non EV Costs" numFmtId="0" formula="('Total Selling Comission/Sales (Weekly)'+'Total Daily Incentive (Weekly)'+'Total 26 Days Attendance Bonus (Monthly)'+'Total Selling 20Mio Bonus (Monthly)'+'Manpower (Korlap)'+'Cost Claim'+'Storing Cost')" databaseField="0"/>
    <cacheField name="Total EV Related Revenue" numFmtId="0" formula="('Total Potongan Molis (Weekly) '+'Total Subsidi Molis KSJ (Monthly)')" databaseField="0"/>
    <cacheField name="Non EV Related Profit %" numFmtId="0" formula="'Delivery PV'/'Total Non EV Revenue'" databaseField="0"/>
    <cacheField name="Cups per Rider" numFmtId="0" formula="IFERROR(('Total Cups Sold'/'Total Active Riders'),0)" databaseField="0"/>
    <cacheField name="Rider Comission as a % of Total Selling (Client)" numFmtId="0" formula="IFERROR('Total Selling Comission/Sales (Weekly)'/'Total Selling (Clients Revenue)',0)" databaseField="0"/>
    <cacheField name="Avg Price per Cup" numFmtId="0" formula="IFERROR(('Total Selling (Clients Revenue)'/'Total Cups Sold'),0)" databaseField="0"/>
    <cacheField name="Rider Daily Incentives as a % of Total Selling (Client)" numFmtId="0" formula="IFERROR(('Total Daily Incentive (Weekly)'/'Total Selling (Clients Revenue)'),0)" databaseField="0"/>
  </cacheFields>
  <calculatedItems count="4">
    <calculatedItem formula="IFERROR(('62026'-'52026')/'52026',0)">
      <pivotArea cacheIndex="1" outline="0" fieldPosition="0">
        <references count="1">
          <reference field="6" count="1">
            <x v="0"/>
          </reference>
        </references>
      </pivotArea>
    </calculatedItem>
    <calculatedItem formula="IFERROR(('132026'-'122026')/'122026',0)">
      <pivotArea cacheIndex="1" outline="0" fieldPosition="0">
        <references count="1">
          <reference field="6" count="1">
            <x v="69"/>
          </reference>
        </references>
      </pivotArea>
    </calculatedItem>
    <calculatedItem formula="IFERROR(('142026'-'132026')/'132026',0)">
      <pivotArea cacheIndex="1" outline="0" fieldPosition="0">
        <references count="1">
          <reference field="6" count="1">
            <x v="70"/>
          </reference>
        </references>
      </pivotArea>
    </calculatedItem>
    <calculatedItem formula="IFERROR(('152026'-'142026')/'142026',0)">
      <pivotArea cacheIndex="1" outline="0" fieldPosition="0">
        <references count="1">
          <reference field="6" count="1">
            <x v="7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x v="0"/>
    <x v="0"/>
    <x v="0"/>
    <x v="0"/>
    <x v="0"/>
    <x v="0"/>
    <x v="0"/>
    <x v="0"/>
    <n v="269"/>
    <n v="79236"/>
    <n v="695119000"/>
    <n v="79147500"/>
    <n v="58075000"/>
    <n v="0"/>
    <m/>
    <n v="0"/>
    <m/>
    <n v="137222500"/>
    <n v="700000"/>
    <n v="63140000"/>
    <m/>
    <n v="327500"/>
    <n v="64167500"/>
    <n v="159877370"/>
    <n v="32472000"/>
    <n v="33684670.5"/>
    <m/>
    <m/>
    <n v="226034040.5"/>
    <n v="24644040.5"/>
    <n v="21627370"/>
    <n v="0.13527474213517524"/>
    <n v="3016670.5"/>
    <n v="4.5598886358708152E-2"/>
    <s v="Rekapan 9-15 Februari 2025.xlsx"/>
  </r>
  <r>
    <x v="0"/>
    <x v="0"/>
    <x v="1"/>
    <x v="0"/>
    <x v="0"/>
    <x v="1"/>
    <x v="0"/>
    <x v="0"/>
    <x v="0"/>
    <x v="0"/>
    <n v="31"/>
    <n v="10578"/>
    <n v="93263000"/>
    <n v="10563500"/>
    <n v="8175000"/>
    <n v="0"/>
    <m/>
    <n v="0"/>
    <m/>
    <n v="18738500"/>
    <n v="0"/>
    <n v="7490000"/>
    <m/>
    <n v="456000"/>
    <n v="7946000"/>
    <n v="21450490"/>
    <n v="3852000"/>
    <n v="3962709.75"/>
    <m/>
    <m/>
    <n v="29265199.75"/>
    <n v="2580699.75"/>
    <n v="2255990"/>
    <n v="0.1051719564448178"/>
    <n v="324709.75"/>
    <n v="4.1551095355780811E-2"/>
    <s v="Rekapan 9-15 Februari 2025.xlsx"/>
  </r>
  <r>
    <x v="0"/>
    <x v="1"/>
    <x v="2"/>
    <x v="1"/>
    <x v="0"/>
    <x v="2"/>
    <x v="0"/>
    <x v="0"/>
    <x v="0"/>
    <x v="0"/>
    <n v="3"/>
    <n v="142"/>
    <n v="1162000"/>
    <n v="142000"/>
    <n v="200000"/>
    <n v="0"/>
    <m/>
    <n v="0"/>
    <m/>
    <n v="342000"/>
    <n v="0"/>
    <n v="735000"/>
    <m/>
    <m/>
    <n v="735000"/>
    <n v="406700"/>
    <n v="210000"/>
    <n v="0"/>
    <m/>
    <m/>
    <n v="616700"/>
    <n v="-460300"/>
    <n v="64700"/>
    <n v="0.15908532087533808"/>
    <n v="-525000"/>
    <n v="-2.5"/>
    <s v="Rekapan 9-15 Februari 2025.xlsx"/>
  </r>
  <r>
    <x v="0"/>
    <x v="2"/>
    <x v="3"/>
    <x v="1"/>
    <x v="0"/>
    <x v="2"/>
    <x v="0"/>
    <x v="0"/>
    <x v="0"/>
    <x v="0"/>
    <n v="5"/>
    <n v="823"/>
    <n v="7902000"/>
    <n v="823000"/>
    <n v="575000"/>
    <n v="0"/>
    <m/>
    <n v="0"/>
    <m/>
    <n v="1398000"/>
    <n v="0"/>
    <n v="1225000"/>
    <m/>
    <m/>
    <n v="1225000"/>
    <n v="2370600"/>
    <n v="350000"/>
    <n v="0"/>
    <m/>
    <m/>
    <n v="2720600"/>
    <n v="97600"/>
    <n v="972600"/>
    <n v="0.41027587952417111"/>
    <n v="-875000"/>
    <n v="-2.5"/>
    <s v="Rekapan 9-15 Februari 2025.xlsx"/>
  </r>
  <r>
    <x v="0"/>
    <x v="3"/>
    <x v="4"/>
    <x v="1"/>
    <x v="0"/>
    <x v="2"/>
    <x v="0"/>
    <x v="0"/>
    <x v="0"/>
    <x v="0"/>
    <n v="4"/>
    <n v="228"/>
    <n v="2659000"/>
    <n v="228000"/>
    <n v="450000"/>
    <n v="0"/>
    <m/>
    <n v="0"/>
    <m/>
    <n v="678000"/>
    <n v="0"/>
    <n v="980000"/>
    <m/>
    <m/>
    <n v="980000"/>
    <n v="797700"/>
    <n v="280000"/>
    <n v="0"/>
    <m/>
    <m/>
    <n v="1077700"/>
    <n v="-580300"/>
    <n v="119700"/>
    <n v="0.15005641218503196"/>
    <n v="-700000"/>
    <n v="-2.5"/>
    <s v="Rekapan 9-15 Februari 2025.xlsx"/>
  </r>
  <r>
    <x v="0"/>
    <x v="4"/>
    <x v="5"/>
    <x v="0"/>
    <x v="0"/>
    <x v="2"/>
    <x v="0"/>
    <x v="0"/>
    <x v="0"/>
    <x v="0"/>
    <n v="3"/>
    <n v="358"/>
    <n v="1128000"/>
    <n v="86300"/>
    <n v="225000"/>
    <n v="0"/>
    <m/>
    <n v="0"/>
    <m/>
    <n v="311300"/>
    <n v="0"/>
    <n v="735000"/>
    <m/>
    <m/>
    <n v="735000"/>
    <n v="338400"/>
    <n v="210000"/>
    <n v="0"/>
    <m/>
    <m/>
    <n v="548400"/>
    <n v="-497900"/>
    <n v="27100"/>
    <n v="8.0082742316784875E-2"/>
    <n v="-525000"/>
    <n v="-2.5"/>
    <s v="Rekapan 9-15 Februari 2025.xlsx"/>
  </r>
  <r>
    <x v="0"/>
    <x v="5"/>
    <x v="6"/>
    <x v="1"/>
    <x v="0"/>
    <x v="2"/>
    <x v="0"/>
    <x v="0"/>
    <x v="0"/>
    <x v="0"/>
    <n v="1"/>
    <n v="40"/>
    <n v="334000"/>
    <n v="40000"/>
    <n v="100000"/>
    <n v="0"/>
    <m/>
    <n v="0"/>
    <m/>
    <n v="140000"/>
    <n v="0"/>
    <n v="245000"/>
    <m/>
    <m/>
    <n v="245000"/>
    <n v="116899.99999999999"/>
    <n v="70000"/>
    <n v="0"/>
    <m/>
    <m/>
    <n v="186900"/>
    <n v="-198100"/>
    <n v="-23100.000000000015"/>
    <n v="-0.19760479041916182"/>
    <n v="-175000"/>
    <n v="-2.5"/>
    <s v="Rekapan 9-15 Februari 2025.xlsx"/>
  </r>
  <r>
    <x v="0"/>
    <x v="6"/>
    <x v="7"/>
    <x v="1"/>
    <x v="0"/>
    <x v="2"/>
    <x v="0"/>
    <x v="0"/>
    <x v="0"/>
    <x v="0"/>
    <n v="3"/>
    <n v="203"/>
    <n v="1874000"/>
    <n v="203000"/>
    <n v="375000"/>
    <n v="0"/>
    <m/>
    <n v="0"/>
    <m/>
    <n v="578000"/>
    <n v="0"/>
    <n v="735000"/>
    <m/>
    <m/>
    <n v="735000"/>
    <n v="562200"/>
    <n v="210000"/>
    <n v="0"/>
    <m/>
    <m/>
    <n v="772200"/>
    <n v="-540800"/>
    <n v="-15800"/>
    <n v="-2.8103877623621487E-2"/>
    <n v="-525000"/>
    <n v="-2.5"/>
    <s v="Rekapan 9-15 Februari 2025.xlsx"/>
  </r>
  <r>
    <x v="0"/>
    <x v="7"/>
    <x v="8"/>
    <x v="1"/>
    <x v="0"/>
    <x v="2"/>
    <x v="0"/>
    <x v="0"/>
    <x v="0"/>
    <x v="0"/>
    <n v="1"/>
    <n v="17"/>
    <n v="164000"/>
    <n v="17000"/>
    <n v="125000"/>
    <n v="0"/>
    <m/>
    <n v="0"/>
    <m/>
    <n v="142000"/>
    <n v="0"/>
    <n v="245000"/>
    <m/>
    <m/>
    <n v="245000"/>
    <n v="41000"/>
    <n v="70000"/>
    <n v="0"/>
    <m/>
    <m/>
    <n v="111000"/>
    <n v="-276000"/>
    <n v="-101000"/>
    <n v="-2.4634146341463414"/>
    <n v="-175000"/>
    <n v="-2.5"/>
    <s v="Rekapan 9-15 Februari 2025.xlsx"/>
  </r>
  <r>
    <x v="0"/>
    <x v="0"/>
    <x v="9"/>
    <x v="0"/>
    <x v="1"/>
    <x v="3"/>
    <x v="0"/>
    <x v="0"/>
    <x v="0"/>
    <x v="0"/>
    <n v="63"/>
    <n v="11585"/>
    <n v="104357000"/>
    <n v="9245500"/>
    <n v="17200000"/>
    <n v="0"/>
    <m/>
    <n v="0"/>
    <m/>
    <n v="26445500"/>
    <n v="840000"/>
    <n v="12040000"/>
    <m/>
    <m/>
    <n v="12880000"/>
    <n v="21914970"/>
    <n v="8600000"/>
    <n v="4302825.25"/>
    <m/>
    <n v="950000"/>
    <n v="35767795.25"/>
    <n v="-3557704.75"/>
    <n v="-4420530"/>
    <n v="-0.19333198337894167"/>
    <n v="862825.25"/>
    <n v="6.6871032760828869E-2"/>
    <m/>
  </r>
  <r>
    <x v="0"/>
    <x v="0"/>
    <x v="10"/>
    <x v="0"/>
    <x v="1"/>
    <x v="4"/>
    <x v="0"/>
    <x v="0"/>
    <x v="0"/>
    <x v="0"/>
    <n v="15"/>
    <n v="5060"/>
    <n v="45596000"/>
    <n v="4048000"/>
    <n v="4500000"/>
    <n v="0"/>
    <m/>
    <n v="0"/>
    <m/>
    <n v="8548000"/>
    <n v="0"/>
    <n v="3150000"/>
    <m/>
    <m/>
    <n v="3150000"/>
    <n v="9575160"/>
    <n v="2250000"/>
    <n v="1137853"/>
    <m/>
    <n v="50000"/>
    <n v="13013013"/>
    <n v="1315013"/>
    <n v="1077160"/>
    <n v="0.11191086693623795"/>
    <n v="237853"/>
    <n v="7.0207591651703899E-2"/>
    <m/>
  </r>
  <r>
    <x v="0"/>
    <x v="0"/>
    <x v="0"/>
    <x v="0"/>
    <x v="0"/>
    <x v="0"/>
    <x v="1"/>
    <x v="0"/>
    <x v="1"/>
    <x v="1"/>
    <n v="270"/>
    <n v="79559"/>
    <n v="698169000"/>
    <n v="79455500"/>
    <n v="59625000"/>
    <m/>
    <m/>
    <m/>
    <m/>
    <n v="139080500"/>
    <n v="100000"/>
    <n v="66150000"/>
    <m/>
    <n v="327500"/>
    <n v="66577500"/>
    <n v="160578870"/>
    <n v="32688000"/>
    <n v="33684670.5"/>
    <m/>
    <m/>
    <n v="226951540.5"/>
    <n v="21293540.5"/>
    <n v="21070870"/>
    <n v="0.1312181982598333"/>
    <n v="222670.5"/>
    <n v="3.3548522053214657E-3"/>
    <s v="Rekapan 2-8 Februari 2025.xlsx"/>
  </r>
  <r>
    <x v="0"/>
    <x v="0"/>
    <x v="1"/>
    <x v="0"/>
    <x v="0"/>
    <x v="1"/>
    <x v="1"/>
    <x v="0"/>
    <x v="1"/>
    <x v="1"/>
    <n v="32"/>
    <n v="9742"/>
    <n v="86493000"/>
    <n v="9739500"/>
    <n v="7025000"/>
    <m/>
    <m/>
    <m/>
    <m/>
    <n v="16764500"/>
    <n v="0"/>
    <n v="7840000"/>
    <m/>
    <n v="456000"/>
    <n v="8296000"/>
    <n v="20099470"/>
    <n v="3834000"/>
    <n v="3962709.75"/>
    <m/>
    <m/>
    <n v="27896179.75"/>
    <n v="2835679.75"/>
    <n v="2878970"/>
    <n v="0.14323611518114657"/>
    <n v="-43290.25"/>
    <n v="-5.5523741922033198E-3"/>
    <s v="Rekapan 2-8 Februari 2025.xlsx"/>
  </r>
  <r>
    <x v="0"/>
    <x v="0"/>
    <x v="9"/>
    <x v="0"/>
    <x v="1"/>
    <x v="3"/>
    <x v="1"/>
    <x v="0"/>
    <x v="1"/>
    <x v="1"/>
    <n v="59"/>
    <n v="9707"/>
    <n v="87376000"/>
    <n v="7738600"/>
    <n v="14850000"/>
    <n v="0"/>
    <m/>
    <n v="0"/>
    <m/>
    <n v="22588600"/>
    <n v="840000"/>
    <n v="10395000"/>
    <m/>
    <m/>
    <n v="11235000"/>
    <n v="18348960"/>
    <n v="9770000"/>
    <n v="4302825.25"/>
    <m/>
    <n v="700000"/>
    <n v="33121785.25"/>
    <n v="-701814.75"/>
    <n v="-4379640"/>
    <n v="-0.22991491399005509"/>
    <n v="3677825.25"/>
    <n v="0.26134235199147376"/>
    <m/>
  </r>
  <r>
    <x v="0"/>
    <x v="2"/>
    <x v="3"/>
    <x v="1"/>
    <x v="0"/>
    <x v="2"/>
    <x v="1"/>
    <x v="0"/>
    <x v="1"/>
    <x v="2"/>
    <d v="1900-01-03T00:00:00"/>
    <n v="756"/>
    <n v="7756000"/>
    <n v="775600"/>
    <n v="500000"/>
    <n v="0"/>
    <m/>
    <n v="0"/>
    <m/>
    <n v="1275600"/>
    <n v="0"/>
    <n v="840000"/>
    <m/>
    <m/>
    <n v="840000"/>
    <n v="2326800"/>
    <n v="240000"/>
    <n v="0"/>
    <m/>
    <m/>
    <n v="2566800"/>
    <n v="451200"/>
    <n v="1051200"/>
    <n v="0.45177926766374421"/>
    <n v="-600000"/>
    <n v="-2.5"/>
    <s v="Rekapan 2-8 Februari 2025.xlsx"/>
  </r>
  <r>
    <x v="0"/>
    <x v="6"/>
    <x v="7"/>
    <x v="1"/>
    <x v="0"/>
    <x v="2"/>
    <x v="1"/>
    <x v="0"/>
    <x v="1"/>
    <x v="2"/>
    <n v="6"/>
    <n v="264"/>
    <n v="2604000"/>
    <n v="264000"/>
    <n v="700000"/>
    <n v="0"/>
    <m/>
    <n v="0"/>
    <m/>
    <n v="964000"/>
    <n v="0"/>
    <n v="1260000"/>
    <m/>
    <m/>
    <n v="1260000"/>
    <n v="781200"/>
    <n v="360000"/>
    <n v="0"/>
    <m/>
    <m/>
    <n v="1141200"/>
    <n v="-1082800"/>
    <n v="-182800"/>
    <n v="-0.23399897593445981"/>
    <n v="-900000"/>
    <n v="-2.5"/>
    <s v="Rekapan 2-8 Februari 2025.xlsx"/>
  </r>
  <r>
    <x v="0"/>
    <x v="1"/>
    <x v="2"/>
    <x v="1"/>
    <x v="0"/>
    <x v="2"/>
    <x v="1"/>
    <x v="0"/>
    <x v="1"/>
    <x v="2"/>
    <n v="4"/>
    <n v="159"/>
    <n v="1217000"/>
    <n v="159000"/>
    <n v="225000"/>
    <n v="0"/>
    <m/>
    <n v="0"/>
    <m/>
    <n v="384000"/>
    <n v="0"/>
    <n v="840000"/>
    <m/>
    <m/>
    <n v="840000"/>
    <n v="425950"/>
    <n v="180000"/>
    <n v="0"/>
    <m/>
    <m/>
    <n v="605950"/>
    <n v="-618050"/>
    <n v="41950"/>
    <n v="9.8485737762648198E-2"/>
    <n v="-660000"/>
    <n v="-3.6666666666666665"/>
    <s v="Rekapan 2-8 Februari 2025.xlsx"/>
  </r>
  <r>
    <x v="0"/>
    <x v="3"/>
    <x v="4"/>
    <x v="1"/>
    <x v="0"/>
    <x v="2"/>
    <x v="1"/>
    <x v="0"/>
    <x v="1"/>
    <x v="2"/>
    <n v="5"/>
    <n v="226"/>
    <n v="2707000"/>
    <n v="226000"/>
    <n v="475000"/>
    <n v="0"/>
    <m/>
    <n v="0"/>
    <m/>
    <n v="701000"/>
    <n v="0"/>
    <n v="1050000"/>
    <m/>
    <m/>
    <n v="1050000"/>
    <n v="812100"/>
    <n v="300000"/>
    <n v="0"/>
    <m/>
    <m/>
    <n v="1112100"/>
    <n v="-638900"/>
    <n v="111100"/>
    <n v="0.13680581209210688"/>
    <n v="-750000"/>
    <n v="-2.5"/>
    <s v="Rekapan 2-8 Februari 2025.xlsx"/>
  </r>
  <r>
    <x v="0"/>
    <x v="5"/>
    <x v="6"/>
    <x v="1"/>
    <x v="0"/>
    <x v="2"/>
    <x v="1"/>
    <x v="0"/>
    <x v="1"/>
    <x v="2"/>
    <n v="1"/>
    <n v="101"/>
    <n v="1066000"/>
    <n v="101000"/>
    <n v="150000"/>
    <m/>
    <m/>
    <m/>
    <m/>
    <n v="251000"/>
    <m/>
    <n v="210000"/>
    <m/>
    <m/>
    <n v="210000"/>
    <n v="373100"/>
    <n v="60000"/>
    <n v="0"/>
    <m/>
    <m/>
    <n v="433100"/>
    <n v="-27900"/>
    <n v="122100"/>
    <n v="0.32725810774591263"/>
    <n v="-150000"/>
    <n v="-2.5"/>
    <s v="Rekapan 2-8 Februari 2025.xlsx"/>
  </r>
  <r>
    <x v="0"/>
    <x v="4"/>
    <x v="5"/>
    <x v="0"/>
    <x v="0"/>
    <x v="2"/>
    <x v="1"/>
    <x v="0"/>
    <x v="1"/>
    <x v="2"/>
    <n v="1"/>
    <n v="140"/>
    <n v="504000"/>
    <n v="140000"/>
    <n v="150000"/>
    <n v="0"/>
    <m/>
    <n v="0"/>
    <m/>
    <n v="290000"/>
    <n v="0"/>
    <n v="210000"/>
    <m/>
    <m/>
    <n v="210000"/>
    <n v="151200"/>
    <n v="60000"/>
    <n v="0"/>
    <m/>
    <m/>
    <n v="211200"/>
    <n v="-288800"/>
    <n v="-138800"/>
    <n v="-0.91798941798941802"/>
    <n v="-150000"/>
    <n v="-2.5"/>
    <s v="Rekapan 2-8 Februari 2025.xlsx"/>
  </r>
  <r>
    <x v="0"/>
    <x v="7"/>
    <x v="8"/>
    <x v="1"/>
    <x v="0"/>
    <x v="2"/>
    <x v="1"/>
    <x v="0"/>
    <x v="1"/>
    <x v="2"/>
    <n v="1"/>
    <n v="23"/>
    <n v="490000"/>
    <n v="23000"/>
    <n v="50000"/>
    <n v="0"/>
    <m/>
    <s v=" "/>
    <m/>
    <n v="73000"/>
    <n v="0"/>
    <n v="210000"/>
    <m/>
    <m/>
    <n v="210000"/>
    <n v="122500"/>
    <n v="60000"/>
    <n v="0"/>
    <m/>
    <m/>
    <n v="182500"/>
    <n v="-100500"/>
    <n v="49500"/>
    <n v="0.40408163265306124"/>
    <n v="-150000"/>
    <n v="-2.5"/>
    <s v="Rekapan 2-8 Februari 2025.xlsx"/>
  </r>
  <r>
    <x v="0"/>
    <x v="0"/>
    <x v="10"/>
    <x v="0"/>
    <x v="1"/>
    <x v="4"/>
    <x v="1"/>
    <x v="0"/>
    <x v="1"/>
    <x v="1"/>
    <n v="15"/>
    <n v="4227"/>
    <n v="38662000"/>
    <n v="3381600"/>
    <n v="4200000"/>
    <n v="0"/>
    <m/>
    <n v="0"/>
    <m/>
    <n v="7581600"/>
    <n v="0"/>
    <n v="2940000"/>
    <m/>
    <m/>
    <n v="2940000"/>
    <n v="8119020"/>
    <n v="2100000"/>
    <n v="1137853"/>
    <m/>
    <n v="50000"/>
    <n v="11406873"/>
    <n v="885273"/>
    <n v="587420"/>
    <n v="7.1908258273330222E-2"/>
    <n v="297853"/>
    <n v="9.1990896436620187E-2"/>
    <m/>
  </r>
  <r>
    <x v="0"/>
    <x v="2"/>
    <x v="3"/>
    <x v="1"/>
    <x v="0"/>
    <x v="2"/>
    <x v="2"/>
    <x v="0"/>
    <x v="2"/>
    <x v="3"/>
    <n v="3"/>
    <n v="315"/>
    <n v="2756000"/>
    <n v="315000"/>
    <n v="400000"/>
    <m/>
    <m/>
    <m/>
    <m/>
    <n v="715000"/>
    <m/>
    <n v="699300"/>
    <m/>
    <m/>
    <n v="699300"/>
    <n v="826800"/>
    <m/>
    <m/>
    <m/>
    <m/>
    <n v="826800"/>
    <n v="-587500"/>
    <n v="111800"/>
    <n v="0.13522012578616352"/>
    <n v="-699300"/>
    <n v="0"/>
    <s v="Incentive_Blitz_JKT_26-1_Feb_2025.xlsx"/>
  </r>
  <r>
    <x v="0"/>
    <x v="6"/>
    <x v="7"/>
    <x v="1"/>
    <x v="0"/>
    <x v="2"/>
    <x v="2"/>
    <x v="0"/>
    <x v="2"/>
    <x v="3"/>
    <n v="5"/>
    <n v="275"/>
    <n v="2562000"/>
    <n v="275000"/>
    <n v="500000"/>
    <m/>
    <m/>
    <m/>
    <m/>
    <n v="775000"/>
    <m/>
    <n v="1065600"/>
    <m/>
    <m/>
    <n v="1065600"/>
    <n v="768600"/>
    <m/>
    <m/>
    <m/>
    <m/>
    <n v="768600"/>
    <n v="-1072000"/>
    <n v="-6400"/>
    <n v="-8.3268279989591465E-3"/>
    <n v="-1065600"/>
    <n v="0"/>
    <s v="Incentive_Blitz_JKT_26-1_Feb_2025.xlsx"/>
  </r>
  <r>
    <x v="0"/>
    <x v="1"/>
    <x v="2"/>
    <x v="1"/>
    <x v="0"/>
    <x v="2"/>
    <x v="2"/>
    <x v="0"/>
    <x v="2"/>
    <x v="3"/>
    <n v="4"/>
    <n v="224"/>
    <n v="1811000"/>
    <n v="224000"/>
    <n v="400000"/>
    <m/>
    <m/>
    <m/>
    <m/>
    <n v="624000"/>
    <m/>
    <n v="732600"/>
    <m/>
    <m/>
    <n v="732600"/>
    <n v="633850"/>
    <m/>
    <m/>
    <m/>
    <m/>
    <n v="633850"/>
    <n v="-722750"/>
    <n v="9850"/>
    <n v="1.5539954247850438E-2"/>
    <n v="-732600"/>
    <n v="0"/>
    <s v="Incentive_Blitz_JKT_26-1_Feb_2025.xlsx"/>
  </r>
  <r>
    <x v="0"/>
    <x v="3"/>
    <x v="4"/>
    <x v="1"/>
    <x v="0"/>
    <x v="2"/>
    <x v="2"/>
    <x v="0"/>
    <x v="2"/>
    <x v="3"/>
    <n v="5"/>
    <n v="207"/>
    <n v="2456000"/>
    <n v="207000"/>
    <n v="475000"/>
    <m/>
    <m/>
    <m/>
    <m/>
    <n v="682000"/>
    <m/>
    <n v="1165500"/>
    <m/>
    <m/>
    <n v="1165500"/>
    <n v="736800"/>
    <m/>
    <m/>
    <m/>
    <m/>
    <n v="736800"/>
    <n v="-1110700"/>
    <n v="54800"/>
    <n v="7.4375678610206303E-2"/>
    <n v="-1165500"/>
    <n v="0"/>
    <s v="Incentive_Blitz_JKT_26-1_Feb_2025.xlsx"/>
  </r>
  <r>
    <x v="0"/>
    <x v="5"/>
    <x v="6"/>
    <x v="1"/>
    <x v="0"/>
    <x v="2"/>
    <x v="2"/>
    <x v="0"/>
    <x v="2"/>
    <x v="3"/>
    <n v="1"/>
    <n v="49"/>
    <n v="536000"/>
    <n v="49000"/>
    <n v="125000"/>
    <m/>
    <m/>
    <m/>
    <m/>
    <n v="174000"/>
    <m/>
    <n v="233100"/>
    <m/>
    <m/>
    <n v="233100"/>
    <n v="187600"/>
    <m/>
    <m/>
    <m/>
    <m/>
    <n v="187600"/>
    <n v="-219500"/>
    <n v="13600"/>
    <n v="7.2494669509594878E-2"/>
    <n v="-233100"/>
    <n v="0"/>
    <s v="Incentive_Blitz_JKT_26-1_Feb_2025.xlsx"/>
  </r>
  <r>
    <x v="0"/>
    <x v="7"/>
    <x v="8"/>
    <x v="1"/>
    <x v="0"/>
    <x v="2"/>
    <x v="2"/>
    <x v="0"/>
    <x v="2"/>
    <x v="3"/>
    <n v="1"/>
    <n v="33"/>
    <n v="0"/>
    <n v="33000"/>
    <n v="125000"/>
    <m/>
    <m/>
    <m/>
    <m/>
    <n v="158000"/>
    <m/>
    <n v="233100"/>
    <m/>
    <m/>
    <n v="233100"/>
    <n v="0"/>
    <m/>
    <m/>
    <m/>
    <m/>
    <n v="0"/>
    <n v="-391100"/>
    <n v="-158000"/>
    <n v="0"/>
    <n v="-233100"/>
    <n v="0"/>
    <s v="Incentive_Blitz_JKT_26-1_Feb_2025.xlsx"/>
  </r>
  <r>
    <x v="0"/>
    <x v="0"/>
    <x v="0"/>
    <x v="0"/>
    <x v="0"/>
    <x v="0"/>
    <x v="2"/>
    <x v="1"/>
    <x v="3"/>
    <x v="4"/>
    <n v="250"/>
    <n v="56840"/>
    <n v="497866000"/>
    <n v="59040857.142857142"/>
    <n v="44035714.285714284"/>
    <m/>
    <m/>
    <m/>
    <m/>
    <n v="103076571.42857143"/>
    <n v="0"/>
    <n v="49607485.714285709"/>
    <m/>
    <n v="280714.28571428568"/>
    <n v="49888199.999999993"/>
    <n v="114509180"/>
    <n v="26814857.142857142"/>
    <n v="27003671.225806452"/>
    <m/>
    <m/>
    <n v="168327708.36866358"/>
    <n v="15362936.940092146"/>
    <n v="11151894.285714282"/>
    <n v="9.7388648540791947E-2"/>
    <n v="4211042.6543778852"/>
    <n v="7.824522115379523E-2"/>
    <s v="Incentive_Blitz_JKT_26-1_Feb_2025.xlsx"/>
  </r>
  <r>
    <x v="0"/>
    <x v="0"/>
    <x v="0"/>
    <x v="0"/>
    <x v="0"/>
    <x v="0"/>
    <x v="2"/>
    <x v="0"/>
    <x v="2"/>
    <x v="5"/>
    <n v="204"/>
    <n v="11948"/>
    <n v="104988000"/>
    <n v="9840142.8571428563"/>
    <n v="7339285.7142857136"/>
    <m/>
    <m/>
    <m/>
    <m/>
    <n v="17179428.571428571"/>
    <n v="0"/>
    <n v="8267914.2857142854"/>
    <m/>
    <n v="46785.714285714283"/>
    <n v="8314700"/>
    <n v="24147240"/>
    <n v="4469142.8571428573"/>
    <n v="4812095.7857142854"/>
    <m/>
    <m/>
    <n v="33428478.642857142"/>
    <n v="7934350.0714285709"/>
    <n v="6921025.7142857146"/>
    <n v="0.28661767201078525"/>
    <n v="1013324.3571428563"/>
    <n v="0.10917986231532928"/>
    <m/>
  </r>
  <r>
    <x v="0"/>
    <x v="0"/>
    <x v="1"/>
    <x v="0"/>
    <x v="0"/>
    <x v="1"/>
    <x v="2"/>
    <x v="1"/>
    <x v="3"/>
    <x v="4"/>
    <n v="31"/>
    <n v="7572"/>
    <n v="66998000"/>
    <n v="7354285.7142857136"/>
    <n v="5807142.8571428573"/>
    <m/>
    <m/>
    <m/>
    <m/>
    <n v="13161428.571428571"/>
    <n v="0"/>
    <n v="5680028.5714285709"/>
    <m/>
    <n v="390857.14285714284"/>
    <n v="6070885.7142857136"/>
    <n v="15409540"/>
    <n v="3070285.7142857141"/>
    <n v="2586605.6129032257"/>
    <m/>
    <m/>
    <n v="21066431.327188939"/>
    <n v="1834117.0414746553"/>
    <n v="1857254.2857142864"/>
    <n v="0.12052626397116892"/>
    <n v="-23137.244239631109"/>
    <n v="-4.0900987665125647E-3"/>
    <s v="Incentive_Blitz_JKT_26-1_Feb_2025.xlsx"/>
  </r>
  <r>
    <x v="0"/>
    <x v="0"/>
    <x v="1"/>
    <x v="0"/>
    <x v="0"/>
    <x v="1"/>
    <x v="2"/>
    <x v="0"/>
    <x v="2"/>
    <x v="5"/>
    <n v="26"/>
    <n v="1233"/>
    <n v="10848000"/>
    <n v="1225714.2857142857"/>
    <n v="967857.14285714284"/>
    <m/>
    <m/>
    <m/>
    <m/>
    <n v="2193571.4285714286"/>
    <n v="0"/>
    <n v="946671.42857142852"/>
    <m/>
    <n v="65142.857142857138"/>
    <n v="1011814.2857142857"/>
    <n v="2495040"/>
    <n v="511714.28571428568"/>
    <n v="566101.39285714284"/>
    <m/>
    <m/>
    <n v="3572855.6785714282"/>
    <n v="367469.96428571362"/>
    <n v="236325.71428571423"/>
    <n v="9.4718206636252023E-2"/>
    <n v="131144.25000000012"/>
    <n v="0.12167595314054339"/>
    <m/>
  </r>
  <r>
    <x v="0"/>
    <x v="0"/>
    <x v="9"/>
    <x v="0"/>
    <x v="1"/>
    <x v="3"/>
    <x v="2"/>
    <x v="1"/>
    <x v="3"/>
    <x v="4"/>
    <n v="50"/>
    <n v="14356"/>
    <n v="130448000"/>
    <n v="5745085.7142857136"/>
    <n v="11271428.571428571"/>
    <m/>
    <m/>
    <m/>
    <m/>
    <n v="17016514.285714284"/>
    <n v="720000"/>
    <n v="7506771.4285714282"/>
    <m/>
    <m/>
    <n v="8226771.4285714282"/>
    <n v="27394080"/>
    <n v="563571.42857142852"/>
    <n v="2931486.3870967743"/>
    <m/>
    <n v="1450000"/>
    <n v="32339137.815668203"/>
    <n v="7095852.1013824902"/>
    <n v="11107565.714285716"/>
    <n v="0.38508996349634711"/>
    <n v="-4011713.6129032252"/>
    <n v="-1.1478246782982746"/>
    <m/>
  </r>
  <r>
    <x v="0"/>
    <x v="0"/>
    <x v="9"/>
    <x v="0"/>
    <x v="1"/>
    <x v="3"/>
    <x v="2"/>
    <x v="0"/>
    <x v="2"/>
    <x v="5"/>
    <n v="36"/>
    <n v="2426"/>
    <n v="22088000"/>
    <n v="957514.28571428568"/>
    <n v="1878571.4285714284"/>
    <m/>
    <m/>
    <m/>
    <m/>
    <n v="2836085.7142857141"/>
    <n v="120000"/>
    <n v="1251128.5714285714"/>
    <m/>
    <m/>
    <n v="1371128.5714285714"/>
    <n v="4638480"/>
    <n v="93928.57142857142"/>
    <n v="614689.32142857136"/>
    <m/>
    <m/>
    <n v="5347097.8928571437"/>
    <n v="1139883.6071428582"/>
    <n v="1682394.2857142859"/>
    <n v="0.36270379212894871"/>
    <n v="-542510.67857142864"/>
    <n v="-0.76558986731767265"/>
    <m/>
  </r>
  <r>
    <x v="0"/>
    <x v="0"/>
    <x v="10"/>
    <x v="0"/>
    <x v="1"/>
    <x v="4"/>
    <x v="2"/>
    <x v="1"/>
    <x v="3"/>
    <x v="4"/>
    <n v="17"/>
    <n v="6356"/>
    <n v="59574000"/>
    <n v="2473371.4285714286"/>
    <n v="3257142.8571428568"/>
    <m/>
    <m/>
    <m/>
    <m/>
    <n v="5730514.2857142854"/>
    <n v="0"/>
    <n v="2169257.1428571427"/>
    <m/>
    <m/>
    <n v="2169257.1428571427"/>
    <n v="12510540"/>
    <n v="1628571.4285714284"/>
    <n v="880452.77419354836"/>
    <m/>
    <n v="250000"/>
    <n v="15269564.202764977"/>
    <n v="7369792.7741935486"/>
    <n v="7030025.7142857146"/>
    <n v="0.55091913933781134"/>
    <n v="339767.05990783405"/>
    <n v="0.1354180081377479"/>
    <s v="04) Slip KSJ 23 - 1 Mar 2025.xlsx"/>
  </r>
  <r>
    <x v="0"/>
    <x v="0"/>
    <x v="10"/>
    <x v="0"/>
    <x v="1"/>
    <x v="4"/>
    <x v="2"/>
    <x v="0"/>
    <x v="2"/>
    <x v="5"/>
    <n v="11"/>
    <n v="1282"/>
    <n v="11780000"/>
    <n v="412228.57142857142"/>
    <n v="542857.14285714284"/>
    <m/>
    <m/>
    <m/>
    <m/>
    <n v="955085.71428571432"/>
    <m/>
    <n v="361542.8571428571"/>
    <m/>
    <m/>
    <n v="361542.8571428571"/>
    <n v="2709400"/>
    <n v="271428.57142857142"/>
    <n v="162550.42857142855"/>
    <m/>
    <m/>
    <n v="3143379"/>
    <n v="1826750.4285714286"/>
    <n v="1754314.2857142857"/>
    <n v="0.64749180103133008"/>
    <n v="72436.142857142899"/>
    <n v="0.16691163133963371"/>
    <m/>
  </r>
  <r>
    <x v="0"/>
    <x v="2"/>
    <x v="3"/>
    <x v="1"/>
    <x v="0"/>
    <x v="2"/>
    <x v="3"/>
    <x v="1"/>
    <x v="4"/>
    <x v="6"/>
    <n v="3"/>
    <n v="405"/>
    <n v="2756000"/>
    <n v="405000"/>
    <n v="400000"/>
    <m/>
    <m/>
    <m/>
    <m/>
    <n v="805000"/>
    <m/>
    <n v="599400"/>
    <m/>
    <m/>
    <n v="599400"/>
    <n v="826800"/>
    <m/>
    <m/>
    <m/>
    <m/>
    <n v="826800"/>
    <n v="-577600"/>
    <n v="21800"/>
    <n v="2.6366715045960328E-2"/>
    <n v="-599400"/>
    <n v="0"/>
    <m/>
  </r>
  <r>
    <x v="0"/>
    <x v="1"/>
    <x v="2"/>
    <x v="1"/>
    <x v="0"/>
    <x v="2"/>
    <x v="3"/>
    <x v="1"/>
    <x v="4"/>
    <x v="6"/>
    <n v="7"/>
    <n v="291"/>
    <n v="2401000"/>
    <n v="291000"/>
    <n v="575000"/>
    <m/>
    <m/>
    <m/>
    <m/>
    <n v="866000"/>
    <m/>
    <n v="832500"/>
    <m/>
    <m/>
    <n v="832500"/>
    <n v="840350"/>
    <m/>
    <m/>
    <m/>
    <m/>
    <n v="840350"/>
    <n v="-858150"/>
    <n v="-25650"/>
    <n v="-3.0522996370559885E-2"/>
    <n v="-832500"/>
    <n v="0"/>
    <m/>
  </r>
  <r>
    <x v="0"/>
    <x v="6"/>
    <x v="7"/>
    <x v="1"/>
    <x v="0"/>
    <x v="2"/>
    <x v="3"/>
    <x v="1"/>
    <x v="4"/>
    <x v="6"/>
    <n v="4"/>
    <n v="338"/>
    <n v="3364000"/>
    <n v="338000"/>
    <n v="500000"/>
    <m/>
    <m/>
    <m/>
    <m/>
    <n v="838000"/>
    <m/>
    <n v="799200"/>
    <m/>
    <m/>
    <n v="799200"/>
    <n v="1009200"/>
    <m/>
    <m/>
    <m/>
    <m/>
    <n v="1009200"/>
    <n v="-628000"/>
    <n v="171200"/>
    <n v="0.16963931827189854"/>
    <n v="-799200"/>
    <n v="0"/>
    <m/>
  </r>
  <r>
    <x v="0"/>
    <x v="5"/>
    <x v="6"/>
    <x v="1"/>
    <x v="0"/>
    <x v="2"/>
    <x v="3"/>
    <x v="1"/>
    <x v="4"/>
    <x v="6"/>
    <n v="1"/>
    <n v="67"/>
    <n v="718000"/>
    <n v="67000"/>
    <n v="125000"/>
    <m/>
    <m/>
    <m/>
    <m/>
    <n v="192000"/>
    <m/>
    <n v="166500"/>
    <m/>
    <m/>
    <n v="166500"/>
    <n v="251299.99999999997"/>
    <m/>
    <m/>
    <m/>
    <m/>
    <n v="251299.99999999997"/>
    <n v="-107200.00000000003"/>
    <n v="59299.999999999971"/>
    <n v="0.23597294070831668"/>
    <n v="-166500"/>
    <n v="0"/>
    <m/>
  </r>
  <r>
    <x v="0"/>
    <x v="0"/>
    <x v="0"/>
    <x v="0"/>
    <x v="0"/>
    <x v="0"/>
    <x v="3"/>
    <x v="1"/>
    <x v="4"/>
    <x v="7"/>
    <n v="255"/>
    <n v="67657"/>
    <n v="593360000"/>
    <n v="67538000"/>
    <n v="51325000"/>
    <n v="46125000"/>
    <m/>
    <n v="5300000"/>
    <m/>
    <n v="170288000"/>
    <n v="0"/>
    <n v="56643300"/>
    <m/>
    <n v="327500"/>
    <n v="56970800"/>
    <n v="136472800"/>
    <n v="30618000"/>
    <n v="31504283.096774194"/>
    <m/>
    <m/>
    <n v="198595083.09677419"/>
    <n v="-28663716.903225809"/>
    <n v="-34142700"/>
    <n v="-0.25017952295255902"/>
    <n v="5478983.0967741907"/>
    <n v="8.8196743964464766E-2"/>
    <m/>
  </r>
  <r>
    <x v="0"/>
    <x v="0"/>
    <x v="1"/>
    <x v="0"/>
    <x v="0"/>
    <x v="1"/>
    <x v="3"/>
    <x v="1"/>
    <x v="4"/>
    <x v="7"/>
    <n v="28"/>
    <n v="7717"/>
    <n v="68118000"/>
    <n v="7717000"/>
    <n v="6375000"/>
    <n v="4875000"/>
    <m/>
    <m/>
    <m/>
    <n v="18967000"/>
    <n v="0"/>
    <n v="5727600"/>
    <m/>
    <n v="456000"/>
    <n v="6183600"/>
    <n v="15667140"/>
    <n v="3096000"/>
    <n v="3017706.5483870967"/>
    <m/>
    <m/>
    <n v="21780846.548387095"/>
    <n v="-3369753.4516129047"/>
    <n v="-3755860"/>
    <n v="-0.23972850181973226"/>
    <n v="386106.54838709719"/>
    <n v="6.3154249444464891E-2"/>
    <m/>
  </r>
  <r>
    <x v="0"/>
    <x v="0"/>
    <x v="9"/>
    <x v="0"/>
    <x v="1"/>
    <x v="3"/>
    <x v="3"/>
    <x v="1"/>
    <x v="4"/>
    <x v="7"/>
    <n v="53"/>
    <n v="9405"/>
    <n v="85420000"/>
    <n v="7489200"/>
    <n v="13630000"/>
    <n v="6067034"/>
    <m/>
    <m/>
    <m/>
    <n v="27186234"/>
    <n v="0"/>
    <n v="8757900"/>
    <m/>
    <m/>
    <n v="8757900"/>
    <n v="17938200"/>
    <n v="6575000"/>
    <n v="3420067.4516129033"/>
    <m/>
    <n v="625000"/>
    <n v="28558267.451612905"/>
    <n v="-7385866.5483870953"/>
    <n v="-8623034"/>
    <n v="-0.46452303482158247"/>
    <n v="1237167.4516129028"/>
    <n v="0.12377779915965062"/>
    <m/>
  </r>
  <r>
    <x v="0"/>
    <x v="0"/>
    <x v="10"/>
    <x v="0"/>
    <x v="1"/>
    <x v="4"/>
    <x v="3"/>
    <x v="1"/>
    <x v="4"/>
    <x v="7"/>
    <n v="15"/>
    <n v="4531"/>
    <n v="41488000"/>
    <n v="3485600"/>
    <n v="37500000"/>
    <n v="798077"/>
    <m/>
    <n v="0"/>
    <m/>
    <n v="41783677"/>
    <n v="0"/>
    <n v="2497500"/>
    <m/>
    <m/>
    <n v="2497500"/>
    <n v="8712480"/>
    <n v="1875000"/>
    <n v="1027194.9032258064"/>
    <m/>
    <n v="0"/>
    <n v="11614674.903225806"/>
    <n v="-32666502.096774194"/>
    <n v="-33071197"/>
    <n v="-3.7958419416744715"/>
    <n v="404694.90322580654"/>
    <n v="0.13944442627749976"/>
    <m/>
  </r>
  <r>
    <x v="0"/>
    <x v="2"/>
    <x v="3"/>
    <x v="1"/>
    <x v="0"/>
    <x v="2"/>
    <x v="4"/>
    <x v="1"/>
    <x v="0"/>
    <x v="8"/>
    <n v="4"/>
    <n v="538"/>
    <n v="4754000"/>
    <n v="538000"/>
    <n v="450000"/>
    <m/>
    <m/>
    <m/>
    <m/>
    <n v="988000"/>
    <m/>
    <n v="699300"/>
    <m/>
    <m/>
    <n v="699300"/>
    <n v="1426200"/>
    <m/>
    <m/>
    <m/>
    <m/>
    <n v="1426200"/>
    <n v="-261100"/>
    <n v="438200"/>
    <n v="0.30725003505819659"/>
    <n v="-699300"/>
    <n v="0"/>
    <m/>
  </r>
  <r>
    <x v="0"/>
    <x v="6"/>
    <x v="7"/>
    <x v="1"/>
    <x v="0"/>
    <x v="2"/>
    <x v="4"/>
    <x v="1"/>
    <x v="0"/>
    <x v="8"/>
    <n v="3"/>
    <n v="504"/>
    <n v="2704000"/>
    <n v="504000"/>
    <n v="450000"/>
    <m/>
    <m/>
    <m/>
    <m/>
    <n v="954000"/>
    <m/>
    <n v="699300"/>
    <m/>
    <m/>
    <n v="699300"/>
    <n v="811200"/>
    <m/>
    <m/>
    <m/>
    <m/>
    <n v="811200"/>
    <n v="-842100"/>
    <n v="-142800"/>
    <n v="-0.17603550295857989"/>
    <n v="-699300"/>
    <n v="0"/>
    <m/>
  </r>
  <r>
    <x v="0"/>
    <x v="0"/>
    <x v="0"/>
    <x v="0"/>
    <x v="0"/>
    <x v="0"/>
    <x v="4"/>
    <x v="1"/>
    <x v="0"/>
    <x v="9"/>
    <n v="256"/>
    <n v="73938"/>
    <n v="650952000"/>
    <n v="73700000"/>
    <n v="53650000"/>
    <m/>
    <m/>
    <m/>
    <m/>
    <n v="127350000"/>
    <n v="0"/>
    <n v="58141800"/>
    <m/>
    <n v="327500"/>
    <n v="58469300"/>
    <n v="149718960"/>
    <n v="31428000"/>
    <n v="31504283.096774194"/>
    <m/>
    <m/>
    <n v="212651243.09677419"/>
    <n v="26831943.096774191"/>
    <n v="22041460"/>
    <n v="0.14721889599019389"/>
    <n v="4790483.0967741907"/>
    <n v="7.6121234778779912E-2"/>
    <m/>
  </r>
  <r>
    <x v="0"/>
    <x v="0"/>
    <x v="1"/>
    <x v="0"/>
    <x v="0"/>
    <x v="1"/>
    <x v="4"/>
    <x v="1"/>
    <x v="0"/>
    <x v="9"/>
    <n v="20"/>
    <n v="6964"/>
    <n v="61752000"/>
    <n v="6952000"/>
    <n v="5025000"/>
    <m/>
    <m/>
    <m/>
    <m/>
    <n v="11977000"/>
    <n v="0"/>
    <n v="4562100"/>
    <m/>
    <n v="456000"/>
    <n v="5018100"/>
    <n v="14202960"/>
    <n v="2466000"/>
    <n v="3017706.5483870967"/>
    <m/>
    <m/>
    <n v="19686666.548387095"/>
    <n v="2691566.5483870953"/>
    <n v="1769960"/>
    <n v="0.12461909348473839"/>
    <n v="921606.54838709719"/>
    <n v="0.16806270362117864"/>
    <m/>
  </r>
  <r>
    <x v="0"/>
    <x v="0"/>
    <x v="9"/>
    <x v="0"/>
    <x v="1"/>
    <x v="3"/>
    <x v="4"/>
    <x v="1"/>
    <x v="0"/>
    <x v="9"/>
    <n v="47"/>
    <n v="9176"/>
    <n v="83342000"/>
    <n v="6958600"/>
    <n v="11900000"/>
    <n v="0"/>
    <m/>
    <n v="0"/>
    <m/>
    <n v="18858600"/>
    <n v="0"/>
    <n v="7925400"/>
    <m/>
    <m/>
    <n v="7925400"/>
    <n v="17501820"/>
    <n v="5950000"/>
    <n v="3420067.4516129033"/>
    <m/>
    <n v="600000"/>
    <n v="27471887.451612905"/>
    <n v="687887.45161290467"/>
    <n v="-756780"/>
    <n v="-4.1806845941457824E-2"/>
    <n v="1444667.4516129028"/>
    <n v="0.15417898100234348"/>
    <m/>
  </r>
  <r>
    <x v="0"/>
    <x v="0"/>
    <x v="10"/>
    <x v="0"/>
    <x v="1"/>
    <x v="4"/>
    <x v="4"/>
    <x v="1"/>
    <x v="0"/>
    <x v="9"/>
    <n v="14"/>
    <n v="4410"/>
    <n v="40536000"/>
    <n v="3528000"/>
    <n v="3700000"/>
    <n v="0"/>
    <m/>
    <n v="0"/>
    <m/>
    <n v="7228000"/>
    <n v="0"/>
    <n v="2464200"/>
    <m/>
    <m/>
    <n v="2464200"/>
    <n v="8512560"/>
    <n v="1850000"/>
    <n v="1027194.9032258064"/>
    <m/>
    <n v="250000"/>
    <n v="11639754.903225806"/>
    <n v="1947554.9032258056"/>
    <n v="1534560"/>
    <n v="0.17512690355329949"/>
    <n v="412994.90322580654"/>
    <n v="0.14354081566138313"/>
    <m/>
  </r>
  <r>
    <x v="0"/>
    <x v="3"/>
    <x v="4"/>
    <x v="1"/>
    <x v="0"/>
    <x v="2"/>
    <x v="4"/>
    <x v="1"/>
    <x v="0"/>
    <x v="9"/>
    <n v="3"/>
    <n v="122"/>
    <m/>
    <n v="122000"/>
    <n v="400000"/>
    <m/>
    <m/>
    <m/>
    <m/>
    <n v="522000"/>
    <m/>
    <n v="699300"/>
    <m/>
    <m/>
    <n v="699300"/>
    <n v="0"/>
    <m/>
    <m/>
    <m/>
    <m/>
    <n v="0"/>
    <n v="-1221300"/>
    <n v="-522000"/>
    <n v="0"/>
    <n v="-699300"/>
    <n v="0"/>
    <m/>
  </r>
  <r>
    <x v="0"/>
    <x v="2"/>
    <x v="3"/>
    <x v="1"/>
    <x v="0"/>
    <x v="2"/>
    <x v="5"/>
    <x v="1"/>
    <x v="1"/>
    <x v="10"/>
    <n v="4"/>
    <n v="683"/>
    <n v="5610000"/>
    <n v="683000"/>
    <n v="650000"/>
    <m/>
    <m/>
    <m/>
    <m/>
    <n v="1333000"/>
    <m/>
    <n v="932400"/>
    <m/>
    <m/>
    <n v="932400"/>
    <n v="1683000"/>
    <n v="0"/>
    <n v="0"/>
    <m/>
    <m/>
    <n v="1683000"/>
    <n v="-582400"/>
    <n v="350000"/>
    <n v="0.20796197266785502"/>
    <n v="-932400"/>
    <n v="0"/>
    <m/>
  </r>
  <r>
    <x v="0"/>
    <x v="6"/>
    <x v="7"/>
    <x v="1"/>
    <x v="0"/>
    <x v="2"/>
    <x v="5"/>
    <x v="1"/>
    <x v="1"/>
    <x v="10"/>
    <n v="3"/>
    <n v="299"/>
    <n v="2728000"/>
    <n v="299000"/>
    <n v="285000"/>
    <m/>
    <m/>
    <m/>
    <m/>
    <n v="584000"/>
    <m/>
    <n v="599400"/>
    <m/>
    <m/>
    <n v="599400"/>
    <n v="818400"/>
    <n v="0"/>
    <n v="0"/>
    <m/>
    <m/>
    <n v="818400"/>
    <n v="-365000"/>
    <n v="234400"/>
    <n v="0.28641251221896386"/>
    <n v="-599400"/>
    <n v="0"/>
    <m/>
  </r>
  <r>
    <x v="0"/>
    <x v="0"/>
    <x v="9"/>
    <x v="0"/>
    <x v="1"/>
    <x v="3"/>
    <x v="5"/>
    <x v="1"/>
    <x v="1"/>
    <x v="11"/>
    <n v="44"/>
    <n v="9110"/>
    <n v="83081000"/>
    <n v="7225900"/>
    <n v="11250000"/>
    <n v="0"/>
    <m/>
    <n v="0"/>
    <m/>
    <n v="18475900"/>
    <n v="0"/>
    <n v="10156500"/>
    <m/>
    <m/>
    <n v="10156500"/>
    <n v="17447010"/>
    <n v="5625000"/>
    <n v="3420067.4516129033"/>
    <m/>
    <n v="0"/>
    <n v="26492077.451612905"/>
    <n v="-2140322.5483870953"/>
    <n v="-1028890"/>
    <n v="-5.8972282356690345E-2"/>
    <n v="-1111432.5483870972"/>
    <n v="-0.12287719846565746"/>
    <m/>
  </r>
  <r>
    <x v="0"/>
    <x v="0"/>
    <x v="10"/>
    <x v="0"/>
    <x v="1"/>
    <x v="4"/>
    <x v="5"/>
    <x v="1"/>
    <x v="1"/>
    <x v="11"/>
    <n v="15"/>
    <n v="4243"/>
    <n v="39114000"/>
    <n v="3394400"/>
    <n v="4000000"/>
    <n v="0"/>
    <m/>
    <n v="0"/>
    <m/>
    <n v="7394400"/>
    <n v="0"/>
    <n v="2664000"/>
    <m/>
    <m/>
    <n v="2664000"/>
    <n v="8213940"/>
    <n v="2000000"/>
    <n v="1027194.9032258064"/>
    <m/>
    <n v="0"/>
    <n v="11241134.903225806"/>
    <n v="1182734.9032258056"/>
    <n v="819540"/>
    <n v="9.9774286152565034E-2"/>
    <n v="363194.90322580654"/>
    <n v="0.11997737669245635"/>
    <m/>
  </r>
  <r>
    <x v="0"/>
    <x v="0"/>
    <x v="0"/>
    <x v="0"/>
    <x v="0"/>
    <x v="0"/>
    <x v="5"/>
    <x v="1"/>
    <x v="1"/>
    <x v="11"/>
    <n v="257"/>
    <n v="75705"/>
    <n v="666015000"/>
    <n v="75642500"/>
    <n v="52225000"/>
    <m/>
    <m/>
    <m/>
    <m/>
    <n v="127867500"/>
    <n v="0"/>
    <n v="57542400"/>
    <m/>
    <n v="327500"/>
    <n v="57869900"/>
    <n v="153183450"/>
    <n v="31104000"/>
    <n v="31504283.096774194"/>
    <m/>
    <m/>
    <n v="215791733.09677419"/>
    <n v="30054333.096774191"/>
    <n v="24988450"/>
    <n v="0.16312760941211338"/>
    <n v="5065883.0967741907"/>
    <n v="8.0913943749963704E-2"/>
    <m/>
  </r>
  <r>
    <x v="0"/>
    <x v="0"/>
    <x v="1"/>
    <x v="0"/>
    <x v="0"/>
    <x v="1"/>
    <x v="5"/>
    <x v="1"/>
    <x v="1"/>
    <x v="11"/>
    <n v="19"/>
    <n v="7309"/>
    <n v="64489000"/>
    <n v="7291500"/>
    <n v="4900000"/>
    <m/>
    <m/>
    <m/>
    <m/>
    <n v="12191500"/>
    <m/>
    <n v="4362300"/>
    <m/>
    <n v="456000"/>
    <n v="4818300"/>
    <n v="14832470"/>
    <n v="2358000"/>
    <n v="3017706.5483870967"/>
    <m/>
    <m/>
    <n v="20208176.548387095"/>
    <n v="3198376.5483870953"/>
    <n v="2184970"/>
    <n v="0.1473099220831055"/>
    <n v="1013406.5483870972"/>
    <n v="0.18851597260106304"/>
    <m/>
  </r>
  <r>
    <x v="0"/>
    <x v="7"/>
    <x v="8"/>
    <x v="1"/>
    <x v="0"/>
    <x v="2"/>
    <x v="6"/>
    <x v="1"/>
    <x v="2"/>
    <x v="12"/>
    <n v="1"/>
    <n v="30"/>
    <n v="410000"/>
    <n v="30000"/>
    <n v="75000"/>
    <m/>
    <m/>
    <m/>
    <m/>
    <n v="105000"/>
    <m/>
    <n v="166500"/>
    <m/>
    <m/>
    <n v="166500"/>
    <n v="102500"/>
    <n v="60000"/>
    <m/>
    <m/>
    <m/>
    <n v="162500"/>
    <n v="-109000"/>
    <n v="-2500"/>
    <n v="-2.4390243902439025E-2"/>
    <n v="-106500"/>
    <n v="-1.7749999999999999"/>
    <m/>
  </r>
  <r>
    <x v="1"/>
    <x v="0"/>
    <x v="9"/>
    <x v="0"/>
    <x v="1"/>
    <x v="3"/>
    <x v="7"/>
    <x v="2"/>
    <x v="3"/>
    <x v="13"/>
    <n v="4"/>
    <n v="4264"/>
    <n v="38989000"/>
    <n v="3105814.2857142854"/>
    <n v="4692857.1428571427"/>
    <n v="0"/>
    <m/>
    <n v="0"/>
    <m/>
    <n v="7798671.4285714282"/>
    <n v="0"/>
    <n v="3125442.8571428568"/>
    <m/>
    <m/>
    <n v="3125442.8571428568"/>
    <n v="8187690"/>
    <n v="2346428.5714285714"/>
    <n v="1351542.857142857"/>
    <m/>
    <m/>
    <n v="11885661.428571427"/>
    <n v="961547.14285714179"/>
    <n v="389018.57142857183"/>
    <n v="4.7512616064918411E-2"/>
    <n v="572528.57142857136"/>
    <n v="0.1548223350253807"/>
    <m/>
  </r>
  <r>
    <x v="0"/>
    <x v="0"/>
    <x v="9"/>
    <x v="0"/>
    <x v="1"/>
    <x v="3"/>
    <x v="6"/>
    <x v="1"/>
    <x v="2"/>
    <x v="14"/>
    <n v="40"/>
    <n v="4861"/>
    <n v="44544000"/>
    <n v="4141085.7142857141"/>
    <n v="6257142.8571428563"/>
    <m/>
    <m/>
    <m/>
    <m/>
    <n v="10398228.571428571"/>
    <m/>
    <n v="4167257.1428571427"/>
    <m/>
    <m/>
    <n v="4167257.1428571427"/>
    <n v="890880"/>
    <n v="3128571.4285714282"/>
    <n v="1954324.2580645161"/>
    <m/>
    <m/>
    <n v="5973775.6866359441"/>
    <n v="-8591710.0276497677"/>
    <n v="-9507348.5714285709"/>
    <n v="-10.671862171592775"/>
    <n v="915638.54377880134"/>
    <n v="0.18014112431742746"/>
    <m/>
  </r>
  <r>
    <x v="1"/>
    <x v="0"/>
    <x v="10"/>
    <x v="0"/>
    <x v="1"/>
    <x v="4"/>
    <x v="7"/>
    <x v="2"/>
    <x v="3"/>
    <x v="13"/>
    <n v="2"/>
    <n v="1645"/>
    <n v="15348000"/>
    <n v="1264114.2857142857"/>
    <n v="1371428.5714285714"/>
    <n v="0"/>
    <m/>
    <n v="0"/>
    <m/>
    <n v="2635542.8571428573"/>
    <n v="0"/>
    <n v="913371.42857142852"/>
    <m/>
    <m/>
    <n v="913371.42857142852"/>
    <n v="3223080"/>
    <n v="685714.28571428568"/>
    <n v="394971.42857142852"/>
    <m/>
    <m/>
    <n v="4303765.7142857136"/>
    <n v="754851.42857142771"/>
    <n v="587537.14285714272"/>
    <n v="0.18229058628924591"/>
    <n v="167314.28571428556"/>
    <n v="0.15482233502538059"/>
    <m/>
  </r>
  <r>
    <x v="0"/>
    <x v="0"/>
    <x v="10"/>
    <x v="0"/>
    <x v="1"/>
    <x v="4"/>
    <x v="6"/>
    <x v="1"/>
    <x v="2"/>
    <x v="14"/>
    <n v="12"/>
    <n v="2042"/>
    <n v="18900000"/>
    <n v="1685485.7142857141"/>
    <n v="1828571.4285714284"/>
    <m/>
    <m/>
    <m/>
    <m/>
    <n v="3514057.1428571427"/>
    <m/>
    <n v="1217828.5714285714"/>
    <m/>
    <m/>
    <n v="1217828.5714285714"/>
    <n v="3969000"/>
    <n v="914285.7142857142"/>
    <n v="586968.51612903224"/>
    <m/>
    <m/>
    <n v="5470254.2304147463"/>
    <n v="738368.51612903178"/>
    <n v="454942.85714285728"/>
    <n v="0.11462405067847248"/>
    <n v="283425.65898617497"/>
    <n v="0.18879257972706856"/>
    <m/>
  </r>
  <r>
    <x v="1"/>
    <x v="0"/>
    <x v="0"/>
    <x v="0"/>
    <x v="0"/>
    <x v="0"/>
    <x v="7"/>
    <x v="2"/>
    <x v="3"/>
    <x v="13"/>
    <n v="10"/>
    <n v="35600"/>
    <n v="313947000"/>
    <n v="33714000"/>
    <n v="22703571.428571429"/>
    <n v="0"/>
    <m/>
    <n v="0"/>
    <m/>
    <n v="56417571.428571433"/>
    <m/>
    <n v="23248157.142857142"/>
    <m/>
    <n v="140357.14285714284"/>
    <n v="23388514.285714284"/>
    <n v="72207810"/>
    <n v="12566571.428571427"/>
    <n v="13196571.428571427"/>
    <m/>
    <m/>
    <n v="97970952.857142866"/>
    <n v="18164867.142857149"/>
    <n v="15649881.428571424"/>
    <n v="0.21673391602059977"/>
    <n v="2514985.7142857127"/>
    <n v="9.7619522906477643E-2"/>
    <m/>
  </r>
  <r>
    <x v="0"/>
    <x v="0"/>
    <x v="0"/>
    <x v="0"/>
    <x v="0"/>
    <x v="0"/>
    <x v="6"/>
    <x v="1"/>
    <x v="2"/>
    <x v="14"/>
    <n v="237"/>
    <n v="43066"/>
    <n v="379443000"/>
    <n v="44952000"/>
    <n v="30271428.571428571"/>
    <m/>
    <m/>
    <m/>
    <m/>
    <n v="75223428.571428567"/>
    <m/>
    <n v="30997542.857142854"/>
    <m/>
    <n v="187142.85714285713"/>
    <n v="31184685.714285713"/>
    <n v="87271890"/>
    <n v="16755428.571428571"/>
    <n v="18002447.483870968"/>
    <m/>
    <m/>
    <n v="122029766.05529954"/>
    <n v="15621651.769585252"/>
    <n v="11861318.571428576"/>
    <n v="0.13591224587239462"/>
    <n v="3760333.1981566809"/>
    <n v="0.10818650691354148"/>
    <m/>
  </r>
  <r>
    <x v="1"/>
    <x v="0"/>
    <x v="1"/>
    <x v="0"/>
    <x v="0"/>
    <x v="1"/>
    <x v="7"/>
    <x v="2"/>
    <x v="3"/>
    <x v="13"/>
    <n v="0"/>
    <n v="7429"/>
    <n v="28154000"/>
    <n v="3183857.1428571427"/>
    <n v="2196428.5714285714"/>
    <m/>
    <m/>
    <m/>
    <m/>
    <n v="5380285.7142857146"/>
    <m/>
    <n v="1869557.1428571427"/>
    <m/>
    <n v="195428.57142857142"/>
    <n v="2064985.7142857141"/>
    <n v="6475420"/>
    <n v="1010571.4285714285"/>
    <n v="1193142.857142857"/>
    <m/>
    <m/>
    <n v="8679134.2857142854"/>
    <n v="1233862.8571428563"/>
    <n v="899705.71428571409"/>
    <n v="0.13894167703187038"/>
    <n v="334157.14285714272"/>
    <n v="0.15163360560093345"/>
    <m/>
  </r>
  <r>
    <x v="0"/>
    <x v="0"/>
    <x v="1"/>
    <x v="0"/>
    <x v="0"/>
    <x v="1"/>
    <x v="6"/>
    <x v="1"/>
    <x v="2"/>
    <x v="14"/>
    <n v="19"/>
    <n v="4246"/>
    <n v="37666000"/>
    <n v="4245142.8571428573"/>
    <n v="2928571.4285714286"/>
    <m/>
    <m/>
    <m/>
    <m/>
    <n v="7173714.2857142854"/>
    <m/>
    <n v="2492742.8571428568"/>
    <m/>
    <n v="260571.42857142855"/>
    <n v="2753314.2857142854"/>
    <n v="8663180"/>
    <n v="1347428.5714285714"/>
    <n v="1724403.7419354839"/>
    <m/>
    <m/>
    <n v="11735012.313364055"/>
    <n v="1807983.7419354841"/>
    <n v="1228894.2857142859"/>
    <n v="0.1418525628827158"/>
    <n v="579089.4562211982"/>
    <n v="0.18851597260106301"/>
    <m/>
  </r>
  <r>
    <x v="1"/>
    <x v="0"/>
    <x v="9"/>
    <x v="0"/>
    <x v="1"/>
    <x v="3"/>
    <x v="8"/>
    <x v="2"/>
    <x v="4"/>
    <x v="15"/>
    <n v="46"/>
    <n v="9027"/>
    <n v="82932000"/>
    <n v="7155000"/>
    <n v="52200000"/>
    <n v="4000000"/>
    <m/>
    <n v="200000"/>
    <m/>
    <n v="63555000"/>
    <m/>
    <n v="34765200"/>
    <m/>
    <m/>
    <n v="34765200"/>
    <n v="17415720"/>
    <n v="25326000"/>
    <n v="15033600"/>
    <m/>
    <n v="2750000"/>
    <n v="60525320"/>
    <n v="-37794880"/>
    <n v="-43389280"/>
    <n v="-2.1516355478505105"/>
    <n v="5594400"/>
    <n v="0.13861386138613863"/>
    <m/>
  </r>
  <r>
    <x v="1"/>
    <x v="0"/>
    <x v="9"/>
    <x v="0"/>
    <x v="1"/>
    <x v="3"/>
    <x v="8"/>
    <x v="2"/>
    <x v="4"/>
    <x v="15"/>
    <n v="9"/>
    <n v="1470"/>
    <n v="13454000"/>
    <n v="1176000"/>
    <n v="2700000"/>
    <n v="0"/>
    <m/>
    <n v="0"/>
    <m/>
    <n v="3876000"/>
    <n v="0"/>
    <n v="1798200"/>
    <m/>
    <m/>
    <n v="1798200"/>
    <n v="2825340"/>
    <n v="1350000"/>
    <n v="777600"/>
    <m/>
    <n v="0"/>
    <n v="4952940"/>
    <n v="-721260"/>
    <n v="-1050660"/>
    <n v="-0.37187028817770607"/>
    <n v="329400"/>
    <n v="0.1548223350253807"/>
    <m/>
  </r>
  <r>
    <x v="1"/>
    <x v="0"/>
    <x v="0"/>
    <x v="0"/>
    <x v="0"/>
    <x v="0"/>
    <x v="8"/>
    <x v="2"/>
    <x v="4"/>
    <x v="15"/>
    <n v="242"/>
    <n v="71078"/>
    <n v="619549000"/>
    <n v="70751000"/>
    <n v="53200000"/>
    <n v="31875000"/>
    <m/>
    <n v="5700000"/>
    <m/>
    <n v="161526000"/>
    <m/>
    <n v="54516000"/>
    <m/>
    <m/>
    <n v="54516000"/>
    <n v="142496270"/>
    <n v="29736000"/>
    <n v="31344000"/>
    <m/>
    <m/>
    <n v="203576270"/>
    <n v="-12465730"/>
    <n v="-19029730"/>
    <n v="-0.13354546052328248"/>
    <n v="6564000"/>
    <n v="0.1074656188605108"/>
    <m/>
  </r>
  <r>
    <x v="1"/>
    <x v="0"/>
    <x v="1"/>
    <x v="0"/>
    <x v="0"/>
    <x v="1"/>
    <x v="8"/>
    <x v="2"/>
    <x v="4"/>
    <x v="15"/>
    <n v="19"/>
    <n v="5555"/>
    <n v="51734000"/>
    <n v="5550000"/>
    <n v="4375000"/>
    <n v="4125000"/>
    <m/>
    <n v="0"/>
    <m/>
    <n v="14050000"/>
    <n v="0"/>
    <n v="4125000"/>
    <m/>
    <m/>
    <n v="4125000"/>
    <n v="11898820"/>
    <n v="2250000"/>
    <n v="2400000"/>
    <m/>
    <m/>
    <n v="16548820"/>
    <n v="-1626180"/>
    <n v="-2151180"/>
    <n v="-0.18078935558315867"/>
    <n v="525000"/>
    <n v="0.11290322580645161"/>
    <m/>
  </r>
  <r>
    <x v="1"/>
    <x v="0"/>
    <x v="9"/>
    <x v="0"/>
    <x v="1"/>
    <x v="3"/>
    <x v="9"/>
    <x v="2"/>
    <x v="0"/>
    <x v="16"/>
    <n v="43"/>
    <n v="10229"/>
    <n v="94554000"/>
    <n v="8123800"/>
    <n v="0"/>
    <n v="0"/>
    <m/>
    <n v="0"/>
    <m/>
    <n v="8123800"/>
    <n v="0"/>
    <n v="0"/>
    <m/>
    <n v="0"/>
    <n v="0"/>
    <n v="19856340"/>
    <n v="0"/>
    <n v="0"/>
    <m/>
    <n v="0"/>
    <n v="19856340"/>
    <n v="11732540"/>
    <n v="11732540"/>
    <n v="0.59087122803094627"/>
    <n v="0"/>
    <n v="0"/>
    <m/>
  </r>
  <r>
    <x v="1"/>
    <x v="0"/>
    <x v="9"/>
    <x v="0"/>
    <x v="1"/>
    <x v="3"/>
    <x v="9"/>
    <x v="2"/>
    <x v="0"/>
    <x v="16"/>
    <n v="5"/>
    <n v="454"/>
    <n v="4140000"/>
    <n v="363200"/>
    <n v="0"/>
    <n v="0"/>
    <m/>
    <n v="0"/>
    <m/>
    <n v="363200"/>
    <n v="0"/>
    <n v="0"/>
    <m/>
    <n v="0"/>
    <n v="0"/>
    <n v="869400"/>
    <n v="0"/>
    <n v="0"/>
    <m/>
    <n v="0"/>
    <n v="869400"/>
    <n v="506200"/>
    <n v="506200"/>
    <n v="0.58224062571888657"/>
    <n v="0"/>
    <n v="0"/>
    <m/>
  </r>
  <r>
    <x v="1"/>
    <x v="0"/>
    <x v="0"/>
    <x v="0"/>
    <x v="0"/>
    <x v="0"/>
    <x v="9"/>
    <x v="2"/>
    <x v="0"/>
    <x v="16"/>
    <n v="247"/>
    <n v="68023"/>
    <n v="597589000"/>
    <n v="68023000"/>
    <n v="51575000"/>
    <n v="0"/>
    <m/>
    <n v="0"/>
    <m/>
    <n v="119598000"/>
    <n v="0"/>
    <n v="52514100"/>
    <m/>
    <m/>
    <n v="52514100"/>
    <n v="137445470"/>
    <n v="28386000"/>
    <n v="30768000"/>
    <m/>
    <m/>
    <n v="196599470"/>
    <n v="24487370"/>
    <n v="17847470"/>
    <n v="0.1298512784742924"/>
    <n v="6639900"/>
    <n v="0.11224769246373871"/>
    <m/>
  </r>
  <r>
    <x v="1"/>
    <x v="0"/>
    <x v="1"/>
    <x v="0"/>
    <x v="0"/>
    <x v="1"/>
    <x v="9"/>
    <x v="2"/>
    <x v="0"/>
    <x v="16"/>
    <n v="16"/>
    <n v="5770"/>
    <n v="51094000"/>
    <n v="5770000"/>
    <n v="4075000"/>
    <n v="0"/>
    <m/>
    <n v="0"/>
    <m/>
    <n v="9845000"/>
    <n v="0"/>
    <n v="3396600"/>
    <m/>
    <m/>
    <n v="3396600"/>
    <n v="11751620"/>
    <n v="1836000"/>
    <n v="2208000"/>
    <m/>
    <m/>
    <n v="15795620"/>
    <n v="2554020"/>
    <n v="1906620"/>
    <n v="0.16224316307028308"/>
    <n v="647400"/>
    <n v="0.16008902077151335"/>
    <m/>
  </r>
  <r>
    <x v="1"/>
    <x v="0"/>
    <x v="9"/>
    <x v="0"/>
    <x v="1"/>
    <x v="3"/>
    <x v="10"/>
    <x v="2"/>
    <x v="1"/>
    <x v="17"/>
    <n v="39"/>
    <n v="8405"/>
    <n v="76136000"/>
    <n v="6721100"/>
    <n v="0"/>
    <n v="0"/>
    <m/>
    <n v="0"/>
    <m/>
    <n v="6721100"/>
    <m/>
    <n v="0"/>
    <m/>
    <m/>
    <n v="0"/>
    <n v="15988560"/>
    <n v="0"/>
    <n v="0"/>
    <m/>
    <m/>
    <n v="15988560"/>
    <n v="9267460"/>
    <n v="9267460"/>
    <n v="0.57963068594044742"/>
    <n v="0"/>
    <n v="0"/>
    <m/>
  </r>
  <r>
    <x v="1"/>
    <x v="0"/>
    <x v="0"/>
    <x v="0"/>
    <x v="0"/>
    <x v="0"/>
    <x v="10"/>
    <x v="2"/>
    <x v="1"/>
    <x v="17"/>
    <n v="232"/>
    <n v="65405"/>
    <n v="573705000"/>
    <n v="65405000"/>
    <n v="49300000"/>
    <n v="0"/>
    <m/>
    <n v="0"/>
    <m/>
    <n v="114705000"/>
    <m/>
    <n v="49716900"/>
    <m/>
    <m/>
    <n v="49716900"/>
    <n v="131952150"/>
    <n v="26874000"/>
    <n v="29472000"/>
    <m/>
    <m/>
    <n v="188298150"/>
    <n v="23876250"/>
    <n v="17247150"/>
    <n v="0.13070760878091034"/>
    <n v="6629100"/>
    <n v="0.11764987754232777"/>
    <m/>
  </r>
  <r>
    <x v="1"/>
    <x v="0"/>
    <x v="1"/>
    <x v="0"/>
    <x v="0"/>
    <x v="1"/>
    <x v="10"/>
    <x v="2"/>
    <x v="1"/>
    <x v="17"/>
    <n v="14"/>
    <n v="5090"/>
    <n v="45532000"/>
    <n v="5090000"/>
    <n v="3875000"/>
    <n v="0"/>
    <m/>
    <n v="0"/>
    <m/>
    <n v="8965000"/>
    <n v="0"/>
    <n v="2863800"/>
    <m/>
    <m/>
    <n v="2863800"/>
    <n v="10472360"/>
    <n v="1548000"/>
    <n v="1872000"/>
    <m/>
    <m/>
    <n v="13892360"/>
    <n v="2063560"/>
    <n v="1507360"/>
    <n v="0.14393699223479711"/>
    <n v="556200"/>
    <n v="0.16263157894736843"/>
    <m/>
  </r>
  <r>
    <x v="1"/>
    <x v="0"/>
    <x v="9"/>
    <x v="0"/>
    <x v="1"/>
    <x v="3"/>
    <x v="11"/>
    <x v="2"/>
    <x v="2"/>
    <x v="18"/>
    <n v="39"/>
    <n v="10172"/>
    <n v="80481000"/>
    <n v="6647000"/>
    <n v="0"/>
    <n v="0"/>
    <m/>
    <n v="0"/>
    <m/>
    <n v="6647000"/>
    <m/>
    <n v="0"/>
    <m/>
    <m/>
    <n v="0"/>
    <n v="16901010"/>
    <n v="0"/>
    <n v="0"/>
    <m/>
    <m/>
    <n v="16901010"/>
    <n v="10254010"/>
    <n v="10254010"/>
    <n v="0.60670989485243776"/>
    <n v="0"/>
    <n v="0"/>
    <m/>
  </r>
  <r>
    <x v="1"/>
    <x v="0"/>
    <x v="0"/>
    <x v="0"/>
    <x v="0"/>
    <x v="0"/>
    <x v="11"/>
    <x v="2"/>
    <x v="2"/>
    <x v="18"/>
    <n v="236"/>
    <n v="63090"/>
    <n v="553762000"/>
    <n v="63090000"/>
    <n v="49450000"/>
    <n v="0"/>
    <m/>
    <n v="0"/>
    <m/>
    <n v="112540000"/>
    <n v="0"/>
    <n v="50349600"/>
    <m/>
    <m/>
    <n v="50349600"/>
    <n v="127365260"/>
    <n v="27216000"/>
    <n v="29112000"/>
    <m/>
    <m/>
    <n v="183693260"/>
    <n v="20803660"/>
    <n v="14825260"/>
    <n v="0.11639955824688773"/>
    <n v="5978400"/>
    <n v="0.10613549211759693"/>
    <m/>
  </r>
  <r>
    <x v="1"/>
    <x v="0"/>
    <x v="1"/>
    <x v="0"/>
    <x v="0"/>
    <x v="1"/>
    <x v="11"/>
    <x v="2"/>
    <x v="2"/>
    <x v="18"/>
    <n v="12"/>
    <n v="3962"/>
    <n v="35350000"/>
    <n v="3962000"/>
    <n v="6225000"/>
    <n v="0"/>
    <m/>
    <n v="0"/>
    <m/>
    <n v="10187000"/>
    <n v="0"/>
    <n v="2697300"/>
    <m/>
    <m/>
    <n v="2697300"/>
    <n v="8130500"/>
    <n v="1458000"/>
    <n v="1704000"/>
    <m/>
    <m/>
    <n v="11292500"/>
    <n v="-1591800"/>
    <n v="-2056500"/>
    <n v="-0.25293647377160078"/>
    <n v="464700"/>
    <n v="0.14696394686907022"/>
    <m/>
  </r>
  <r>
    <x v="1"/>
    <x v="0"/>
    <x v="9"/>
    <x v="0"/>
    <x v="1"/>
    <x v="3"/>
    <x v="12"/>
    <x v="3"/>
    <x v="4"/>
    <x v="19"/>
    <n v="40"/>
    <n v="8215"/>
    <n v="90297000"/>
    <n v="8494500"/>
    <n v="35450000"/>
    <n v="4250000"/>
    <m/>
    <n v="200000"/>
    <m/>
    <n v="48394500"/>
    <m/>
    <n v="23609700"/>
    <m/>
    <m/>
    <n v="23609700"/>
    <n v="18962370"/>
    <n v="12762000"/>
    <n v="10209600"/>
    <m/>
    <m/>
    <n v="41933970"/>
    <n v="-30070230"/>
    <n v="-29432130"/>
    <n v="-1.5521335149562001"/>
    <n v="-638100"/>
    <n v="-2.7777777777777776E-2"/>
    <m/>
  </r>
  <r>
    <x v="1"/>
    <x v="0"/>
    <x v="0"/>
    <x v="0"/>
    <x v="0"/>
    <x v="0"/>
    <x v="12"/>
    <x v="3"/>
    <x v="4"/>
    <x v="19"/>
    <n v="236"/>
    <n v="67407"/>
    <n v="592460000"/>
    <n v="67407000"/>
    <n v="52050000"/>
    <n v="37875000"/>
    <m/>
    <n v="3400000"/>
    <m/>
    <n v="160732000"/>
    <m/>
    <n v="53113500"/>
    <m/>
    <m/>
    <n v="53113500"/>
    <n v="136265800"/>
    <n v="28710000"/>
    <n v="30336000"/>
    <m/>
    <m/>
    <n v="195311800"/>
    <n v="-18533700"/>
    <n v="-24466200"/>
    <n v="-0.17954761943202183"/>
    <n v="5932500"/>
    <n v="0.1004725129560004"/>
    <s v="09) Rekap KSJ Outlet - Nov 2024.xlsx"/>
  </r>
  <r>
    <x v="1"/>
    <x v="0"/>
    <x v="1"/>
    <x v="0"/>
    <x v="0"/>
    <x v="1"/>
    <x v="12"/>
    <x v="3"/>
    <x v="4"/>
    <x v="19"/>
    <n v="12"/>
    <n v="4016"/>
    <n v="35574000"/>
    <n v="4016000"/>
    <n v="3550000"/>
    <n v="2625000"/>
    <m/>
    <n v="0"/>
    <m/>
    <n v="10191000"/>
    <m/>
    <n v="2797200"/>
    <m/>
    <m/>
    <n v="2797200"/>
    <n v="8182020"/>
    <n v="1512000"/>
    <n v="1728000"/>
    <m/>
    <m/>
    <n v="11422020"/>
    <n v="-1566180"/>
    <n v="-2008980"/>
    <n v="-0.24553594344672833"/>
    <n v="442800"/>
    <n v="0.13666666666666666"/>
    <s v="09) Rekap KSJ Outlet - Nov 2024.xlsx"/>
  </r>
  <r>
    <x v="1"/>
    <x v="0"/>
    <x v="9"/>
    <x v="0"/>
    <x v="1"/>
    <x v="3"/>
    <x v="13"/>
    <x v="3"/>
    <x v="0"/>
    <x v="20"/>
    <n v="36"/>
    <n v="8696"/>
    <n v="85181000"/>
    <n v="7240500"/>
    <n v="0"/>
    <n v="0"/>
    <m/>
    <n v="0"/>
    <m/>
    <n v="7240500"/>
    <m/>
    <n v="0"/>
    <m/>
    <m/>
    <n v="0"/>
    <n v="17888010"/>
    <n v="0"/>
    <n v="0"/>
    <m/>
    <m/>
    <n v="17888010"/>
    <n v="10647510"/>
    <n v="10647510"/>
    <n v="0.59523166635081259"/>
    <n v="0"/>
    <n v="0"/>
    <m/>
  </r>
  <r>
    <x v="1"/>
    <x v="0"/>
    <x v="0"/>
    <x v="0"/>
    <x v="0"/>
    <x v="0"/>
    <x v="13"/>
    <x v="3"/>
    <x v="0"/>
    <x v="20"/>
    <n v="235"/>
    <n v="61770"/>
    <n v="543788000"/>
    <n v="61770000"/>
    <n v="50740000"/>
    <m/>
    <m/>
    <m/>
    <m/>
    <n v="112510000"/>
    <m/>
    <n v="51981300"/>
    <m/>
    <m/>
    <n v="51981300"/>
    <n v="125071240"/>
    <n v="28098000"/>
    <n v="30312000"/>
    <m/>
    <m/>
    <n v="183481240"/>
    <n v="18989940"/>
    <n v="12561240"/>
    <n v="0.10043268140621298"/>
    <n v="6428700"/>
    <n v="0.11006163328197227"/>
    <s v="09) Rekap KSJ Outlet - Nov 2024.xlsx"/>
  </r>
  <r>
    <x v="1"/>
    <x v="0"/>
    <x v="1"/>
    <x v="0"/>
    <x v="0"/>
    <x v="1"/>
    <x v="13"/>
    <x v="3"/>
    <x v="0"/>
    <x v="20"/>
    <n v="12"/>
    <n v="3903"/>
    <n v="34504000"/>
    <n v="3903000"/>
    <n v="3375000"/>
    <m/>
    <m/>
    <m/>
    <m/>
    <n v="7278000"/>
    <m/>
    <n v="2797200"/>
    <m/>
    <m/>
    <n v="2797200"/>
    <n v="7935920"/>
    <n v="1512000"/>
    <n v="1728000"/>
    <m/>
    <m/>
    <n v="11175920"/>
    <n v="1100720"/>
    <n v="657920"/>
    <n v="8.2904061532878354E-2"/>
    <n v="442800"/>
    <n v="0.13666666666666666"/>
    <s v="09) Rekap KSJ Outlet - Nov 2024.xlsx"/>
  </r>
  <r>
    <x v="1"/>
    <x v="0"/>
    <x v="9"/>
    <x v="0"/>
    <x v="1"/>
    <x v="3"/>
    <x v="14"/>
    <x v="3"/>
    <x v="1"/>
    <x v="21"/>
    <n v="36"/>
    <n v="8503"/>
    <n v="77914000"/>
    <n v="5772800"/>
    <n v="0"/>
    <n v="0"/>
    <m/>
    <n v="0"/>
    <m/>
    <n v="5772800"/>
    <m/>
    <n v="0"/>
    <m/>
    <m/>
    <n v="0"/>
    <n v="16361940"/>
    <n v="0"/>
    <n v="0"/>
    <m/>
    <m/>
    <n v="16361940"/>
    <n v="10589140"/>
    <n v="10589140"/>
    <n v="0.64718120222907549"/>
    <n v="0"/>
    <n v="0"/>
    <m/>
  </r>
  <r>
    <x v="1"/>
    <x v="0"/>
    <x v="0"/>
    <x v="0"/>
    <x v="0"/>
    <x v="0"/>
    <x v="14"/>
    <x v="3"/>
    <x v="1"/>
    <x v="21"/>
    <n v="228"/>
    <n v="61158"/>
    <n v="539497000"/>
    <n v="61158000"/>
    <n v="48850000"/>
    <n v="0"/>
    <m/>
    <n v="0"/>
    <m/>
    <n v="110008000"/>
    <m/>
    <n v="53146800"/>
    <m/>
    <m/>
    <n v="53146800"/>
    <n v="124084310"/>
    <n v="22122000"/>
    <n v="29472000"/>
    <m/>
    <m/>
    <n v="175678310"/>
    <n v="12523510"/>
    <n v="14076310"/>
    <n v="0.11344149796215171"/>
    <n v="-1552800"/>
    <n v="-3.0096522851494358E-2"/>
    <s v="09) Rekap KSJ Outlet - Nov 2024.xlsx"/>
  </r>
  <r>
    <x v="1"/>
    <x v="0"/>
    <x v="1"/>
    <x v="0"/>
    <x v="0"/>
    <x v="1"/>
    <x v="14"/>
    <x v="3"/>
    <x v="1"/>
    <x v="21"/>
    <n v="12"/>
    <n v="4365"/>
    <n v="38972000"/>
    <n v="4365000"/>
    <n v="3600000"/>
    <n v="0"/>
    <m/>
    <n v="0"/>
    <m/>
    <n v="7965000"/>
    <m/>
    <n v="2797200"/>
    <n v="0"/>
    <n v="0"/>
    <n v="2797200"/>
    <n v="8963560"/>
    <n v="1368000"/>
    <n v="1824000"/>
    <m/>
    <m/>
    <n v="12155560"/>
    <n v="1393360"/>
    <n v="998560"/>
    <n v="0.11140216610364632"/>
    <n v="394800"/>
    <n v="0.12368421052631579"/>
    <s v="09) Rekap KSJ Outlet - Nov 2024.xlsx"/>
  </r>
  <r>
    <x v="1"/>
    <x v="0"/>
    <x v="0"/>
    <x v="0"/>
    <x v="0"/>
    <x v="0"/>
    <x v="15"/>
    <x v="3"/>
    <x v="1"/>
    <x v="22"/>
    <n v="227"/>
    <n v="62942"/>
    <n v="556074000"/>
    <n v="62915000"/>
    <n v="49200000"/>
    <m/>
    <m/>
    <m/>
    <m/>
    <n v="112115000"/>
    <m/>
    <n v="49150800"/>
    <m/>
    <m/>
    <n v="49150800"/>
    <n v="127897020"/>
    <n v="26568000"/>
    <n v="28728000"/>
    <m/>
    <m/>
    <n v="183193020"/>
    <n v="21927220"/>
    <n v="15782020"/>
    <n v="0.12339630743546644"/>
    <n v="6145200"/>
    <n v="0.1111328125"/>
    <s v="09) Rekap KSJ Outlet - Nov 2024.xlsx"/>
  </r>
  <r>
    <x v="1"/>
    <x v="0"/>
    <x v="1"/>
    <x v="0"/>
    <x v="0"/>
    <x v="1"/>
    <x v="15"/>
    <x v="3"/>
    <x v="1"/>
    <x v="22"/>
    <n v="12"/>
    <n v="4516"/>
    <n v="40458000"/>
    <n v="4516000"/>
    <n v="3500000"/>
    <m/>
    <m/>
    <m/>
    <m/>
    <n v="8016000"/>
    <m/>
    <n v="2797200"/>
    <m/>
    <m/>
    <n v="2797200"/>
    <n v="9305340"/>
    <n v="1512000"/>
    <n v="1704000"/>
    <m/>
    <m/>
    <n v="12521340"/>
    <n v="1708140"/>
    <n v="1289340"/>
    <n v="0.13855914990747248"/>
    <n v="418800"/>
    <n v="0.13022388059701492"/>
    <s v="09) Rekap KSJ Outlet - Nov 2024.xlsx"/>
  </r>
  <r>
    <x v="1"/>
    <x v="0"/>
    <x v="9"/>
    <x v="0"/>
    <x v="1"/>
    <x v="3"/>
    <x v="15"/>
    <x v="3"/>
    <x v="2"/>
    <x v="22"/>
    <n v="25"/>
    <n v="7216"/>
    <n v="66424000"/>
    <n v="5772800"/>
    <n v="0"/>
    <n v="0"/>
    <m/>
    <n v="0"/>
    <m/>
    <n v="5772800"/>
    <m/>
    <n v="0"/>
    <m/>
    <m/>
    <n v="0"/>
    <n v="13949040"/>
    <n v="0"/>
    <n v="0"/>
    <m/>
    <m/>
    <n v="13949040"/>
    <n v="8176240"/>
    <n v="8176240"/>
    <n v="0.58615073151987518"/>
    <n v="0"/>
    <n v="0"/>
    <m/>
  </r>
  <r>
    <x v="1"/>
    <x v="0"/>
    <x v="0"/>
    <x v="0"/>
    <x v="0"/>
    <x v="0"/>
    <x v="16"/>
    <x v="3"/>
    <x v="2"/>
    <x v="23"/>
    <n v="224"/>
    <n v="65466"/>
    <n v="577687000"/>
    <n v="65443500"/>
    <n v="50550000"/>
    <m/>
    <m/>
    <m/>
    <m/>
    <n v="115993500"/>
    <m/>
    <n v="49250700"/>
    <m/>
    <m/>
    <n v="49250700"/>
    <n v="132868010"/>
    <n v="26622000"/>
    <n v="19488000"/>
    <m/>
    <m/>
    <n v="178978010"/>
    <n v="13733810"/>
    <n v="16874510"/>
    <n v="0.1270020526385546"/>
    <n v="-3140700"/>
    <n v="-6.8113207547169805E-2"/>
    <s v="09) Rekap KSJ Outlet - Nov 2024.xlsx"/>
  </r>
  <r>
    <x v="1"/>
    <x v="0"/>
    <x v="1"/>
    <x v="0"/>
    <x v="0"/>
    <x v="1"/>
    <x v="16"/>
    <x v="3"/>
    <x v="2"/>
    <x v="23"/>
    <n v="10"/>
    <n v="3485"/>
    <n v="30712000"/>
    <n v="3485000"/>
    <n v="2750000"/>
    <m/>
    <m/>
    <m/>
    <m/>
    <n v="6235000"/>
    <m/>
    <n v="1565100"/>
    <m/>
    <m/>
    <n v="1565100"/>
    <n v="7063760"/>
    <n v="1188000"/>
    <n v="984000"/>
    <m/>
    <m/>
    <n v="9235760"/>
    <n v="1435660"/>
    <n v="828760"/>
    <n v="0.11732561695187832"/>
    <n v="606900"/>
    <n v="0.27941988950276242"/>
    <s v="09) Rekap KSJ Outlet - Nov 2024.xlsx"/>
  </r>
  <r>
    <x v="1"/>
    <x v="0"/>
    <x v="9"/>
    <x v="0"/>
    <x v="1"/>
    <x v="3"/>
    <x v="16"/>
    <x v="3"/>
    <x v="3"/>
    <x v="23"/>
    <n v="25"/>
    <n v="7612"/>
    <n v="69652000"/>
    <n v="6225600"/>
    <n v="2004000"/>
    <n v="0"/>
    <m/>
    <n v="0"/>
    <m/>
    <n v="8229600"/>
    <m/>
    <n v="2597400"/>
    <m/>
    <m/>
    <n v="2597400"/>
    <n v="14626920"/>
    <n v="1296000"/>
    <n v="1036800"/>
    <m/>
    <m/>
    <n v="16959720"/>
    <n v="6132720"/>
    <n v="6397320"/>
    <n v="0.43736617141544493"/>
    <n v="-264600"/>
    <n v="-0.11342592592592593"/>
    <m/>
  </r>
  <r>
    <x v="1"/>
    <x v="0"/>
    <x v="9"/>
    <x v="0"/>
    <x v="1"/>
    <x v="3"/>
    <x v="17"/>
    <x v="4"/>
    <x v="4"/>
    <x v="24"/>
    <n v="22"/>
    <n v="6963"/>
    <n v="73460000"/>
    <n v="6369600"/>
    <n v="27972385"/>
    <n v="4336537"/>
    <m/>
    <n v="200000"/>
    <m/>
    <n v="38878522"/>
    <m/>
    <n v="21012300"/>
    <m/>
    <m/>
    <n v="21012300"/>
    <n v="15426600"/>
    <n v="10062000"/>
    <n v="9086400"/>
    <m/>
    <m/>
    <n v="34575000"/>
    <n v="-25315822"/>
    <n v="-23451922"/>
    <n v="-1.5202262326112039"/>
    <n v="-1863900"/>
    <n v="-9.7339725512314346E-2"/>
    <m/>
  </r>
  <r>
    <x v="1"/>
    <x v="0"/>
    <x v="0"/>
    <x v="0"/>
    <x v="0"/>
    <x v="0"/>
    <x v="17"/>
    <x v="4"/>
    <x v="4"/>
    <x v="25"/>
    <n v="208"/>
    <n v="61209"/>
    <n v="541260000"/>
    <n v="61187000"/>
    <n v="47300000"/>
    <n v="25875000"/>
    <m/>
    <n v="3700000"/>
    <m/>
    <n v="138062000"/>
    <m/>
    <n v="45487800"/>
    <m/>
    <m/>
    <n v="45487800"/>
    <n v="124489800"/>
    <n v="24588000"/>
    <n v="18936000"/>
    <m/>
    <m/>
    <n v="168013800"/>
    <n v="-15536000"/>
    <n v="-13572200"/>
    <n v="-0.10902258658942339"/>
    <n v="-1963800"/>
    <n v="-4.5119933829611249E-2"/>
    <s v="08) Rekap KSJ Outlet - Oct 2024.xlsx"/>
  </r>
  <r>
    <x v="1"/>
    <x v="0"/>
    <x v="1"/>
    <x v="0"/>
    <x v="0"/>
    <x v="1"/>
    <x v="17"/>
    <x v="4"/>
    <x v="4"/>
    <x v="25"/>
    <n v="12"/>
    <n v="3563"/>
    <n v="31750000"/>
    <n v="3563000"/>
    <n v="2500000"/>
    <m/>
    <m/>
    <m/>
    <m/>
    <n v="6063000"/>
    <m/>
    <n v="2697300"/>
    <m/>
    <m/>
    <n v="2697300"/>
    <n v="7302500"/>
    <n v="1458000"/>
    <n v="1320000"/>
    <m/>
    <m/>
    <n v="10080500"/>
    <n v="1320200"/>
    <n v="1239500"/>
    <n v="0.16973639164669635"/>
    <n v="80700"/>
    <n v="2.9049676025917927E-2"/>
    <s v="08) Rekap KSJ Outlet - Oct 2024.xlsx"/>
  </r>
  <r>
    <x v="1"/>
    <x v="0"/>
    <x v="9"/>
    <x v="0"/>
    <x v="1"/>
    <x v="3"/>
    <x v="18"/>
    <x v="4"/>
    <x v="0"/>
    <x v="26"/>
    <n v="26"/>
    <n v="8176"/>
    <n v="74132000"/>
    <n v="6816000"/>
    <n v="0"/>
    <n v="0"/>
    <m/>
    <n v="0"/>
    <m/>
    <n v="6816000"/>
    <m/>
    <n v="0"/>
    <m/>
    <m/>
    <n v="0"/>
    <n v="15567720"/>
    <n v="0"/>
    <n v="0"/>
    <m/>
    <m/>
    <n v="15567720"/>
    <n v="8751720"/>
    <n v="8751720"/>
    <n v="0.56217095374274462"/>
    <n v="0"/>
    <n v="0"/>
    <m/>
  </r>
  <r>
    <x v="1"/>
    <x v="0"/>
    <x v="0"/>
    <x v="0"/>
    <x v="0"/>
    <x v="0"/>
    <x v="18"/>
    <x v="4"/>
    <x v="0"/>
    <x v="26"/>
    <n v="199"/>
    <n v="58648"/>
    <n v="518067000"/>
    <n v="58648000"/>
    <n v="45250000"/>
    <n v="0"/>
    <m/>
    <n v="0"/>
    <m/>
    <n v="103898000"/>
    <m/>
    <n v="44788500"/>
    <m/>
    <m/>
    <n v="44788500"/>
    <n v="119155410"/>
    <n v="24210000"/>
    <n v="25824000"/>
    <m/>
    <m/>
    <n v="169189410"/>
    <n v="20502910"/>
    <n v="15257410"/>
    <n v="0.1280463052411972"/>
    <n v="5245500"/>
    <n v="0.10483870967741936"/>
    <s v="08) Rekap KSJ Outlet - Oct 2024.xlsx"/>
  </r>
  <r>
    <x v="1"/>
    <x v="0"/>
    <x v="1"/>
    <x v="0"/>
    <x v="0"/>
    <x v="1"/>
    <x v="18"/>
    <x v="4"/>
    <x v="0"/>
    <x v="26"/>
    <n v="11"/>
    <n v="3428"/>
    <n v="30804000"/>
    <n v="3428000"/>
    <n v="2475000"/>
    <m/>
    <m/>
    <m/>
    <m/>
    <n v="5903000"/>
    <m/>
    <n v="2131200"/>
    <m/>
    <m/>
    <n v="2131200"/>
    <n v="7084920"/>
    <n v="1152000"/>
    <n v="1344000"/>
    <m/>
    <m/>
    <n v="9580920"/>
    <n v="1546720"/>
    <n v="1181920"/>
    <n v="0.16682192600622167"/>
    <n v="364800"/>
    <n v="0.14615384615384616"/>
    <s v="08) Rekap KSJ Outlet - Oct 2024.xlsx"/>
  </r>
  <r>
    <x v="1"/>
    <x v="0"/>
    <x v="9"/>
    <x v="0"/>
    <x v="1"/>
    <x v="3"/>
    <x v="19"/>
    <x v="4"/>
    <x v="1"/>
    <x v="27"/>
    <n v="25"/>
    <n v="8088"/>
    <n v="73300000"/>
    <n v="6600000"/>
    <n v="0"/>
    <n v="0"/>
    <m/>
    <n v="0"/>
    <m/>
    <n v="6600000"/>
    <m/>
    <n v="0"/>
    <m/>
    <m/>
    <n v="0"/>
    <n v="15393000"/>
    <n v="0"/>
    <n v="0"/>
    <m/>
    <m/>
    <n v="15393000"/>
    <n v="8793000"/>
    <n v="8793000"/>
    <n v="0.57123367764568311"/>
    <n v="0"/>
    <n v="0"/>
    <m/>
  </r>
  <r>
    <x v="1"/>
    <x v="0"/>
    <x v="0"/>
    <x v="0"/>
    <x v="0"/>
    <x v="0"/>
    <x v="19"/>
    <x v="4"/>
    <x v="1"/>
    <x v="28"/>
    <n v="198"/>
    <n v="59288"/>
    <n v="526617000"/>
    <n v="59288000"/>
    <n v="45225000"/>
    <n v="0"/>
    <m/>
    <n v="0"/>
    <m/>
    <n v="104513000"/>
    <m/>
    <n v="43656300"/>
    <m/>
    <m/>
    <n v="43656300"/>
    <n v="121121910"/>
    <n v="23598000"/>
    <n v="24504000"/>
    <m/>
    <m/>
    <n v="169223910"/>
    <n v="21054610"/>
    <n v="16608910"/>
    <n v="0.1371255621712042"/>
    <n v="4445700"/>
    <n v="9.2422352500935515E-2"/>
    <s v="08) Rekap KSJ Outlet - Oct 2024.xlsx"/>
  </r>
  <r>
    <x v="1"/>
    <x v="0"/>
    <x v="1"/>
    <x v="0"/>
    <x v="0"/>
    <x v="1"/>
    <x v="19"/>
    <x v="4"/>
    <x v="1"/>
    <x v="28"/>
    <n v="7"/>
    <n v="532"/>
    <n v="4918000"/>
    <n v="532000"/>
    <n v="650000"/>
    <m/>
    <m/>
    <m/>
    <m/>
    <n v="1182000"/>
    <m/>
    <n v="432900"/>
    <m/>
    <m/>
    <n v="432900"/>
    <n v="1131140"/>
    <n v="234000"/>
    <n v="312000"/>
    <m/>
    <m/>
    <n v="1677140"/>
    <n v="62240"/>
    <n v="-50860"/>
    <n v="-4.4963488162384851E-2"/>
    <n v="113100"/>
    <n v="0.20714285714285716"/>
    <s v="08) Rekap KSJ Outlet - Oct 2024.xlsx"/>
  </r>
  <r>
    <x v="1"/>
    <x v="0"/>
    <x v="9"/>
    <x v="0"/>
    <x v="1"/>
    <x v="3"/>
    <x v="20"/>
    <x v="4"/>
    <x v="2"/>
    <x v="29"/>
    <n v="25"/>
    <n v="8057"/>
    <n v="73340000"/>
    <n v="6592400"/>
    <n v="0"/>
    <n v="0"/>
    <m/>
    <n v="0"/>
    <m/>
    <n v="6592400"/>
    <m/>
    <n v="0"/>
    <m/>
    <m/>
    <n v="0"/>
    <n v="15401400"/>
    <n v="0"/>
    <n v="0"/>
    <m/>
    <m/>
    <n v="15401400"/>
    <n v="8809000"/>
    <n v="8809000"/>
    <n v="0.57196099055929983"/>
    <n v="0"/>
    <n v="0"/>
    <m/>
  </r>
  <r>
    <x v="1"/>
    <x v="0"/>
    <x v="0"/>
    <x v="0"/>
    <x v="0"/>
    <x v="0"/>
    <x v="20"/>
    <x v="4"/>
    <x v="2"/>
    <x v="29"/>
    <n v="191"/>
    <n v="57329"/>
    <n v="508867000"/>
    <n v="57329000"/>
    <n v="44225000"/>
    <n v="0"/>
    <m/>
    <n v="0"/>
    <m/>
    <n v="101554000"/>
    <m/>
    <n v="42490800"/>
    <m/>
    <m/>
    <n v="42490800"/>
    <n v="117039410"/>
    <n v="22968000"/>
    <n v="23928000"/>
    <m/>
    <m/>
    <n v="163935410"/>
    <n v="19890610"/>
    <n v="15485410"/>
    <n v="0.13230936485411196"/>
    <n v="4405200"/>
    <n v="9.3935516888433976E-2"/>
    <s v="08) Rekap KSJ Outlet - Oct 2024.xlsx"/>
  </r>
  <r>
    <x v="0"/>
    <x v="4"/>
    <x v="11"/>
    <x v="0"/>
    <x v="1"/>
    <x v="5"/>
    <x v="21"/>
    <x v="5"/>
    <x v="2"/>
    <x v="30"/>
    <n v="3"/>
    <n v="112"/>
    <n v="486000"/>
    <n v="97200"/>
    <n v="450000"/>
    <n v="0"/>
    <m/>
    <n v="0"/>
    <m/>
    <n v="547200"/>
    <n v="700000"/>
    <n v="0"/>
    <n v="0"/>
    <n v="0"/>
    <n v="700000"/>
    <n v="486000"/>
    <n v="0"/>
    <n v="0"/>
    <m/>
    <n v="0"/>
    <n v="486000"/>
    <n v="-761200"/>
    <n v="-761200"/>
    <n v="-1.5662551440329218"/>
    <n v="0"/>
    <n v="0"/>
    <m/>
  </r>
  <r>
    <x v="0"/>
    <x v="4"/>
    <x v="11"/>
    <x v="0"/>
    <x v="1"/>
    <x v="5"/>
    <x v="22"/>
    <x v="5"/>
    <x v="1"/>
    <x v="31"/>
    <n v="4"/>
    <n v="112"/>
    <n v="429000"/>
    <n v="85800"/>
    <n v="480000"/>
    <n v="0"/>
    <m/>
    <n v="0"/>
    <m/>
    <n v="565800"/>
    <n v="740000"/>
    <n v="0"/>
    <n v="0"/>
    <n v="0"/>
    <n v="740000"/>
    <n v="429000"/>
    <n v="0"/>
    <n v="0"/>
    <n v="0"/>
    <n v="0"/>
    <n v="429000"/>
    <n v="-876800"/>
    <n v="-876800"/>
    <n v="-2.0438228438228436"/>
    <n v="0"/>
    <n v="0"/>
    <m/>
  </r>
  <r>
    <x v="1"/>
    <x v="0"/>
    <x v="9"/>
    <x v="0"/>
    <x v="1"/>
    <x v="3"/>
    <x v="23"/>
    <x v="5"/>
    <x v="4"/>
    <x v="32"/>
    <n v="23"/>
    <n v="6005"/>
    <n v="54370000"/>
    <n v="3573600"/>
    <n v="20600000"/>
    <n v="1971155"/>
    <m/>
    <n v="600000"/>
    <m/>
    <n v="26744755"/>
    <m/>
    <n v="13719600"/>
    <m/>
    <m/>
    <n v="13719600"/>
    <n v="11417700"/>
    <n v="7416000"/>
    <n v="7142400"/>
    <m/>
    <m/>
    <n v="25976100"/>
    <n v="-14488255"/>
    <n v="-15327055"/>
    <n v="-1.3423942650446237"/>
    <n v="838800"/>
    <n v="5.76162215628091E-2"/>
    <m/>
  </r>
  <r>
    <x v="1"/>
    <x v="0"/>
    <x v="0"/>
    <x v="0"/>
    <x v="0"/>
    <x v="0"/>
    <x v="23"/>
    <x v="5"/>
    <x v="4"/>
    <x v="33"/>
    <n v="181"/>
    <n v="47491"/>
    <n v="418715000"/>
    <n v="47491000"/>
    <n v="38100000"/>
    <n v="23250000"/>
    <m/>
    <n v="4100000"/>
    <m/>
    <n v="112941000"/>
    <m/>
    <n v="38594700"/>
    <m/>
    <m/>
    <n v="38594700"/>
    <n v="96304450"/>
    <n v="20862000"/>
    <n v="22536000"/>
    <m/>
    <m/>
    <n v="139702450"/>
    <n v="-11833250"/>
    <n v="-16636550"/>
    <n v="-0.17274954584133961"/>
    <n v="4803300"/>
    <n v="0.11068021567814185"/>
    <s v="07) Rekap KSJ Outlet - Sept 2024.xlsx"/>
  </r>
  <r>
    <x v="1"/>
    <x v="0"/>
    <x v="9"/>
    <x v="0"/>
    <x v="1"/>
    <x v="3"/>
    <x v="24"/>
    <x v="5"/>
    <x v="0"/>
    <x v="34"/>
    <n v="22"/>
    <n v="5401"/>
    <n v="49098000"/>
    <n v="2212000"/>
    <n v="0"/>
    <n v="0"/>
    <m/>
    <n v="0"/>
    <m/>
    <n v="2212000"/>
    <m/>
    <n v="0"/>
    <m/>
    <m/>
    <n v="0"/>
    <n v="10310580"/>
    <n v="0"/>
    <n v="0"/>
    <m/>
    <m/>
    <n v="10310580"/>
    <n v="8098580"/>
    <n v="8098580"/>
    <n v="0.78546308743058102"/>
    <n v="0"/>
    <n v="0"/>
    <m/>
  </r>
  <r>
    <x v="1"/>
    <x v="0"/>
    <x v="0"/>
    <x v="0"/>
    <x v="0"/>
    <x v="0"/>
    <x v="24"/>
    <x v="5"/>
    <x v="0"/>
    <x v="35"/>
    <n v="168"/>
    <n v="48461"/>
    <n v="430340000"/>
    <n v="48461000"/>
    <n v="37800000"/>
    <n v="0"/>
    <m/>
    <n v="0"/>
    <m/>
    <n v="86261000"/>
    <m/>
    <n v="39160800"/>
    <m/>
    <m/>
    <n v="39160800"/>
    <n v="98978200"/>
    <n v="18900000"/>
    <n v="25200000"/>
    <m/>
    <m/>
    <n v="143078200"/>
    <n v="17656400"/>
    <n v="12717200"/>
    <n v="0.12848485828192471"/>
    <n v="4939200"/>
    <n v="0.112"/>
    <s v="07) Rekap KSJ Outlet - Sept 2024.xlsx"/>
  </r>
  <r>
    <x v="1"/>
    <x v="0"/>
    <x v="9"/>
    <x v="0"/>
    <x v="1"/>
    <x v="3"/>
    <x v="22"/>
    <x v="5"/>
    <x v="1"/>
    <x v="31"/>
    <n v="21"/>
    <n v="5613"/>
    <n v="51126000"/>
    <n v="2327100"/>
    <n v="0"/>
    <n v="0"/>
    <m/>
    <n v="0"/>
    <m/>
    <n v="2327100"/>
    <m/>
    <n v="0"/>
    <m/>
    <m/>
    <n v="0"/>
    <n v="10736460"/>
    <n v="0"/>
    <n v="0"/>
    <m/>
    <m/>
    <n v="10736460"/>
    <n v="8409360"/>
    <n v="8409360"/>
    <n v="0.7832525804594811"/>
    <n v="0"/>
    <n v="0"/>
    <m/>
  </r>
  <r>
    <x v="1"/>
    <x v="0"/>
    <x v="0"/>
    <x v="0"/>
    <x v="0"/>
    <x v="0"/>
    <x v="22"/>
    <x v="5"/>
    <x v="1"/>
    <x v="36"/>
    <n v="139"/>
    <n v="41766"/>
    <n v="370126000"/>
    <n v="41766000"/>
    <n v="32775000"/>
    <n v="0"/>
    <m/>
    <n v="0"/>
    <m/>
    <n v="74541000"/>
    <m/>
    <n v="31235400"/>
    <m/>
    <m/>
    <n v="31235400"/>
    <n v="85128980"/>
    <n v="16884000"/>
    <n v="22512000"/>
    <m/>
    <m/>
    <n v="124524980"/>
    <n v="18748580"/>
    <n v="10587980"/>
    <n v="0.12437574137502881"/>
    <n v="8160600"/>
    <n v="0.20714285714285716"/>
    <s v="07) Rekap KSJ Outlet - Sept 2024.xlsx"/>
  </r>
  <r>
    <x v="1"/>
    <x v="0"/>
    <x v="9"/>
    <x v="0"/>
    <x v="1"/>
    <x v="3"/>
    <x v="25"/>
    <x v="6"/>
    <x v="3"/>
    <x v="37"/>
    <n v="15"/>
    <n v="3136"/>
    <n v="34818000"/>
    <n v="1254400"/>
    <n v="0"/>
    <n v="0"/>
    <m/>
    <n v="0"/>
    <m/>
    <n v="1254400"/>
    <m/>
    <n v="2530800"/>
    <m/>
    <m/>
    <n v="2530800"/>
    <n v="7311780"/>
    <n v="1674000"/>
    <n v="1824000"/>
    <m/>
    <m/>
    <n v="10809780"/>
    <n v="7024580"/>
    <n v="6057380"/>
    <n v="0.8284412277174642"/>
    <n v="967200"/>
    <n v="0.27650085763293308"/>
    <m/>
  </r>
  <r>
    <x v="1"/>
    <x v="0"/>
    <x v="9"/>
    <x v="0"/>
    <x v="1"/>
    <x v="3"/>
    <x v="26"/>
    <x v="6"/>
    <x v="4"/>
    <x v="38"/>
    <n v="13"/>
    <n v="2686"/>
    <n v="24508000"/>
    <n v="2148800"/>
    <n v="2275000"/>
    <n v="0"/>
    <m/>
    <n v="0"/>
    <m/>
    <n v="4423800"/>
    <m/>
    <n v="2031300"/>
    <m/>
    <m/>
    <n v="2031300"/>
    <n v="5146680"/>
    <n v="520000"/>
    <n v="805200"/>
    <m/>
    <m/>
    <n v="6471880"/>
    <n v="16780"/>
    <n v="722880"/>
    <n v="0.14045559467462521"/>
    <n v="-706100"/>
    <n v="-0.53282523392695447"/>
    <m/>
  </r>
  <r>
    <x v="1"/>
    <x v="0"/>
    <x v="0"/>
    <x v="0"/>
    <x v="0"/>
    <x v="0"/>
    <x v="26"/>
    <x v="6"/>
    <x v="4"/>
    <x v="38"/>
    <n v="129"/>
    <n v="41485"/>
    <n v="369048000"/>
    <n v="41485000"/>
    <n v="30975000"/>
    <n v="350000"/>
    <m/>
    <n v="0"/>
    <m/>
    <n v="72810000"/>
    <m/>
    <n v="28671300"/>
    <m/>
    <m/>
    <n v="28671300"/>
    <n v="84881040"/>
    <n v="15534000"/>
    <n v="9216000"/>
    <m/>
    <m/>
    <n v="109631040"/>
    <n v="8149740"/>
    <n v="12071040"/>
    <n v="0.14221126414096716"/>
    <n v="-3921300"/>
    <n v="-0.15843636363636363"/>
    <m/>
  </r>
  <r>
    <x v="1"/>
    <x v="0"/>
    <x v="0"/>
    <x v="0"/>
    <x v="0"/>
    <x v="0"/>
    <x v="25"/>
    <x v="6"/>
    <x v="4"/>
    <x v="39"/>
    <n v="126"/>
    <n v="39758"/>
    <n v="352342000"/>
    <n v="39758000"/>
    <n v="28975000"/>
    <n v="26250000"/>
    <m/>
    <n v="3700000"/>
    <m/>
    <n v="98683000"/>
    <m/>
    <m/>
    <m/>
    <m/>
    <n v="0"/>
    <n v="81038660"/>
    <n v="14238000"/>
    <n v="15936000"/>
    <m/>
    <m/>
    <n v="111212660"/>
    <n v="12529660"/>
    <n v="-17644340"/>
    <n v="-0.21772744021186924"/>
    <n v="30174000"/>
    <n v="1"/>
    <m/>
  </r>
  <r>
    <x v="1"/>
    <x v="0"/>
    <x v="9"/>
    <x v="0"/>
    <x v="1"/>
    <x v="3"/>
    <x v="27"/>
    <x v="6"/>
    <x v="0"/>
    <x v="40"/>
    <n v="13"/>
    <n v="2107"/>
    <n v="19250000"/>
    <n v="1365600"/>
    <n v="1645200"/>
    <n v="0"/>
    <m/>
    <n v="0"/>
    <m/>
    <n v="3010800"/>
    <m/>
    <n v="1498500"/>
    <m/>
    <m/>
    <n v="1498500"/>
    <n v="4042500"/>
    <n v="360000"/>
    <n v="540000"/>
    <m/>
    <m/>
    <n v="4942500"/>
    <n v="433200"/>
    <n v="1031700"/>
    <n v="0.25521335807050094"/>
    <n v="-598500"/>
    <n v="-0.66500000000000004"/>
    <m/>
  </r>
  <r>
    <x v="1"/>
    <x v="0"/>
    <x v="0"/>
    <x v="0"/>
    <x v="0"/>
    <x v="0"/>
    <x v="27"/>
    <x v="6"/>
    <x v="0"/>
    <x v="40"/>
    <n v="126"/>
    <n v="41759"/>
    <n v="367992000"/>
    <n v="42292000"/>
    <n v="31350000"/>
    <n v="0"/>
    <m/>
    <n v="0"/>
    <m/>
    <n v="73642000"/>
    <n v="0"/>
    <n v="27472500"/>
    <n v="0"/>
    <m/>
    <n v="27472500"/>
    <n v="84638160"/>
    <n v="14850000"/>
    <n v="19800000"/>
    <m/>
    <n v="0"/>
    <n v="119288160"/>
    <n v="18173660"/>
    <n v="10996160"/>
    <n v="0.12991964853678292"/>
    <n v="7177500"/>
    <n v="0.20714285714285716"/>
    <m/>
  </r>
  <r>
    <x v="1"/>
    <x v="0"/>
    <x v="9"/>
    <x v="0"/>
    <x v="1"/>
    <x v="3"/>
    <x v="28"/>
    <x v="6"/>
    <x v="1"/>
    <x v="41"/>
    <n v="9"/>
    <n v="1054"/>
    <n v="9014000"/>
    <n v="739200"/>
    <n v="840000"/>
    <n v="0"/>
    <m/>
    <n v="0"/>
    <m/>
    <n v="1579200"/>
    <m/>
    <n v="600000"/>
    <m/>
    <m/>
    <n v="600000"/>
    <n v="1892940"/>
    <n v="192000"/>
    <n v="120000"/>
    <m/>
    <m/>
    <n v="2204940"/>
    <n v="25740"/>
    <n v="313740"/>
    <n v="0.16574217883292655"/>
    <n v="-288000"/>
    <n v="-0.92307692307692313"/>
    <m/>
  </r>
  <r>
    <x v="1"/>
    <x v="0"/>
    <x v="0"/>
    <x v="0"/>
    <x v="0"/>
    <x v="0"/>
    <x v="28"/>
    <x v="6"/>
    <x v="1"/>
    <x v="41"/>
    <n v="120"/>
    <n v="39961"/>
    <n v="347666000"/>
    <n v="39961000"/>
    <n v="29525000"/>
    <n v="0"/>
    <m/>
    <n v="0"/>
    <m/>
    <n v="69486000"/>
    <m/>
    <n v="26540100"/>
    <m/>
    <m/>
    <n v="26540100"/>
    <n v="79963180"/>
    <n v="14346000"/>
    <n v="19128000"/>
    <m/>
    <m/>
    <n v="113437180"/>
    <n v="17411080"/>
    <n v="10477180"/>
    <n v="0.13102505428123293"/>
    <n v="6933900"/>
    <n v="0.20714285714285716"/>
    <m/>
  </r>
  <r>
    <x v="0"/>
    <x v="0"/>
    <x v="9"/>
    <x v="0"/>
    <x v="1"/>
    <x v="3"/>
    <x v="29"/>
    <x v="0"/>
    <x v="4"/>
    <x v="42"/>
    <n v="61"/>
    <n v="11022"/>
    <n v="99493000"/>
    <n v="8814300"/>
    <n v="15950000"/>
    <n v="6105767"/>
    <m/>
    <n v="0"/>
    <m/>
    <n v="30870067"/>
    <n v="840000"/>
    <n v="11270000"/>
    <n v="0"/>
    <n v="0"/>
    <n v="12110000"/>
    <n v="20893530"/>
    <n v="8050000"/>
    <n v="4302825.25"/>
    <m/>
    <n v="1500000"/>
    <n v="34746355.25"/>
    <n v="-8233711.75"/>
    <n v="-9316537"/>
    <n v="-0.41603699818652978"/>
    <n v="1082825.25"/>
    <n v="8.7658104772428483E-2"/>
    <m/>
  </r>
  <r>
    <x v="0"/>
    <x v="0"/>
    <x v="10"/>
    <x v="0"/>
    <x v="1"/>
    <x v="4"/>
    <x v="29"/>
    <x v="0"/>
    <x v="4"/>
    <x v="42"/>
    <n v="15"/>
    <n v="335"/>
    <n v="44522000"/>
    <n v="3913600"/>
    <n v="4250000"/>
    <n v="2057691"/>
    <m/>
    <n v="200000"/>
    <m/>
    <n v="10421291"/>
    <m/>
    <n v="2975000"/>
    <n v="0"/>
    <n v="125000"/>
    <n v="3100000"/>
    <n v="9349620"/>
    <n v="2125000"/>
    <n v="1137853"/>
    <m/>
    <n v="50000"/>
    <n v="12662473"/>
    <n v="-858818"/>
    <n v="-1146671"/>
    <n v="-0.1219912081552233"/>
    <n v="287853"/>
    <n v="8.8221259125066315E-2"/>
    <m/>
  </r>
  <r>
    <x v="0"/>
    <x v="0"/>
    <x v="0"/>
    <x v="0"/>
    <x v="0"/>
    <x v="0"/>
    <x v="29"/>
    <x v="0"/>
    <x v="4"/>
    <x v="42"/>
    <n v="275"/>
    <n v="77850"/>
    <n v="682147000"/>
    <n v="77764500"/>
    <n v="60350000"/>
    <n v="54000000"/>
    <m/>
    <n v="5700000"/>
    <m/>
    <n v="197814500"/>
    <n v="700000"/>
    <n v="65520000"/>
    <m/>
    <n v="327500"/>
    <n v="66547500"/>
    <n v="156893810"/>
    <n v="33696000"/>
    <n v="33684670.5"/>
    <m/>
    <m/>
    <n v="224274480.5"/>
    <n v="-40087519.5"/>
    <n v="-41948190"/>
    <n v="-0.2673667622706084"/>
    <n v="1860670.5"/>
    <n v="2.7614306687553665E-2"/>
    <s v="Rekapan 16-22 Februari 2025.xlsx"/>
  </r>
  <r>
    <x v="0"/>
    <x v="0"/>
    <x v="1"/>
    <x v="0"/>
    <x v="0"/>
    <x v="1"/>
    <x v="29"/>
    <x v="0"/>
    <x v="4"/>
    <x v="42"/>
    <n v="34"/>
    <n v="9954"/>
    <n v="87608000"/>
    <n v="9952000"/>
    <n v="7575000"/>
    <n v="7125000"/>
    <m/>
    <n v="900000"/>
    <m/>
    <n v="25552000"/>
    <m/>
    <n v="7805000"/>
    <n v="0"/>
    <n v="456000"/>
    <n v="8261000"/>
    <n v="20149840"/>
    <n v="4014000"/>
    <n v="3962709.75"/>
    <m/>
    <m/>
    <n v="28126549.75"/>
    <n v="-5686450.25"/>
    <n v="-5858160"/>
    <n v="-0.29072985194919659"/>
    <n v="171709.75"/>
    <n v="2.1526388120114311E-2"/>
    <s v="Rekapan 16-22 Februari 2025.xlsx"/>
  </r>
  <r>
    <x v="0"/>
    <x v="2"/>
    <x v="3"/>
    <x v="1"/>
    <x v="0"/>
    <x v="2"/>
    <x v="29"/>
    <x v="0"/>
    <x v="4"/>
    <x v="42"/>
    <n v="5"/>
    <n v="686"/>
    <n v="6473000"/>
    <n v="686000"/>
    <n v="675000"/>
    <n v="0"/>
    <m/>
    <m/>
    <m/>
    <n v="1361000"/>
    <m/>
    <n v="1225000"/>
    <n v="0"/>
    <n v="0"/>
    <n v="1225000"/>
    <n v="1941900"/>
    <n v="350000"/>
    <n v="0"/>
    <m/>
    <m/>
    <n v="2291900"/>
    <n v="-294100"/>
    <n v="580900"/>
    <n v="0.29914001750862557"/>
    <n v="-875000"/>
    <n v="-2.5"/>
    <s v="Rekapan 16-22 Februari 2025.xlsx"/>
  </r>
  <r>
    <x v="0"/>
    <x v="6"/>
    <x v="7"/>
    <x v="1"/>
    <x v="0"/>
    <x v="2"/>
    <x v="29"/>
    <x v="0"/>
    <x v="4"/>
    <x v="42"/>
    <n v="4"/>
    <n v="344"/>
    <n v="3742000"/>
    <n v="344000"/>
    <n v="500000"/>
    <n v="0"/>
    <m/>
    <m/>
    <m/>
    <n v="844000"/>
    <m/>
    <n v="840000"/>
    <n v="0"/>
    <n v="0"/>
    <n v="840000"/>
    <n v="1122600"/>
    <n v="240000"/>
    <n v="0"/>
    <m/>
    <m/>
    <n v="1362600"/>
    <n v="-321400"/>
    <n v="278600"/>
    <n v="0.24817388205950472"/>
    <n v="-600000"/>
    <n v="-2.5"/>
    <s v="Rekapan 16-22 Februari 2025.xlsx"/>
  </r>
  <r>
    <x v="0"/>
    <x v="1"/>
    <x v="2"/>
    <x v="1"/>
    <x v="0"/>
    <x v="2"/>
    <x v="29"/>
    <x v="0"/>
    <x v="4"/>
    <x v="42"/>
    <n v="2"/>
    <n v="52"/>
    <n v="352000"/>
    <n v="52000"/>
    <n v="125000"/>
    <m/>
    <m/>
    <m/>
    <m/>
    <n v="177000"/>
    <m/>
    <n v="490000"/>
    <n v="0"/>
    <n v="0"/>
    <n v="490000"/>
    <n v="123199.99999999999"/>
    <n v="90000"/>
    <n v="0"/>
    <m/>
    <m/>
    <n v="213200"/>
    <n v="-453800"/>
    <n v="-53800.000000000015"/>
    <n v="-0.43668831168831185"/>
    <n v="-400000"/>
    <n v="-4.4444444444444446"/>
    <s v="Rekapan 16-22 Februari 2025.xlsx"/>
  </r>
  <r>
    <x v="0"/>
    <x v="3"/>
    <x v="4"/>
    <x v="1"/>
    <x v="0"/>
    <x v="2"/>
    <x v="29"/>
    <x v="0"/>
    <x v="4"/>
    <x v="42"/>
    <n v="4"/>
    <n v="389"/>
    <n v="4370000"/>
    <n v="389000"/>
    <n v="525000"/>
    <m/>
    <m/>
    <m/>
    <m/>
    <n v="914000"/>
    <m/>
    <n v="980000"/>
    <n v="0"/>
    <n v="0"/>
    <n v="980000"/>
    <n v="1311000"/>
    <n v="280000"/>
    <n v="0"/>
    <m/>
    <m/>
    <n v="1591000"/>
    <n v="-303000"/>
    <n v="397000"/>
    <n v="0.30282227307398935"/>
    <n v="-700000"/>
    <n v="-2.5"/>
    <s v="Rekapan 16-22 Februari 2025.xlsx"/>
  </r>
  <r>
    <x v="0"/>
    <x v="4"/>
    <x v="5"/>
    <x v="0"/>
    <x v="0"/>
    <x v="2"/>
    <x v="29"/>
    <x v="0"/>
    <x v="4"/>
    <x v="42"/>
    <n v="5"/>
    <n v="640"/>
    <n v="1806000"/>
    <n v="138500"/>
    <n v="575000"/>
    <m/>
    <m/>
    <m/>
    <m/>
    <n v="713500"/>
    <m/>
    <n v="805000"/>
    <n v="0"/>
    <n v="0"/>
    <n v="805000"/>
    <n v="541800"/>
    <n v="230000"/>
    <n v="0"/>
    <m/>
    <m/>
    <n v="771800"/>
    <n v="-746700"/>
    <n v="-171700"/>
    <n v="-0.31690660760428202"/>
    <n v="-575000"/>
    <n v="-2.5"/>
    <s v="Rekapan 16-22 Februari 2025.xlsx"/>
  </r>
  <r>
    <x v="0"/>
    <x v="7"/>
    <x v="8"/>
    <x v="1"/>
    <x v="0"/>
    <x v="2"/>
    <x v="29"/>
    <x v="0"/>
    <x v="4"/>
    <x v="42"/>
    <n v="1"/>
    <n v="27"/>
    <n v="258000"/>
    <n v="27000"/>
    <n v="100000"/>
    <m/>
    <m/>
    <m/>
    <m/>
    <n v="127000"/>
    <m/>
    <n v="245000"/>
    <n v="0"/>
    <n v="0"/>
    <n v="245000"/>
    <n v="64500"/>
    <n v="70000"/>
    <n v="0"/>
    <m/>
    <m/>
    <n v="134500"/>
    <n v="-237500"/>
    <n v="-62500"/>
    <n v="-0.96899224806201545"/>
    <n v="-175000"/>
    <n v="-2.5"/>
    <s v="Rekapan 16-22 Februari 2025.xlsx"/>
  </r>
  <r>
    <x v="0"/>
    <x v="5"/>
    <x v="6"/>
    <x v="1"/>
    <x v="0"/>
    <x v="2"/>
    <x v="29"/>
    <x v="0"/>
    <x v="4"/>
    <x v="42"/>
    <n v="1"/>
    <n v="46"/>
    <n v="479000"/>
    <n v="46000"/>
    <n v="75000"/>
    <m/>
    <m/>
    <m/>
    <m/>
    <n v="121000"/>
    <m/>
    <n v="245000"/>
    <n v="0"/>
    <n v="0"/>
    <n v="245000"/>
    <n v="167650"/>
    <n v="70000"/>
    <m/>
    <m/>
    <m/>
    <n v="237650"/>
    <n v="-128350"/>
    <n v="46650"/>
    <n v="0.27825827617059351"/>
    <n v="-175000"/>
    <n v="-2.5"/>
    <s v="Rekapan 16-22 Februari 2025.xlsx"/>
  </r>
  <r>
    <x v="0"/>
    <x v="4"/>
    <x v="5"/>
    <x v="0"/>
    <x v="0"/>
    <x v="2"/>
    <x v="2"/>
    <x v="0"/>
    <x v="2"/>
    <x v="43"/>
    <n v="1"/>
    <n v="52"/>
    <n v="479000"/>
    <n v="17100"/>
    <n v="50000"/>
    <m/>
    <m/>
    <m/>
    <m/>
    <n v="67100"/>
    <m/>
    <n v="233100"/>
    <m/>
    <m/>
    <n v="233100"/>
    <n v="143700"/>
    <n v="0"/>
    <n v="0"/>
    <m/>
    <m/>
    <n v="143700"/>
    <n v="-156500"/>
    <n v="76600"/>
    <n v="0.53305497564370219"/>
    <n v="-233100"/>
    <n v="0"/>
    <s v="04) Slip KSJ 23 - 1 Mar 2025.xlsx"/>
  </r>
  <r>
    <x v="0"/>
    <x v="0"/>
    <x v="9"/>
    <x v="0"/>
    <x v="1"/>
    <x v="3"/>
    <x v="30"/>
    <x v="0"/>
    <x v="3"/>
    <x v="44"/>
    <n v="63"/>
    <n v="9138"/>
    <n v="83148000"/>
    <n v="7030800"/>
    <n v="13714285.714285713"/>
    <n v="0"/>
    <m/>
    <n v="0"/>
    <m/>
    <n v="20745085.714285713"/>
    <n v="720000"/>
    <n v="9600000"/>
    <n v="0"/>
    <n v="0"/>
    <n v="10320000"/>
    <n v="17461080"/>
    <n v="6664285.7142857136"/>
    <n v="3688135.9285714282"/>
    <m/>
    <n v="1600000"/>
    <n v="29413501.642857142"/>
    <n v="-1651584.0714285709"/>
    <n v="-2404005.7142857127"/>
    <n v="-0.12612117016904145"/>
    <n v="752421.64285714179"/>
    <n v="7.2680737784312527E-2"/>
    <m/>
  </r>
  <r>
    <x v="0"/>
    <x v="0"/>
    <x v="9"/>
    <x v="0"/>
    <x v="1"/>
    <x v="3"/>
    <x v="30"/>
    <x v="7"/>
    <x v="2"/>
    <x v="45"/>
    <n v="51"/>
    <n v="1116"/>
    <n v="10336000"/>
    <n v="1171800"/>
    <n v="2285714.2857142854"/>
    <n v="0"/>
    <m/>
    <n v="0"/>
    <m/>
    <n v="3457514.2857142854"/>
    <n v="120000"/>
    <n v="1600000"/>
    <m/>
    <m/>
    <n v="1720000"/>
    <n v="2170560"/>
    <n v="1110714.2857142857"/>
    <n v="673636.67741935479"/>
    <m/>
    <n v="0"/>
    <n v="3954910.9631336401"/>
    <n v="-1222603.3225806453"/>
    <n v="-1406954.2857142854"/>
    <n v="-0.64819875318548459"/>
    <n v="184350.96313364059"/>
    <n v="0.10331541660945849"/>
    <m/>
  </r>
  <r>
    <x v="0"/>
    <x v="0"/>
    <x v="10"/>
    <x v="0"/>
    <x v="1"/>
    <x v="4"/>
    <x v="30"/>
    <x v="0"/>
    <x v="3"/>
    <x v="44"/>
    <n v="13"/>
    <n v="3861"/>
    <n v="35064000"/>
    <n v="2873142.8571428568"/>
    <n v="3000000"/>
    <n v="0"/>
    <m/>
    <n v="0"/>
    <m/>
    <n v="5873142.8571428563"/>
    <n v="0"/>
    <n v="2100000"/>
    <n v="0"/>
    <n v="107142.85714285713"/>
    <n v="2207142.8571428573"/>
    <n v="7363440"/>
    <n v="1478571.4285714284"/>
    <n v="975302.57142857136"/>
    <m/>
    <n v="250000"/>
    <n v="10067314"/>
    <n v="1987028.2857142864"/>
    <n v="1633154.2857142866"/>
    <n v="0.21450937890287264"/>
    <n v="353874"/>
    <n v="0.14421033842813444"/>
    <m/>
  </r>
  <r>
    <x v="0"/>
    <x v="0"/>
    <x v="10"/>
    <x v="0"/>
    <x v="1"/>
    <x v="4"/>
    <x v="30"/>
    <x v="7"/>
    <x v="2"/>
    <x v="45"/>
    <n v="7"/>
    <n v="329"/>
    <n v="2948000"/>
    <n v="478857.14285714284"/>
    <n v="500000"/>
    <n v="0"/>
    <m/>
    <n v="0"/>
    <m/>
    <n v="978857.14285714284"/>
    <n v="0"/>
    <n v="350000"/>
    <m/>
    <n v="17857.142857142855"/>
    <n v="367857.14285714284"/>
    <n v="619080"/>
    <n v="246428.57142857142"/>
    <n v="153077.87096774194"/>
    <m/>
    <n v="0"/>
    <n v="1018586.4423963133"/>
    <n v="-328127.84331797238"/>
    <n v="-377634.28571428568"/>
    <n v="-0.60999270807373152"/>
    <n v="49506.442396313359"/>
    <n v="0.12391900891350983"/>
    <m/>
  </r>
  <r>
    <x v="0"/>
    <x v="0"/>
    <x v="1"/>
    <x v="0"/>
    <x v="0"/>
    <x v="1"/>
    <x v="30"/>
    <x v="0"/>
    <x v="3"/>
    <x v="44"/>
    <n v="33"/>
    <n v="7648"/>
    <n v="67515000"/>
    <n v="7350428.5714285709"/>
    <n v="5657142.8571428573"/>
    <n v="0"/>
    <m/>
    <n v="0"/>
    <m/>
    <n v="13007571.428571429"/>
    <n v="0"/>
    <n v="4073142.8571428568"/>
    <m/>
    <n v="390857.14285714284"/>
    <n v="4464000"/>
    <n v="15528450"/>
    <n v="3564000"/>
    <n v="3396608.3571428568"/>
    <m/>
    <n v="0"/>
    <n v="22489058.357142858"/>
    <n v="5017486.9285714291"/>
    <n v="2130021.4285714282"/>
    <n v="0.13716896590267721"/>
    <n v="2887465.4999999995"/>
    <n v="0.41482947349522004"/>
    <m/>
  </r>
  <r>
    <x v="0"/>
    <x v="0"/>
    <x v="1"/>
    <x v="0"/>
    <x v="0"/>
    <x v="1"/>
    <x v="30"/>
    <x v="7"/>
    <x v="2"/>
    <x v="45"/>
    <n v="25"/>
    <n v="928"/>
    <n v="8198000"/>
    <n v="1225071.4285714284"/>
    <n v="942857.14285714284"/>
    <n v="0"/>
    <m/>
    <n v="0"/>
    <m/>
    <n v="2167928.5714285714"/>
    <n v="0"/>
    <n v="678857.14285714284"/>
    <m/>
    <n v="65142.857142857138"/>
    <n v="744000"/>
    <n v="1885540"/>
    <n v="594000"/>
    <n v="418663.90322580643"/>
    <m/>
    <n v="0"/>
    <n v="2898203.9032258065"/>
    <n v="-13724.66820276482"/>
    <n v="-347531.42857142852"/>
    <n v="-0.18431400477922957"/>
    <n v="333806.76036866358"/>
    <n v="0.32963232846093704"/>
    <m/>
  </r>
  <r>
    <x v="0"/>
    <x v="0"/>
    <x v="0"/>
    <x v="0"/>
    <x v="0"/>
    <x v="0"/>
    <x v="30"/>
    <x v="0"/>
    <x v="3"/>
    <x v="44"/>
    <n v="265"/>
    <n v="64196"/>
    <n v="562101000"/>
    <n v="62013857.142857142"/>
    <n v="48064285.714285709"/>
    <n v="0"/>
    <m/>
    <n v="0"/>
    <m/>
    <n v="110078142.85714285"/>
    <n v="600000"/>
    <n v="55500000"/>
    <m/>
    <n v="280714.28571428568"/>
    <n v="56380714.285714284"/>
    <n v="129283230"/>
    <n v="28542857.142857142"/>
    <n v="28872574.714285713"/>
    <m/>
    <n v="0"/>
    <n v="186698661.85714284"/>
    <n v="20239804.714285702"/>
    <n v="18324372.857142862"/>
    <n v="0.14173820422913985"/>
    <n v="1915431.8571428508"/>
    <n v="3.3360923974388931E-2"/>
    <m/>
  </r>
  <r>
    <x v="0"/>
    <x v="0"/>
    <x v="0"/>
    <x v="0"/>
    <x v="0"/>
    <x v="0"/>
    <x v="30"/>
    <x v="7"/>
    <x v="2"/>
    <x v="45"/>
    <n v="239"/>
    <n v="8226"/>
    <n v="73138000"/>
    <n v="10335642.857142856"/>
    <n v="8010714.2857142854"/>
    <n v="0"/>
    <m/>
    <n v="0"/>
    <m/>
    <n v="18346357.142857142"/>
    <n v="100000"/>
    <n v="9250000"/>
    <m/>
    <n v="46785.714285714283"/>
    <n v="9396785.7142857146"/>
    <n v="16821740"/>
    <n v="4757142.8571428573"/>
    <n v="5046981.1290322579"/>
    <m/>
    <n v="0"/>
    <n v="26625863.986175116"/>
    <n v="-1117278.8709677421"/>
    <n v="-1671402.8571428561"/>
    <n v="-9.9359689136965385E-2"/>
    <n v="554123.98617511615"/>
    <n v="5.6519479655346198E-2"/>
    <m/>
  </r>
  <r>
    <x v="0"/>
    <x v="2"/>
    <x v="3"/>
    <x v="1"/>
    <x v="0"/>
    <x v="2"/>
    <x v="30"/>
    <x v="7"/>
    <x v="2"/>
    <x v="46"/>
    <n v="6"/>
    <n v="487"/>
    <n v="4324000"/>
    <n v="487000"/>
    <n v="825000"/>
    <n v="0"/>
    <m/>
    <n v="0"/>
    <m/>
    <n v="1312000"/>
    <m/>
    <n v="1470000"/>
    <m/>
    <m/>
    <n v="1470000"/>
    <n v="1297200"/>
    <n v="330000"/>
    <n v="0"/>
    <m/>
    <m/>
    <n v="1627200"/>
    <n v="-1154800"/>
    <n v="-14800"/>
    <n v="-1.1409189022510022E-2"/>
    <n v="-1140000"/>
    <n v="-3.4545454545454546"/>
    <s v="Rekapan KSJ 23- 1 Maret 2025.xlsx"/>
  </r>
  <r>
    <x v="0"/>
    <x v="6"/>
    <x v="7"/>
    <x v="1"/>
    <x v="0"/>
    <x v="2"/>
    <x v="30"/>
    <x v="7"/>
    <x v="2"/>
    <x v="46"/>
    <n v="7"/>
    <n v="527"/>
    <n v="4872000"/>
    <n v="527000"/>
    <n v="750000"/>
    <n v="0"/>
    <m/>
    <n v="0"/>
    <m/>
    <n v="1277000"/>
    <n v="0"/>
    <n v="1575000"/>
    <n v="0"/>
    <n v="0"/>
    <n v="1575000"/>
    <n v="1461600"/>
    <n v="450000"/>
    <n v="0"/>
    <m/>
    <m/>
    <n v="1911600"/>
    <n v="-940400"/>
    <n v="184600"/>
    <n v="0.12629994526546251"/>
    <n v="-1125000"/>
    <n v="-2.5"/>
    <m/>
  </r>
  <r>
    <x v="0"/>
    <x v="3"/>
    <x v="4"/>
    <x v="1"/>
    <x v="0"/>
    <x v="2"/>
    <x v="30"/>
    <x v="7"/>
    <x v="2"/>
    <x v="46"/>
    <n v="5"/>
    <n v="352"/>
    <n v="4994000"/>
    <n v="352000"/>
    <n v="450000"/>
    <n v="0"/>
    <m/>
    <n v="0"/>
    <m/>
    <n v="802000"/>
    <n v="0"/>
    <n v="1015000"/>
    <n v="0"/>
    <n v="0"/>
    <n v="1015000"/>
    <n v="1498200"/>
    <n v="350000"/>
    <n v="0"/>
    <m/>
    <m/>
    <n v="1848200"/>
    <n v="31200"/>
    <n v="696200"/>
    <n v="0.46469096248831931"/>
    <n v="-665000"/>
    <n v="-1.9"/>
    <m/>
  </r>
  <r>
    <x v="0"/>
    <x v="4"/>
    <x v="5"/>
    <x v="0"/>
    <x v="0"/>
    <x v="2"/>
    <x v="30"/>
    <x v="7"/>
    <x v="2"/>
    <x v="46"/>
    <n v="5"/>
    <n v="517"/>
    <n v="1633000"/>
    <n v="154400"/>
    <n v="825000"/>
    <n v="0"/>
    <m/>
    <n v="0"/>
    <m/>
    <n v="979400"/>
    <n v="0"/>
    <n v="1225000"/>
    <n v="0"/>
    <n v="0"/>
    <n v="1225000"/>
    <n v="489900"/>
    <n v="350000"/>
    <n v="0"/>
    <m/>
    <m/>
    <n v="839900"/>
    <n v="-1364500"/>
    <n v="-489500"/>
    <n v="-0.99918350683813018"/>
    <n v="-875000"/>
    <n v="-2.5"/>
    <m/>
  </r>
  <r>
    <x v="0"/>
    <x v="5"/>
    <x v="6"/>
    <x v="1"/>
    <x v="0"/>
    <x v="2"/>
    <x v="30"/>
    <x v="7"/>
    <x v="2"/>
    <x v="46"/>
    <n v="1"/>
    <n v="108"/>
    <n v="1130000"/>
    <n v="108000"/>
    <n v="175000"/>
    <n v="0"/>
    <m/>
    <n v="0"/>
    <m/>
    <n v="283000"/>
    <n v="0"/>
    <n v="245000"/>
    <n v="0"/>
    <n v="0"/>
    <n v="245000"/>
    <n v="395500"/>
    <n v="70000"/>
    <n v="0"/>
    <m/>
    <m/>
    <n v="465500"/>
    <n v="-62500"/>
    <n v="112500"/>
    <n v="0.28445006321112515"/>
    <n v="-175000"/>
    <n v="-2.5"/>
    <m/>
  </r>
  <r>
    <x v="0"/>
    <x v="0"/>
    <x v="0"/>
    <x v="0"/>
    <x v="0"/>
    <x v="0"/>
    <x v="31"/>
    <x v="7"/>
    <x v="1"/>
    <x v="47"/>
    <n v="293"/>
    <n v="46482"/>
    <n v="411218000"/>
    <n v="46462000"/>
    <n v="43400000"/>
    <n v="0"/>
    <m/>
    <n v="0"/>
    <m/>
    <n v="89862000"/>
    <n v="0"/>
    <n v="69930000"/>
    <n v="0"/>
    <n v="295806"/>
    <n v="70225806"/>
    <n v="94580140"/>
    <n v="35334000"/>
    <n v="35328867.903225802"/>
    <m/>
    <m/>
    <n v="165243007.90322581"/>
    <n v="5155201.9032258093"/>
    <n v="4422334"/>
    <n v="4.6757532818200526E-2"/>
    <n v="59252867.903225809"/>
    <n v="0.83852905580302484"/>
    <s v="Rekapan 2-8 Maret 2025.xlsx"/>
  </r>
  <r>
    <x v="0"/>
    <x v="0"/>
    <x v="9"/>
    <x v="0"/>
    <x v="1"/>
    <x v="3"/>
    <x v="31"/>
    <x v="7"/>
    <x v="1"/>
    <x v="47"/>
    <n v="63"/>
    <n v="6621"/>
    <n v="60837000"/>
    <n v="5296500"/>
    <n v="16300000"/>
    <n v="0"/>
    <m/>
    <n v="0"/>
    <m/>
    <n v="21596500"/>
    <n v="0"/>
    <n v="11410000"/>
    <n v="0"/>
    <n v="112903"/>
    <n v="11522903"/>
    <n v="12775770"/>
    <n v="7775000"/>
    <n v="4715456.7419354841"/>
    <m/>
    <n v="1350000"/>
    <n v="26616226.741935484"/>
    <n v="-6503176.2580645159"/>
    <n v="-7583633"/>
    <n v="-0.53686510540664334"/>
    <n v="10040456.741935484"/>
    <n v="0.80385024738331901"/>
    <m/>
  </r>
  <r>
    <x v="0"/>
    <x v="0"/>
    <x v="10"/>
    <x v="0"/>
    <x v="1"/>
    <x v="4"/>
    <x v="31"/>
    <x v="7"/>
    <x v="1"/>
    <x v="47"/>
    <n v="12"/>
    <n v="2589"/>
    <n v="23428000"/>
    <n v="2071200"/>
    <n v="3500000"/>
    <n v="0"/>
    <m/>
    <n v="0"/>
    <m/>
    <n v="5571200"/>
    <n v="0"/>
    <n v="2450000"/>
    <n v="0"/>
    <n v="0"/>
    <n v="2450000"/>
    <n v="4919880"/>
    <n v="1725000"/>
    <n v="1071545.0967741935"/>
    <m/>
    <n v="100000"/>
    <n v="7816425.0967741935"/>
    <n v="-204774.90322580654"/>
    <n v="-551320"/>
    <n v="-0.10982732654963864"/>
    <n v="-11623454.903225806"/>
    <n v="-4.1563624046804843"/>
    <m/>
  </r>
  <r>
    <x v="0"/>
    <x v="0"/>
    <x v="1"/>
    <x v="0"/>
    <x v="0"/>
    <x v="1"/>
    <x v="31"/>
    <x v="7"/>
    <x v="1"/>
    <x v="47"/>
    <n v="29"/>
    <n v="3550"/>
    <n v="31404000"/>
    <n v="3550000"/>
    <n v="3650000"/>
    <n v="0"/>
    <m/>
    <n v="0"/>
    <m/>
    <n v="7200000"/>
    <n v="0"/>
    <n v="6440000"/>
    <m/>
    <n v="411871"/>
    <n v="6851871"/>
    <n v="7222920"/>
    <n v="3312000"/>
    <n v="2930647.3225806449"/>
    <m/>
    <m/>
    <n v="13465567.322580645"/>
    <n v="-586303.67741935514"/>
    <n v="-388951"/>
    <n v="-5.3849551151058023E-2"/>
    <n v="-197352.67741935514"/>
    <n v="-3.1613619546550266E-2"/>
    <s v="Rekapan 2-8 Maret 2025.xlsx"/>
  </r>
  <r>
    <x v="0"/>
    <x v="2"/>
    <x v="3"/>
    <x v="1"/>
    <x v="0"/>
    <x v="2"/>
    <x v="31"/>
    <x v="7"/>
    <x v="1"/>
    <x v="47"/>
    <n v="6"/>
    <n v="488"/>
    <n v="4147000"/>
    <n v="488000"/>
    <n v="825000"/>
    <n v="0"/>
    <m/>
    <n v="0"/>
    <m/>
    <n v="1313000"/>
    <n v="0"/>
    <n v="1470000"/>
    <n v="0"/>
    <n v="0"/>
    <n v="1470000"/>
    <n v="1244100"/>
    <n v="480000"/>
    <n v="0"/>
    <m/>
    <m/>
    <n v="1724100"/>
    <n v="-1058900"/>
    <n v="-68900"/>
    <n v="-1.2750475598291547E-2"/>
    <n v="-990000"/>
    <n v="-2.0625"/>
    <s v="Rekapan 2-8 Maret 2025.xlsx"/>
  </r>
  <r>
    <x v="0"/>
    <x v="5"/>
    <x v="6"/>
    <x v="1"/>
    <x v="0"/>
    <x v="2"/>
    <x v="31"/>
    <x v="7"/>
    <x v="1"/>
    <x v="47"/>
    <n v="1"/>
    <n v="52"/>
    <n v="568000"/>
    <n v="52000"/>
    <n v="175000"/>
    <n v="0"/>
    <m/>
    <n v="0"/>
    <m/>
    <n v="227000"/>
    <n v="0"/>
    <n v="245000"/>
    <m/>
    <m/>
    <n v="245000"/>
    <n v="198800"/>
    <n v="70000"/>
    <n v="0"/>
    <m/>
    <m/>
    <n v="268800"/>
    <n v="-203200"/>
    <n v="-28200"/>
    <n v="-0.14185110663983905"/>
    <n v="-175000"/>
    <n v="-2.5"/>
    <s v="Rekapan 2-8 Maret 2025.xlsx"/>
  </r>
  <r>
    <x v="0"/>
    <x v="3"/>
    <x v="4"/>
    <x v="1"/>
    <x v="0"/>
    <x v="2"/>
    <x v="31"/>
    <x v="7"/>
    <x v="1"/>
    <x v="47"/>
    <n v="3"/>
    <n v="134"/>
    <n v="1546000"/>
    <n v="134000"/>
    <n v="275000"/>
    <n v="0"/>
    <m/>
    <n v="0"/>
    <m/>
    <n v="409000"/>
    <n v="0"/>
    <n v="595000"/>
    <n v="0"/>
    <n v="0"/>
    <n v="595000"/>
    <n v="463800"/>
    <n v="170000"/>
    <n v="0"/>
    <m/>
    <m/>
    <n v="633800"/>
    <n v="-370200"/>
    <n v="54800"/>
    <n v="0.11815437688658904"/>
    <n v="-425000"/>
    <n v="-2.5"/>
    <s v="Rekapan 2-8 Maret 2025.xlsx"/>
  </r>
  <r>
    <x v="0"/>
    <x v="6"/>
    <x v="7"/>
    <x v="1"/>
    <x v="0"/>
    <x v="2"/>
    <x v="31"/>
    <x v="7"/>
    <x v="1"/>
    <x v="47"/>
    <n v="7"/>
    <n v="152"/>
    <n v="1358000"/>
    <n v="152000"/>
    <n v="425000"/>
    <n v="0"/>
    <m/>
    <n v="0"/>
    <m/>
    <n v="577000"/>
    <n v="0"/>
    <n v="1505000"/>
    <n v="0"/>
    <m/>
    <n v="1505000"/>
    <n v="407400"/>
    <n v="430000"/>
    <n v="0"/>
    <m/>
    <m/>
    <n v="837400"/>
    <n v="-1244600"/>
    <n v="-169600"/>
    <n v="-0.41629847815414828"/>
    <n v="-1075000"/>
    <n v="-2.5"/>
    <s v="Rekapan 2-8 Maret 2025.xlsx"/>
  </r>
  <r>
    <x v="0"/>
    <x v="4"/>
    <x v="5"/>
    <x v="0"/>
    <x v="0"/>
    <x v="2"/>
    <x v="31"/>
    <x v="7"/>
    <x v="1"/>
    <x v="47"/>
    <n v="7"/>
    <n v="189"/>
    <n v="793000"/>
    <n v="65600"/>
    <n v="725000"/>
    <n v="0"/>
    <m/>
    <n v="0"/>
    <m/>
    <n v="790600"/>
    <n v="0"/>
    <n v="1541000"/>
    <n v="0"/>
    <n v="0"/>
    <n v="1541000"/>
    <n v="237900"/>
    <n v="460000"/>
    <n v="0"/>
    <m/>
    <m/>
    <n v="697900"/>
    <n v="-1633700"/>
    <n v="-552700"/>
    <n v="-2.3232450609499788"/>
    <n v="-1081000"/>
    <n v="-2.35"/>
    <s v="Rekapan 2-8 Maret 2025.xlsx"/>
  </r>
  <r>
    <x v="0"/>
    <x v="0"/>
    <x v="0"/>
    <x v="0"/>
    <x v="0"/>
    <x v="0"/>
    <x v="32"/>
    <x v="7"/>
    <x v="0"/>
    <x v="48"/>
    <n v="279"/>
    <n v="53003"/>
    <n v="468942000"/>
    <n v="52976000"/>
    <n v="48300000"/>
    <n v="0"/>
    <m/>
    <n v="0"/>
    <m/>
    <n v="101276000"/>
    <n v="700000"/>
    <n v="65765000"/>
    <n v="0"/>
    <n v="295806"/>
    <n v="66760806"/>
    <n v="107856660"/>
    <n v="33822000"/>
    <n v="35328867.903225802"/>
    <m/>
    <m/>
    <n v="177007527.90322581"/>
    <n v="8970721.9032258093"/>
    <n v="5584854"/>
    <n v="5.178033512255989E-2"/>
    <n v="3385867.9032258093"/>
    <n v="4.8963491072363856E-2"/>
    <s v="Rekapan 9-15 Maret 2025.xlsx"/>
  </r>
  <r>
    <x v="0"/>
    <x v="0"/>
    <x v="1"/>
    <x v="0"/>
    <x v="0"/>
    <x v="1"/>
    <x v="32"/>
    <x v="7"/>
    <x v="0"/>
    <x v="48"/>
    <n v="21"/>
    <n v="3569"/>
    <n v="31796000"/>
    <n v="3569000"/>
    <n v="3200000"/>
    <n v="0"/>
    <m/>
    <n v="0"/>
    <m/>
    <n v="6769000"/>
    <n v="0"/>
    <n v="4375000"/>
    <n v="0"/>
    <n v="411871"/>
    <n v="4786871"/>
    <n v="7313080"/>
    <n v="2250000"/>
    <n v="2930647.3225806449"/>
    <m/>
    <m/>
    <n v="12493727.322580645"/>
    <n v="937856.32258064486"/>
    <n v="132209"/>
    <n v="1.8078429334835663E-2"/>
    <n v="805647.32258064486"/>
    <n v="0.15551093761374329"/>
    <s v="Rekapan 9-15 Maret 2025.xlsx"/>
  </r>
  <r>
    <x v="0"/>
    <x v="2"/>
    <x v="3"/>
    <x v="1"/>
    <x v="0"/>
    <x v="2"/>
    <x v="32"/>
    <x v="7"/>
    <x v="0"/>
    <x v="48"/>
    <n v="6"/>
    <n v="450"/>
    <n v="4174000"/>
    <n v="450000"/>
    <n v="825000"/>
    <n v="0"/>
    <m/>
    <n v="0"/>
    <m/>
    <n v="1275000"/>
    <n v="0"/>
    <n v="1470000"/>
    <n v="0"/>
    <n v="0"/>
    <n v="1470000"/>
    <n v="1252200"/>
    <n v="420000"/>
    <n v="0"/>
    <m/>
    <m/>
    <n v="1672200"/>
    <n v="-1072800"/>
    <n v="-22800"/>
    <n v="-1.8207954000958312E-2"/>
    <n v="-1050000"/>
    <n v="-2.5"/>
    <s v="Rekapan 9-15 Maret 2025.xlsx"/>
  </r>
  <r>
    <x v="0"/>
    <x v="5"/>
    <x v="6"/>
    <x v="1"/>
    <x v="0"/>
    <x v="2"/>
    <x v="32"/>
    <x v="7"/>
    <x v="0"/>
    <x v="48"/>
    <n v="1"/>
    <n v="35"/>
    <n v="386000"/>
    <n v="35000"/>
    <n v="175000"/>
    <n v="0"/>
    <m/>
    <n v="0"/>
    <m/>
    <n v="210000"/>
    <n v="0"/>
    <n v="245000"/>
    <n v="0"/>
    <n v="0"/>
    <n v="245000"/>
    <n v="135100"/>
    <n v="70000"/>
    <n v="0"/>
    <m/>
    <m/>
    <n v="205100"/>
    <n v="-249900"/>
    <n v="-74900"/>
    <n v="-0.55440414507772018"/>
    <n v="-175000"/>
    <n v="-2.5"/>
    <s v="Rekapan 9-15 Maret 2025.xlsx"/>
  </r>
  <r>
    <x v="0"/>
    <x v="3"/>
    <x v="4"/>
    <x v="1"/>
    <x v="0"/>
    <x v="2"/>
    <x v="32"/>
    <x v="7"/>
    <x v="0"/>
    <x v="48"/>
    <n v="3"/>
    <n v="62"/>
    <n v="732000"/>
    <n v="62000"/>
    <n v="275000"/>
    <n v="0"/>
    <m/>
    <n v="0"/>
    <m/>
    <n v="337000"/>
    <n v="0"/>
    <n v="735000"/>
    <n v="0"/>
    <n v="0"/>
    <n v="735000"/>
    <n v="219600"/>
    <n v="160000"/>
    <n v="0"/>
    <m/>
    <m/>
    <n v="379600"/>
    <n v="-692400"/>
    <n v="-117400"/>
    <n v="-0.53460837887067392"/>
    <n v="-575000"/>
    <n v="-3.59375"/>
    <s v="Rekapan 9-15 Maret 2025.xlsx"/>
  </r>
  <r>
    <x v="0"/>
    <x v="4"/>
    <x v="5"/>
    <x v="0"/>
    <x v="0"/>
    <x v="2"/>
    <x v="32"/>
    <x v="7"/>
    <x v="0"/>
    <x v="48"/>
    <n v="7"/>
    <n v="288"/>
    <n v="1010000"/>
    <n v="83600"/>
    <n v="1075000"/>
    <n v="0"/>
    <m/>
    <n v="0"/>
    <m/>
    <n v="1158600"/>
    <n v="0"/>
    <n v="1715000"/>
    <n v="0"/>
    <n v="0"/>
    <n v="1715000"/>
    <n v="303000"/>
    <n v="490000"/>
    <n v="0"/>
    <m/>
    <m/>
    <n v="793000"/>
    <n v="-2080600"/>
    <n v="-855600"/>
    <n v="-2.8237623762376236"/>
    <n v="-1225000"/>
    <n v="-2.5"/>
    <s v="Rekapan 9-15 Maret 2025.xlsx"/>
  </r>
  <r>
    <x v="0"/>
    <x v="0"/>
    <x v="9"/>
    <x v="0"/>
    <x v="1"/>
    <x v="3"/>
    <x v="32"/>
    <x v="7"/>
    <x v="0"/>
    <x v="48"/>
    <n v="64"/>
    <n v="6298"/>
    <n v="58080000"/>
    <n v="5038400"/>
    <n v="18000000"/>
    <n v="0"/>
    <m/>
    <n v="0"/>
    <m/>
    <n v="23038400"/>
    <n v="480000"/>
    <n v="12245000"/>
    <n v="0"/>
    <n v="112903"/>
    <n v="12837903"/>
    <n v="12196800"/>
    <n v="8525000"/>
    <n v="4715456.7419354841"/>
    <m/>
    <n v="800000"/>
    <n v="26237256.741935484"/>
    <n v="-9639046.2580645159"/>
    <n v="-10634503"/>
    <n v="-0.81824010525667856"/>
    <n v="995456.74193548411"/>
    <n v="7.5182960930845408E-2"/>
    <m/>
  </r>
  <r>
    <x v="0"/>
    <x v="0"/>
    <x v="10"/>
    <x v="0"/>
    <x v="1"/>
    <x v="4"/>
    <x v="32"/>
    <x v="7"/>
    <x v="0"/>
    <x v="48"/>
    <n v="12"/>
    <n v="2783"/>
    <n v="25308000"/>
    <n v="3350000"/>
    <n v="2226400"/>
    <n v="0"/>
    <m/>
    <n v="0"/>
    <m/>
    <n v="5576400"/>
    <n v="0"/>
    <n v="2345000"/>
    <n v="0"/>
    <n v="0"/>
    <n v="2345000"/>
    <n v="5314680"/>
    <n v="1650000"/>
    <n v="1071545.0967741935"/>
    <m/>
    <n v="100000"/>
    <n v="8136225.0967741935"/>
    <n v="214825.09677419346"/>
    <n v="-161720"/>
    <n v="-2.986695427984664E-2"/>
    <n v="376545.09677419346"/>
    <n v="0.13835710355140052"/>
    <m/>
  </r>
  <r>
    <x v="0"/>
    <x v="6"/>
    <x v="7"/>
    <x v="1"/>
    <x v="0"/>
    <x v="2"/>
    <x v="32"/>
    <x v="7"/>
    <x v="0"/>
    <x v="48"/>
    <n v="3"/>
    <n v="38"/>
    <n v="338000"/>
    <n v="38000"/>
    <n v="175000"/>
    <n v="0"/>
    <m/>
    <n v="0"/>
    <m/>
    <n v="213000"/>
    <n v="0"/>
    <n v="525000"/>
    <n v="0"/>
    <m/>
    <n v="525000"/>
    <n v="101400"/>
    <n v="150000"/>
    <n v="0"/>
    <m/>
    <m/>
    <n v="251400"/>
    <n v="-486600"/>
    <n v="-111600"/>
    <n v="-1.1005917159763314"/>
    <n v="-375000"/>
    <n v="-2.5"/>
    <s v="Rekapan 9-15 Maret 2025.xlsx"/>
  </r>
  <r>
    <x v="0"/>
    <x v="8"/>
    <x v="12"/>
    <x v="1"/>
    <x v="0"/>
    <x v="2"/>
    <x v="32"/>
    <x v="7"/>
    <x v="0"/>
    <x v="48"/>
    <n v="1"/>
    <n v="8"/>
    <n v="177000"/>
    <n v="8000"/>
    <n v="50000"/>
    <n v="0"/>
    <m/>
    <n v="0"/>
    <m/>
    <n v="58000"/>
    <n v="0"/>
    <n v="105000"/>
    <n v="0"/>
    <m/>
    <n v="105000"/>
    <n v="53100"/>
    <n v="30000"/>
    <n v="0"/>
    <m/>
    <m/>
    <n v="83100"/>
    <n v="-79900"/>
    <n v="-4900"/>
    <n v="-9.2278719397363471E-2"/>
    <n v="-75000"/>
    <n v="-2.5"/>
    <s v="Rekapan 9-15 Maret 2025.xlsx"/>
  </r>
  <r>
    <x v="0"/>
    <x v="0"/>
    <x v="9"/>
    <x v="0"/>
    <x v="1"/>
    <x v="3"/>
    <x v="33"/>
    <x v="7"/>
    <x v="4"/>
    <x v="49"/>
    <n v="65"/>
    <n v="5956"/>
    <n v="54886000"/>
    <n v="5549800"/>
    <n v="19100000"/>
    <n v="0"/>
    <m/>
    <n v="0"/>
    <m/>
    <n v="24649800"/>
    <n v="840000"/>
    <n v="14420000"/>
    <n v="0"/>
    <n v="112903"/>
    <n v="15372903"/>
    <n v="11526060"/>
    <n v="9975000"/>
    <n v="4715456.7419354841"/>
    <m/>
    <n v="650000"/>
    <n v="26866516.741935484"/>
    <n v="-13156186.258064516"/>
    <n v="-13426643"/>
    <n v="-1.102708347363597"/>
    <n v="270456.74193548411"/>
    <n v="1.8410369853473402E-2"/>
    <m/>
  </r>
  <r>
    <x v="0"/>
    <x v="0"/>
    <x v="10"/>
    <x v="0"/>
    <x v="1"/>
    <x v="4"/>
    <x v="33"/>
    <x v="7"/>
    <x v="4"/>
    <x v="49"/>
    <n v="16"/>
    <n v="2824"/>
    <n v="25732000"/>
    <n v="2259200"/>
    <n v="4150000"/>
    <n v="0"/>
    <m/>
    <n v="0"/>
    <m/>
    <n v="6409200"/>
    <n v="0"/>
    <n v="2905000"/>
    <n v="0"/>
    <n v="0"/>
    <n v="2905000"/>
    <n v="5403720"/>
    <n v="2050000"/>
    <n v="1071545.0967741935"/>
    <m/>
    <n v="200000"/>
    <n v="8725265.0967741944"/>
    <n v="-588934.90322580561"/>
    <n v="-805480"/>
    <n v="-0.14374022970455341"/>
    <n v="216545.09677419346"/>
    <n v="6.9371125535867245E-2"/>
    <m/>
  </r>
  <r>
    <x v="0"/>
    <x v="9"/>
    <x v="13"/>
    <x v="1"/>
    <x v="1"/>
    <x v="3"/>
    <x v="33"/>
    <x v="7"/>
    <x v="4"/>
    <x v="49"/>
    <n v="6"/>
    <n v="362"/>
    <n v="3555500"/>
    <n v="289600"/>
    <n v="2050000"/>
    <n v="0"/>
    <m/>
    <n v="0"/>
    <m/>
    <n v="2339600"/>
    <n v="0"/>
    <n v="1435000"/>
    <n v="0"/>
    <n v="0"/>
    <n v="1435000"/>
    <n v="1066650"/>
    <n v="1025000"/>
    <n v="0"/>
    <m/>
    <n v="100000"/>
    <n v="2191650"/>
    <n v="-1582950"/>
    <n v="-1172950"/>
    <n v="-1.0054000771439593"/>
    <n v="-410000"/>
    <n v="-0.4"/>
    <m/>
  </r>
  <r>
    <x v="0"/>
    <x v="0"/>
    <x v="1"/>
    <x v="0"/>
    <x v="0"/>
    <x v="1"/>
    <x v="33"/>
    <x v="7"/>
    <x v="4"/>
    <x v="49"/>
    <n v="20"/>
    <n v="5156"/>
    <n v="46314000"/>
    <n v="5156000"/>
    <n v="4150000"/>
    <n v="0"/>
    <m/>
    <n v="0"/>
    <m/>
    <n v="9306000"/>
    <n v="0"/>
    <n v="4620000"/>
    <n v="0"/>
    <n v="411871"/>
    <n v="5031871"/>
    <n v="10652220"/>
    <n v="2376000"/>
    <n v="2930647.3225806449"/>
    <m/>
    <m/>
    <n v="15958867.322580645"/>
    <n v="1620996.3225806449"/>
    <n v="934349"/>
    <n v="8.7714016420990179E-2"/>
    <n v="686647.32258064486"/>
    <n v="0.12939381135408209"/>
    <m/>
  </r>
  <r>
    <x v="0"/>
    <x v="0"/>
    <x v="0"/>
    <x v="0"/>
    <x v="0"/>
    <x v="0"/>
    <x v="33"/>
    <x v="7"/>
    <x v="4"/>
    <x v="49"/>
    <n v="278"/>
    <n v="56718"/>
    <n v="501525000"/>
    <n v="56699500"/>
    <n v="51300000"/>
    <n v="0"/>
    <m/>
    <n v="0"/>
    <m/>
    <n v="107999500"/>
    <n v="700000"/>
    <n v="64750000"/>
    <n v="0"/>
    <n v="294903"/>
    <n v="65744903"/>
    <n v="115350750"/>
    <n v="33300000"/>
    <n v="35328867.903225802"/>
    <m/>
    <m/>
    <n v="183979617.90322581"/>
    <n v="10235214.903225809"/>
    <n v="6356347"/>
    <n v="5.5104513841479144E-2"/>
    <n v="3878867.9032258093"/>
    <n v="5.651947965534615E-2"/>
    <s v="Rekapan 16-22 Maret 2025.xlsx"/>
  </r>
  <r>
    <x v="0"/>
    <x v="2"/>
    <x v="3"/>
    <x v="1"/>
    <x v="0"/>
    <x v="2"/>
    <x v="33"/>
    <x v="7"/>
    <x v="4"/>
    <x v="49"/>
    <n v="6"/>
    <n v="259"/>
    <n v="3010000"/>
    <n v="259000"/>
    <n v="800000"/>
    <n v="0"/>
    <m/>
    <n v="0"/>
    <m/>
    <n v="1059000"/>
    <n v="0"/>
    <n v="1260000"/>
    <n v="0"/>
    <n v="0"/>
    <n v="1260000"/>
    <n v="903000"/>
    <n v="360000"/>
    <n v="0"/>
    <m/>
    <m/>
    <n v="1263000"/>
    <n v="-1056000"/>
    <n v="-156000"/>
    <n v="-0.17275747508305647"/>
    <n v="115000"/>
    <n v="0.31944444444444442"/>
    <s v="Rekapan 16-22 Maret 2025.xlsx"/>
  </r>
  <r>
    <x v="0"/>
    <x v="6"/>
    <x v="7"/>
    <x v="1"/>
    <x v="0"/>
    <x v="2"/>
    <x v="33"/>
    <x v="7"/>
    <x v="4"/>
    <x v="49"/>
    <n v="1"/>
    <n v="38"/>
    <n v="612000"/>
    <n v="38000"/>
    <n v="100000"/>
    <n v="0"/>
    <m/>
    <n v="0"/>
    <m/>
    <n v="138000"/>
    <n v="0"/>
    <n v="245000"/>
    <m/>
    <m/>
    <n v="245000"/>
    <n v="183600"/>
    <n v="70000"/>
    <n v="0"/>
    <m/>
    <m/>
    <n v="253600"/>
    <n v="-129400"/>
    <n v="45600"/>
    <n v="0.24836601307189543"/>
    <n v="-175000"/>
    <n v="-2.5"/>
    <s v="Rekapan 16-22 Maret 2025.xlsx"/>
  </r>
  <r>
    <x v="0"/>
    <x v="4"/>
    <x v="5"/>
    <x v="0"/>
    <x v="0"/>
    <x v="2"/>
    <x v="33"/>
    <x v="7"/>
    <x v="4"/>
    <x v="49"/>
    <n v="3"/>
    <n v="370"/>
    <n v="1284000"/>
    <n v="98300"/>
    <n v="1050000"/>
    <n v="0"/>
    <m/>
    <n v="0"/>
    <m/>
    <n v="1148300"/>
    <n v="0"/>
    <n v="1715000"/>
    <n v="0"/>
    <n v="0"/>
    <n v="1715000"/>
    <n v="385200"/>
    <n v="490000"/>
    <n v="0"/>
    <m/>
    <m/>
    <n v="875200"/>
    <n v="-1988100"/>
    <n v="-763100"/>
    <n v="-1.981048805815161"/>
    <n v="-1225000"/>
    <n v="-2.5"/>
    <s v="Rekapan 16-22 Maret 2025.xlsx"/>
  </r>
  <r>
    <x v="0"/>
    <x v="5"/>
    <x v="6"/>
    <x v="1"/>
    <x v="0"/>
    <x v="2"/>
    <x v="33"/>
    <x v="7"/>
    <x v="4"/>
    <x v="49"/>
    <n v="2"/>
    <n v="19"/>
    <n v="190000"/>
    <n v="19000"/>
    <n v="175000"/>
    <n v="0"/>
    <m/>
    <n v="0"/>
    <m/>
    <n v="194000"/>
    <n v="0"/>
    <n v="490000"/>
    <n v="0"/>
    <n v="0"/>
    <n v="490000"/>
    <n v="66500"/>
    <n v="140000"/>
    <n v="0"/>
    <m/>
    <m/>
    <n v="206500"/>
    <n v="-477500"/>
    <n v="-127500"/>
    <n v="-1.9172932330827068"/>
    <n v="-350000"/>
    <n v="-2.5"/>
    <s v="Rekapan 16-22 Maret 2025.xlsx"/>
  </r>
  <r>
    <x v="0"/>
    <x v="3"/>
    <x v="4"/>
    <x v="1"/>
    <x v="0"/>
    <x v="2"/>
    <x v="33"/>
    <x v="7"/>
    <x v="4"/>
    <x v="49"/>
    <n v="1"/>
    <n v="29"/>
    <n v="348000"/>
    <n v="29000"/>
    <n v="75000"/>
    <n v="0"/>
    <m/>
    <n v="0"/>
    <m/>
    <n v="104000"/>
    <n v="0"/>
    <n v="245000"/>
    <n v="0"/>
    <n v="0"/>
    <n v="245000"/>
    <n v="104400"/>
    <n v="70000"/>
    <n v="0"/>
    <m/>
    <m/>
    <n v="174400"/>
    <n v="-174600"/>
    <n v="400"/>
    <n v="3.8314176245210726E-3"/>
    <n v="-175000"/>
    <n v="-2.5"/>
    <s v="Rekapan 16-22 Maret 2025.xlsx"/>
  </r>
  <r>
    <x v="0"/>
    <x v="10"/>
    <x v="14"/>
    <x v="1"/>
    <x v="0"/>
    <x v="2"/>
    <x v="33"/>
    <x v="7"/>
    <x v="4"/>
    <x v="49"/>
    <n v="3"/>
    <n v="101"/>
    <n v="1128000"/>
    <n v="101000"/>
    <n v="150000"/>
    <n v="0"/>
    <m/>
    <n v="0"/>
    <m/>
    <n v="251000"/>
    <n v="0"/>
    <n v="210000"/>
    <n v="0"/>
    <n v="0"/>
    <n v="210000"/>
    <n v="327120"/>
    <n v="60000"/>
    <n v="0"/>
    <m/>
    <m/>
    <n v="387120"/>
    <n v="-73880"/>
    <n v="76120"/>
    <n v="0.23269748104671067"/>
    <n v="-150000"/>
    <n v="-2.5"/>
    <s v="Rekapan 16-22 Maret 2025.xlsx"/>
  </r>
  <r>
    <x v="0"/>
    <x v="8"/>
    <x v="12"/>
    <x v="1"/>
    <x v="0"/>
    <x v="2"/>
    <x v="33"/>
    <x v="7"/>
    <x v="4"/>
    <x v="49"/>
    <n v="1"/>
    <n v="33"/>
    <n v="389000"/>
    <n v="33000"/>
    <n v="100000"/>
    <n v="0"/>
    <m/>
    <n v="0"/>
    <m/>
    <n v="133000"/>
    <n v="0"/>
    <n v="245000"/>
    <n v="0"/>
    <m/>
    <n v="245000"/>
    <n v="116700"/>
    <n v="70000"/>
    <n v="0"/>
    <m/>
    <m/>
    <n v="186700"/>
    <n v="-191300"/>
    <n v="-16300"/>
    <n v="-0.13967437874892888"/>
    <n v="-175000"/>
    <n v="-2.5"/>
    <s v="Rekapan 16-22 Maret 2025.xlsx"/>
  </r>
  <r>
    <x v="0"/>
    <x v="0"/>
    <x v="0"/>
    <x v="0"/>
    <x v="0"/>
    <x v="0"/>
    <x v="34"/>
    <x v="7"/>
    <x v="3"/>
    <x v="50"/>
    <n v="262"/>
    <n v="25930"/>
    <n v="229587000"/>
    <n v="25915500"/>
    <n v="21650000"/>
    <n v="24375000"/>
    <m/>
    <n v="200000"/>
    <m/>
    <n v="72140500"/>
    <n v="300000"/>
    <n v="27510000"/>
    <n v="0"/>
    <n v="126774"/>
    <n v="27936774"/>
    <n v="52805010"/>
    <n v="14112000"/>
    <n v="15140943.387096774"/>
    <m/>
    <m/>
    <n v="82057953.387096778"/>
    <n v="-18019320.612903222"/>
    <n v="-19762264"/>
    <n v="-0.37424979182846474"/>
    <n v="1742943.3870967738"/>
    <n v="5.9581812470384479E-2"/>
    <s v="Rekapan 23-25 dan Bonus 2025.xlsx"/>
  </r>
  <r>
    <x v="0"/>
    <x v="0"/>
    <x v="1"/>
    <x v="0"/>
    <x v="0"/>
    <x v="1"/>
    <x v="34"/>
    <x v="7"/>
    <x v="3"/>
    <x v="50"/>
    <n v="20"/>
    <n v="2303"/>
    <n v="20926000"/>
    <n v="2303000"/>
    <n v="1675000"/>
    <n v="3000000"/>
    <m/>
    <n v="0"/>
    <m/>
    <n v="6978000"/>
    <n v="0"/>
    <n v="2100000"/>
    <n v="0"/>
    <n v="176516.14285714284"/>
    <n v="2276516.1428571427"/>
    <n v="4812980"/>
    <n v="1080000"/>
    <n v="1255991.7096774194"/>
    <m/>
    <m/>
    <n v="7148971.7096774196"/>
    <n v="-2105544.4331797222"/>
    <n v="-2341536.1428571427"/>
    <n v="-0.48650444067025889"/>
    <n v="235991.70967741963"/>
    <n v="0.10102420684960738"/>
    <s v="Rekapan 23-25 dan Bonus 2025.xlsx"/>
  </r>
  <r>
    <x v="0"/>
    <x v="0"/>
    <x v="9"/>
    <x v="0"/>
    <x v="1"/>
    <x v="3"/>
    <x v="34"/>
    <x v="7"/>
    <x v="3"/>
    <x v="51"/>
    <n v="61"/>
    <n v="9066"/>
    <n v="82840000"/>
    <n v="7252800"/>
    <n v="17150000"/>
    <n v="0"/>
    <m/>
    <n v="0"/>
    <m/>
    <n v="24402800"/>
    <n v="840000"/>
    <n v="12005000"/>
    <n v="0"/>
    <n v="112903"/>
    <n v="12957903"/>
    <n v="17396400"/>
    <n v="8575000"/>
    <n v="4715456.7419354841"/>
    <m/>
    <n v="0"/>
    <n v="30686856.741935484"/>
    <n v="-6673846.2580645159"/>
    <n v="-7959303"/>
    <n v="-0.45752586742084567"/>
    <n v="1285456.7419354841"/>
    <n v="9.6720283350343578E-2"/>
    <m/>
  </r>
  <r>
    <x v="0"/>
    <x v="0"/>
    <x v="10"/>
    <x v="0"/>
    <x v="1"/>
    <x v="4"/>
    <x v="34"/>
    <x v="7"/>
    <x v="3"/>
    <x v="51"/>
    <n v="16"/>
    <n v="3440"/>
    <n v="31540000"/>
    <n v="2752000"/>
    <n v="4200000"/>
    <n v="250000"/>
    <m/>
    <n v="0"/>
    <m/>
    <n v="7202000"/>
    <n v="0"/>
    <n v="2940000"/>
    <n v="0"/>
    <n v="0"/>
    <n v="2940000"/>
    <n v="6623400"/>
    <n v="2100000"/>
    <n v="1071545.0967741935"/>
    <m/>
    <n v="0"/>
    <n v="9794945.0967741944"/>
    <n v="-347054.90322580561"/>
    <n v="-578600"/>
    <n v="-8.7356946583325781E-2"/>
    <n v="231545.09677419346"/>
    <n v="7.3007032758165738E-2"/>
    <m/>
  </r>
  <r>
    <x v="0"/>
    <x v="9"/>
    <x v="13"/>
    <x v="1"/>
    <x v="1"/>
    <x v="3"/>
    <x v="34"/>
    <x v="7"/>
    <x v="3"/>
    <x v="51"/>
    <n v="7"/>
    <n v="489"/>
    <n v="4576000"/>
    <n v="388800"/>
    <n v="1950000"/>
    <n v="0"/>
    <m/>
    <n v="0"/>
    <m/>
    <n v="2338800"/>
    <n v="0"/>
    <n v="1365000"/>
    <n v="0"/>
    <n v="0"/>
    <n v="1365000"/>
    <n v="1372800"/>
    <n v="975000"/>
    <n v="0"/>
    <m/>
    <n v="0"/>
    <n v="2347800"/>
    <n v="-1356000"/>
    <n v="-966000"/>
    <n v="-0.70367132867132864"/>
    <n v="-390000"/>
    <n v="-0.4"/>
    <m/>
  </r>
  <r>
    <x v="0"/>
    <x v="0"/>
    <x v="9"/>
    <x v="0"/>
    <x v="1"/>
    <x v="3"/>
    <x v="35"/>
    <x v="7"/>
    <x v="2"/>
    <x v="52"/>
    <n v="33"/>
    <n v="1805"/>
    <n v="16636000"/>
    <n v="1444000"/>
    <n v="2850000"/>
    <n v="0"/>
    <m/>
    <n v="0"/>
    <m/>
    <n v="4294000"/>
    <n v="240000"/>
    <n v="1995000"/>
    <n v="0"/>
    <n v="32258"/>
    <n v="2267258"/>
    <n v="3493560"/>
    <n v="0"/>
    <n v="1347273.3548387096"/>
    <m/>
    <n v="0"/>
    <n v="4840833.3548387093"/>
    <n v="-1720424.6451612907"/>
    <n v="-1072698"/>
    <n v="-0.30705011506886959"/>
    <n v="-647726.64516129042"/>
    <n v="-0.48076854102026961"/>
    <m/>
  </r>
  <r>
    <x v="0"/>
    <x v="0"/>
    <x v="10"/>
    <x v="0"/>
    <x v="1"/>
    <x v="4"/>
    <x v="35"/>
    <x v="7"/>
    <x v="2"/>
    <x v="52"/>
    <n v="3"/>
    <n v="125"/>
    <n v="1176000"/>
    <n v="100000"/>
    <n v="150000"/>
    <n v="0"/>
    <m/>
    <n v="0"/>
    <m/>
    <n v="250000"/>
    <n v="0"/>
    <n v="105000"/>
    <n v="0"/>
    <n v="0"/>
    <n v="105000"/>
    <n v="246960"/>
    <n v="0"/>
    <n v="306155.74193548388"/>
    <m/>
    <m/>
    <n v="553115.74193548388"/>
    <n v="198115.74193548388"/>
    <n v="-3040"/>
    <n v="-1.2309685779073534E-2"/>
    <n v="201155.74193548388"/>
    <n v="0.65703729959072066"/>
    <m/>
  </r>
  <r>
    <x v="0"/>
    <x v="9"/>
    <x v="13"/>
    <x v="1"/>
    <x v="1"/>
    <x v="3"/>
    <x v="35"/>
    <x v="8"/>
    <x v="2"/>
    <x v="52"/>
    <n v="3"/>
    <n v="148"/>
    <n v="1329000"/>
    <n v="118400"/>
    <n v="150000"/>
    <n v="0"/>
    <m/>
    <n v="0"/>
    <m/>
    <n v="268400"/>
    <n v="0"/>
    <n v="105000"/>
    <n v="0"/>
    <n v="0"/>
    <n v="105000"/>
    <n v="398700"/>
    <n v="0"/>
    <n v="0"/>
    <m/>
    <n v="0"/>
    <n v="398700"/>
    <n v="25300"/>
    <n v="130300"/>
    <n v="0.32681213945322296"/>
    <n v="-105000"/>
    <n v="0"/>
    <m/>
  </r>
  <r>
    <x v="0"/>
    <x v="0"/>
    <x v="9"/>
    <x v="0"/>
    <x v="1"/>
    <x v="3"/>
    <x v="35"/>
    <x v="8"/>
    <x v="2"/>
    <x v="53"/>
    <n v="49"/>
    <n v="7200"/>
    <n v="66028000"/>
    <n v="5760000"/>
    <n v="9300000"/>
    <n v="0"/>
    <m/>
    <n v="0"/>
    <m/>
    <n v="15060000"/>
    <n v="600000"/>
    <n v="6510000"/>
    <n v="0"/>
    <n v="80645"/>
    <n v="7190645"/>
    <n v="13865880"/>
    <n v="4650000"/>
    <n v="2607058"/>
    <m/>
    <n v="0"/>
    <n v="21122938"/>
    <n v="-1127707"/>
    <n v="-1874765"/>
    <n v="-0.13520706943951627"/>
    <n v="747058"/>
    <n v="0.1029422666871341"/>
    <m/>
  </r>
  <r>
    <x v="0"/>
    <x v="0"/>
    <x v="10"/>
    <x v="0"/>
    <x v="1"/>
    <x v="4"/>
    <x v="35"/>
    <x v="8"/>
    <x v="2"/>
    <x v="53"/>
    <n v="14"/>
    <n v="2649"/>
    <n v="24316000"/>
    <n v="2119200"/>
    <n v="2500000"/>
    <n v="0"/>
    <m/>
    <n v="0"/>
    <m/>
    <n v="4619200"/>
    <n v="0"/>
    <n v="1750000"/>
    <n v="0"/>
    <n v="0"/>
    <n v="1750000"/>
    <n v="5106360"/>
    <n v="1250000"/>
    <n v="830954.83333333326"/>
    <m/>
    <n v="0"/>
    <n v="7187314.833333333"/>
    <n v="818114.83333333302"/>
    <n v="487160"/>
    <n v="9.5402595978348576E-2"/>
    <n v="330954.83333333326"/>
    <n v="0.15903989266465735"/>
    <m/>
  </r>
  <r>
    <x v="0"/>
    <x v="9"/>
    <x v="13"/>
    <x v="1"/>
    <x v="1"/>
    <x v="3"/>
    <x v="35"/>
    <x v="8"/>
    <x v="2"/>
    <x v="53"/>
    <n v="7"/>
    <n v="467"/>
    <n v="4369000"/>
    <n v="373600"/>
    <n v="1100000"/>
    <n v="0"/>
    <m/>
    <n v="0"/>
    <m/>
    <n v="1473600"/>
    <n v="0"/>
    <n v="770000"/>
    <n v="0"/>
    <n v="0"/>
    <n v="770000"/>
    <n v="1310700"/>
    <n v="550000"/>
    <n v="0"/>
    <m/>
    <n v="0"/>
    <n v="1860700"/>
    <n v="-382900"/>
    <n v="-162900"/>
    <n v="-0.12428473334859236"/>
    <n v="-220000"/>
    <n v="-0.4"/>
    <m/>
  </r>
  <r>
    <x v="0"/>
    <x v="2"/>
    <x v="3"/>
    <x v="1"/>
    <x v="0"/>
    <x v="2"/>
    <x v="34"/>
    <x v="7"/>
    <x v="3"/>
    <x v="50"/>
    <n v="5"/>
    <n v="140"/>
    <n v="1431000"/>
    <n v="140000"/>
    <n v="325000"/>
    <n v="0"/>
    <m/>
    <n v="0"/>
    <m/>
    <n v="465000"/>
    <n v="0"/>
    <n v="525000"/>
    <n v="0"/>
    <n v="0"/>
    <n v="525000"/>
    <n v="429300"/>
    <n v="140000"/>
    <n v="0"/>
    <m/>
    <m/>
    <n v="569300"/>
    <n v="-420700"/>
    <n v="-35700"/>
    <n v="-8.3158630328441646E-2"/>
    <n v="-385000"/>
    <n v="-2.75"/>
    <s v="Rekapan 23-25 dan Bonus 2025.xlsx"/>
  </r>
  <r>
    <x v="0"/>
    <x v="6"/>
    <x v="7"/>
    <x v="1"/>
    <x v="0"/>
    <x v="2"/>
    <x v="34"/>
    <x v="7"/>
    <x v="3"/>
    <x v="50"/>
    <n v="2"/>
    <n v="57"/>
    <n v="816000"/>
    <n v="57000"/>
    <n v="100000"/>
    <n v="0"/>
    <m/>
    <n v="0"/>
    <m/>
    <n v="157000"/>
    <n v="0"/>
    <n v="140000"/>
    <n v="0"/>
    <n v="0"/>
    <n v="140000"/>
    <n v="244800"/>
    <n v="40000"/>
    <n v="0"/>
    <m/>
    <m/>
    <n v="284800"/>
    <n v="-12200"/>
    <n v="87800"/>
    <n v="0.35866013071895425"/>
    <n v="-100000"/>
    <n v="-2.5"/>
    <s v="Rekapan 23-25 dan Bonus 2025.xlsx"/>
  </r>
  <r>
    <x v="0"/>
    <x v="4"/>
    <x v="5"/>
    <x v="0"/>
    <x v="0"/>
    <x v="2"/>
    <x v="34"/>
    <x v="7"/>
    <x v="3"/>
    <x v="50"/>
    <n v="7"/>
    <n v="109"/>
    <n v="399000"/>
    <n v="25400"/>
    <n v="300000"/>
    <n v="0"/>
    <m/>
    <n v="0"/>
    <m/>
    <n v="325400"/>
    <n v="0"/>
    <n v="735000"/>
    <n v="0"/>
    <n v="0"/>
    <n v="735000"/>
    <n v="119700"/>
    <n v="120000"/>
    <n v="0"/>
    <m/>
    <m/>
    <n v="239700"/>
    <n v="-820700"/>
    <n v="-205700"/>
    <n v="-1.7184628237259816"/>
    <n v="-615000"/>
    <n v="-5.125"/>
    <s v="Rekapan 23-25 dan Bonus 2025.xlsx"/>
  </r>
  <r>
    <x v="0"/>
    <x v="5"/>
    <x v="6"/>
    <x v="1"/>
    <x v="0"/>
    <x v="2"/>
    <x v="34"/>
    <x v="7"/>
    <x v="3"/>
    <x v="50"/>
    <n v="1"/>
    <n v="8"/>
    <n v="84000"/>
    <n v="8000"/>
    <n v="25000"/>
    <n v="0"/>
    <m/>
    <n v="0"/>
    <m/>
    <n v="33000"/>
    <n v="0"/>
    <n v="105000"/>
    <n v="0"/>
    <n v="0"/>
    <n v="105000"/>
    <n v="29399.999999999996"/>
    <n v="30000"/>
    <n v="0"/>
    <m/>
    <m/>
    <n v="59400"/>
    <n v="-78600"/>
    <n v="-3600.0000000000036"/>
    <n v="-0.12244897959183687"/>
    <n v="-75000"/>
    <n v="-2.5"/>
    <s v="Rekapan 23-25 dan Bonus 2025.xlsx"/>
  </r>
  <r>
    <x v="0"/>
    <x v="3"/>
    <x v="4"/>
    <x v="1"/>
    <x v="0"/>
    <x v="2"/>
    <x v="34"/>
    <x v="7"/>
    <x v="3"/>
    <x v="50"/>
    <n v="1"/>
    <n v="22"/>
    <n v="262000"/>
    <n v="22000"/>
    <n v="75000"/>
    <n v="0"/>
    <m/>
    <n v="0"/>
    <m/>
    <n v="97000"/>
    <n v="0"/>
    <n v="105000"/>
    <n v="0"/>
    <n v="0"/>
    <n v="105000"/>
    <n v="78600"/>
    <n v="30000"/>
    <n v="0"/>
    <m/>
    <m/>
    <n v="108600"/>
    <n v="-93400"/>
    <n v="-18400"/>
    <n v="-0.2340966921119593"/>
    <n v="-75000"/>
    <n v="-2.5"/>
    <s v="Rekapan 23-25 dan Bonus 2025.xlsx"/>
  </r>
  <r>
    <x v="0"/>
    <x v="10"/>
    <x v="14"/>
    <x v="1"/>
    <x v="0"/>
    <x v="2"/>
    <x v="34"/>
    <x v="7"/>
    <x v="3"/>
    <x v="50"/>
    <n v="3"/>
    <n v="84"/>
    <n v="1128000"/>
    <n v="84000"/>
    <n v="150000"/>
    <n v="0"/>
    <m/>
    <n v="0"/>
    <m/>
    <n v="234000"/>
    <n v="0"/>
    <n v="315000"/>
    <n v="0"/>
    <n v="0"/>
    <n v="315000"/>
    <n v="327120"/>
    <n v="90000"/>
    <n v="0"/>
    <m/>
    <m/>
    <n v="417120"/>
    <n v="-131880"/>
    <n v="93120"/>
    <n v="0.28466617754952311"/>
    <n v="-225000"/>
    <n v="-2.5"/>
    <s v="Rekapan 23-25 dan Bonus 2025.xlsx"/>
  </r>
  <r>
    <x v="0"/>
    <x v="8"/>
    <x v="12"/>
    <x v="1"/>
    <x v="0"/>
    <x v="2"/>
    <x v="34"/>
    <x v="7"/>
    <x v="3"/>
    <x v="50"/>
    <n v="1"/>
    <n v="11"/>
    <n v="389000"/>
    <n v="11000"/>
    <n v="75000"/>
    <n v="0"/>
    <m/>
    <n v="0"/>
    <m/>
    <n v="86000"/>
    <n v="0"/>
    <n v="105000"/>
    <n v="0"/>
    <n v="0"/>
    <n v="105000"/>
    <n v="89470"/>
    <n v="30000"/>
    <n v="0"/>
    <m/>
    <m/>
    <n v="119470"/>
    <n v="-71530"/>
    <n v="3470"/>
    <n v="3.8783949927349952E-2"/>
    <n v="-75000"/>
    <n v="-2.5"/>
    <s v="Rekapan 23-25 dan Bonus 2025.xlsx"/>
  </r>
  <r>
    <x v="0"/>
    <x v="0"/>
    <x v="0"/>
    <x v="0"/>
    <x v="0"/>
    <x v="0"/>
    <x v="35"/>
    <x v="7"/>
    <x v="2"/>
    <x v="54"/>
    <n v="253"/>
    <n v="50546"/>
    <n v="446718000"/>
    <n v="58322999.999999993"/>
    <n v="41522727.272727266"/>
    <n v="0"/>
    <m/>
    <n v="0"/>
    <m/>
    <n v="99845727.272727251"/>
    <n v="381818.18181818177"/>
    <n v="53072727.272727266"/>
    <n v="0"/>
    <n v="161348.72727272726"/>
    <n v="53615894.181818172"/>
    <n v="102745140"/>
    <n v="30305454.545454543"/>
    <n v="30281886.774193548"/>
    <m/>
    <n v="0"/>
    <n v="163332481.31964809"/>
    <n v="9870859.8651026487"/>
    <n v="2356245.8181818402"/>
    <n v="2.2932917490616492E-2"/>
    <n v="7514614.0469208211"/>
    <n v="0.12402944052743704"/>
    <s v="Rekapan 26 Mar-5 April 2025.xlsx"/>
  </r>
  <r>
    <x v="0"/>
    <x v="0"/>
    <x v="0"/>
    <x v="0"/>
    <x v="0"/>
    <x v="0"/>
    <x v="35"/>
    <x v="8"/>
    <x v="2"/>
    <x v="53"/>
    <n v="228"/>
    <n v="56499"/>
    <n v="497897000"/>
    <n v="48602500"/>
    <n v="34602272.727272727"/>
    <n v="0"/>
    <m/>
    <n v="0"/>
    <m/>
    <n v="83204772.727272719"/>
    <n v="318181.81818181818"/>
    <n v="44227272.727272727"/>
    <n v="0"/>
    <n v="134457.27272727274"/>
    <n v="44679911.81818182"/>
    <n v="114516310"/>
    <n v="21987978.5"/>
    <n v="21987978.5"/>
    <m/>
    <n v="0"/>
    <n v="158492267"/>
    <n v="30607582.454545468"/>
    <n v="30858898.181818191"/>
    <n v="0.26947164278885855"/>
    <n v="-251315.7272727266"/>
    <n v="-5.714843846894033E-3"/>
    <m/>
  </r>
  <r>
    <x v="0"/>
    <x v="0"/>
    <x v="1"/>
    <x v="0"/>
    <x v="0"/>
    <x v="1"/>
    <x v="35"/>
    <x v="7"/>
    <x v="2"/>
    <x v="54"/>
    <n v="19"/>
    <n v="4356"/>
    <n v="39526000"/>
    <n v="4690909.0909090908"/>
    <n v="3040909.0909090908"/>
    <n v="0"/>
    <m/>
    <n v="0"/>
    <m/>
    <n v="7731818.1818181816"/>
    <n v="0"/>
    <n v="3875454.5454545449"/>
    <n v="0"/>
    <n v="224656.90909090909"/>
    <n v="4100111.4545454541"/>
    <n v="9090980"/>
    <n v="2150181.8181818179"/>
    <n v="2511983.4193548388"/>
    <m/>
    <n v="0"/>
    <n v="13753145.237536658"/>
    <n v="1921215.6011730209"/>
    <n v="1134504.9090909092"/>
    <n v="0.12479456660238052"/>
    <n v="786710.69208211172"/>
    <n v="0.16874363133851197"/>
    <s v="Rekapan 26 Mar-5 April 2025.xlsx"/>
  </r>
  <r>
    <x v="0"/>
    <x v="0"/>
    <x v="1"/>
    <x v="0"/>
    <x v="0"/>
    <x v="1"/>
    <x v="35"/>
    <x v="8"/>
    <x v="2"/>
    <x v="53"/>
    <n v="18"/>
    <n v="424"/>
    <n v="37946000"/>
    <n v="3909090.9090909092"/>
    <n v="2534090.9090909092"/>
    <n v="0"/>
    <m/>
    <n v="0"/>
    <m/>
    <n v="6443181.8181818184"/>
    <n v="0"/>
    <n v="3229545.4545454546"/>
    <n v="0"/>
    <n v="187214.09090909091"/>
    <n v="3416759.5454545454"/>
    <n v="8727580"/>
    <n v="1791818.1818181816"/>
    <n v="1860903.1666666665"/>
    <m/>
    <n v="0"/>
    <n v="12380301.348484848"/>
    <n v="2520359.9848484844"/>
    <n v="2097184.0909090908"/>
    <n v="0.24029388340285518"/>
    <n v="423175.89393939357"/>
    <n v="0.11585222456537159"/>
    <m/>
  </r>
  <r>
    <x v="0"/>
    <x v="2"/>
    <x v="3"/>
    <x v="1"/>
    <x v="0"/>
    <x v="2"/>
    <x v="35"/>
    <x v="8"/>
    <x v="2"/>
    <x v="55"/>
    <n v="5"/>
    <n v="278"/>
    <n v="2980000"/>
    <n v="278000"/>
    <n v="600000"/>
    <n v="0"/>
    <m/>
    <n v="0"/>
    <m/>
    <n v="878000"/>
    <n v="0"/>
    <n v="1925000"/>
    <n v="0"/>
    <n v="0"/>
    <n v="1925000"/>
    <n v="894000"/>
    <n v="300000"/>
    <n v="0"/>
    <m/>
    <m/>
    <n v="1194000"/>
    <n v="-1609000"/>
    <n v="16000"/>
    <n v="1.7897091722595078E-2"/>
    <n v="-1625000"/>
    <n v="-5.416666666666667"/>
    <s v="Rekapan 26 Mar-5 April 2025.xlsx"/>
  </r>
  <r>
    <x v="0"/>
    <x v="6"/>
    <x v="7"/>
    <x v="1"/>
    <x v="0"/>
    <x v="2"/>
    <x v="35"/>
    <x v="8"/>
    <x v="2"/>
    <x v="55"/>
    <n v="2"/>
    <n v="62"/>
    <n v="566000"/>
    <n v="62000"/>
    <n v="100000"/>
    <n v="0"/>
    <m/>
    <n v="0"/>
    <m/>
    <n v="162000"/>
    <n v="0"/>
    <n v="770000"/>
    <n v="0"/>
    <n v="0"/>
    <n v="770000"/>
    <n v="169800"/>
    <n v="40000"/>
    <n v="0"/>
    <m/>
    <m/>
    <n v="209800"/>
    <n v="-722200"/>
    <n v="7800"/>
    <n v="4.5936395759717315E-2"/>
    <n v="-730000"/>
    <n v="-18.25"/>
    <s v="Rekapan 26 Mar-5 April 2025.xlsx"/>
  </r>
  <r>
    <x v="0"/>
    <x v="4"/>
    <x v="5"/>
    <x v="0"/>
    <x v="0"/>
    <x v="2"/>
    <x v="35"/>
    <x v="8"/>
    <x v="2"/>
    <x v="55"/>
    <n v="7"/>
    <n v="151"/>
    <n v="767000"/>
    <n v="73900"/>
    <n v="275000"/>
    <n v="0"/>
    <m/>
    <n v="0"/>
    <m/>
    <n v="348900"/>
    <n v="0"/>
    <n v="770000"/>
    <n v="0"/>
    <n v="0"/>
    <n v="770000"/>
    <n v="230100"/>
    <n v="110000"/>
    <n v="0"/>
    <m/>
    <m/>
    <n v="340100"/>
    <n v="-778800"/>
    <n v="-118800"/>
    <n v="-0.51629726205997395"/>
    <n v="-660000"/>
    <n v="-6"/>
    <s v="Rekapan 26 Mar-5 April 2025.xlsx"/>
  </r>
  <r>
    <x v="0"/>
    <x v="3"/>
    <x v="4"/>
    <x v="1"/>
    <x v="0"/>
    <x v="2"/>
    <x v="35"/>
    <x v="8"/>
    <x v="2"/>
    <x v="55"/>
    <n v="1"/>
    <n v="25"/>
    <n v="300000"/>
    <n v="25000"/>
    <n v="75000"/>
    <n v="0"/>
    <m/>
    <n v="0"/>
    <m/>
    <n v="100000"/>
    <n v="0"/>
    <n v="385000"/>
    <n v="0"/>
    <n v="0"/>
    <n v="385000"/>
    <n v="90000"/>
    <n v="30000"/>
    <n v="0"/>
    <m/>
    <m/>
    <n v="120000"/>
    <n v="-365000"/>
    <n v="-10000"/>
    <n v="-0.1111111111111111"/>
    <n v="-355000"/>
    <n v="-11.833333333333334"/>
    <s v="Rekapan 26 Mar-5 April 2025.xlsx"/>
  </r>
  <r>
    <x v="0"/>
    <x v="10"/>
    <x v="14"/>
    <x v="1"/>
    <x v="0"/>
    <x v="2"/>
    <x v="35"/>
    <x v="8"/>
    <x v="2"/>
    <x v="55"/>
    <n v="3"/>
    <n v="82"/>
    <n v="539000"/>
    <n v="82000"/>
    <n v="125000"/>
    <n v="0"/>
    <m/>
    <n v="0"/>
    <m/>
    <n v="207000"/>
    <n v="0"/>
    <n v="1155000"/>
    <n v="0"/>
    <n v="0"/>
    <n v="1155000"/>
    <n v="156310"/>
    <n v="50000"/>
    <n v="0"/>
    <m/>
    <m/>
    <n v="206310"/>
    <n v="-1155690"/>
    <n v="-50690"/>
    <n v="-0.32429147207472331"/>
    <n v="-1105000"/>
    <n v="-22.1"/>
    <s v="Rekapan 26 Mar-5 April 2025.xlsx"/>
  </r>
  <r>
    <x v="0"/>
    <x v="8"/>
    <x v="12"/>
    <x v="1"/>
    <x v="0"/>
    <x v="2"/>
    <x v="35"/>
    <x v="8"/>
    <x v="2"/>
    <x v="55"/>
    <n v="2"/>
    <n v="23"/>
    <n v="256000"/>
    <n v="23000"/>
    <n v="75000"/>
    <n v="0"/>
    <m/>
    <n v="0"/>
    <m/>
    <n v="98000"/>
    <n v="0"/>
    <n v="770000"/>
    <n v="0"/>
    <n v="0"/>
    <n v="770000"/>
    <n v="58880"/>
    <n v="30000"/>
    <n v="0"/>
    <m/>
    <m/>
    <n v="88880"/>
    <n v="-779120"/>
    <n v="-39120"/>
    <n v="-0.66440217391304346"/>
    <n v="-740000"/>
    <n v="-24.666666666666668"/>
    <s v="Rekapan 26 Mar-5 April 2025.xlsx"/>
  </r>
  <r>
    <x v="0"/>
    <x v="0"/>
    <x v="0"/>
    <x v="0"/>
    <x v="0"/>
    <x v="0"/>
    <x v="36"/>
    <x v="8"/>
    <x v="1"/>
    <x v="56"/>
    <n v="242"/>
    <n v="74419"/>
    <n v="652814000"/>
    <n v="74390000"/>
    <n v="54450000"/>
    <n v="0"/>
    <m/>
    <n v="0"/>
    <m/>
    <n v="128840000"/>
    <n v="700000"/>
    <n v="56420000"/>
    <n v="0"/>
    <n v="295129"/>
    <n v="57415129"/>
    <n v="150147220"/>
    <n v="30783169.900000002"/>
    <n v="30783169.900000002"/>
    <m/>
    <m/>
    <n v="211713559.80000001"/>
    <n v="25458430.800000012"/>
    <n v="20312091"/>
    <n v="0.13528116604489912"/>
    <n v="5146339.8000000045"/>
    <n v="8.3590153592336902E-2"/>
    <s v="Rekapan 6-12 April 2025.xlsx"/>
  </r>
  <r>
    <x v="0"/>
    <x v="0"/>
    <x v="1"/>
    <x v="0"/>
    <x v="0"/>
    <x v="1"/>
    <x v="36"/>
    <x v="8"/>
    <x v="1"/>
    <x v="56"/>
    <n v="21"/>
    <n v="5793"/>
    <n v="51112000"/>
    <n v="5793000"/>
    <n v="4325000"/>
    <n v="0"/>
    <m/>
    <n v="0"/>
    <m/>
    <n v="10118000"/>
    <n v="0"/>
    <n v="4235000"/>
    <n v="0"/>
    <n v="411871"/>
    <n v="4646871"/>
    <n v="11755760"/>
    <n v="2178000"/>
    <n v="2605264.4333333336"/>
    <m/>
    <m/>
    <n v="16539024.433333334"/>
    <n v="1774153.4333333336"/>
    <n v="1225889"/>
    <n v="0.10427985940509163"/>
    <n v="548264.43333333358"/>
    <n v="0.1146213931875939"/>
    <s v="Rekapan 6-12 April 2025.xlsx"/>
  </r>
  <r>
    <x v="0"/>
    <x v="2"/>
    <x v="3"/>
    <x v="1"/>
    <x v="0"/>
    <x v="2"/>
    <x v="36"/>
    <x v="8"/>
    <x v="1"/>
    <x v="56"/>
    <n v="3"/>
    <n v="339"/>
    <n v="3692000"/>
    <n v="339000"/>
    <n v="375000"/>
    <n v="0"/>
    <m/>
    <n v="0"/>
    <m/>
    <n v="714000"/>
    <n v="0"/>
    <n v="735000"/>
    <m/>
    <m/>
    <n v="735000"/>
    <n v="1107600"/>
    <n v="210000"/>
    <n v="0"/>
    <m/>
    <m/>
    <n v="1317600"/>
    <n v="-131400"/>
    <n v="393600"/>
    <n v="0.35536294691224268"/>
    <n v="-525000"/>
    <n v="-2.5"/>
    <s v="Rekapan 6-12 April 2025.xlsx"/>
  </r>
  <r>
    <x v="0"/>
    <x v="6"/>
    <x v="7"/>
    <x v="1"/>
    <x v="0"/>
    <x v="2"/>
    <x v="36"/>
    <x v="8"/>
    <x v="1"/>
    <x v="56"/>
    <n v="2"/>
    <n v="188"/>
    <n v="1746000"/>
    <n v="188000"/>
    <n v="225000"/>
    <n v="0"/>
    <m/>
    <n v="0"/>
    <m/>
    <n v="413000"/>
    <n v="0"/>
    <n v="490000"/>
    <n v="0"/>
    <n v="0"/>
    <n v="490000"/>
    <n v="523800"/>
    <n v="140000"/>
    <n v="0"/>
    <m/>
    <m/>
    <n v="663800"/>
    <n v="-239200"/>
    <n v="110800"/>
    <n v="0.2115311187476136"/>
    <n v="-350000"/>
    <n v="-2.5"/>
    <s v="Rekapan 6-12 April 2025.xlsx"/>
  </r>
  <r>
    <x v="0"/>
    <x v="4"/>
    <x v="5"/>
    <x v="0"/>
    <x v="0"/>
    <x v="2"/>
    <x v="36"/>
    <x v="8"/>
    <x v="1"/>
    <x v="56"/>
    <n v="4"/>
    <n v="666"/>
    <n v="3210000"/>
    <n v="300800"/>
    <n v="450000"/>
    <n v="0"/>
    <m/>
    <n v="0"/>
    <m/>
    <n v="750800"/>
    <n v="0"/>
    <n v="770000"/>
    <n v="0"/>
    <n v="0"/>
    <n v="770000"/>
    <n v="963000"/>
    <n v="220000"/>
    <n v="0"/>
    <m/>
    <m/>
    <n v="1183000"/>
    <n v="-337800"/>
    <n v="212200"/>
    <n v="0.22035306334371754"/>
    <n v="-550000"/>
    <n v="-2.5"/>
    <s v="Rekapan 6-12 April 2025.xlsx"/>
  </r>
  <r>
    <x v="0"/>
    <x v="10"/>
    <x v="14"/>
    <x v="1"/>
    <x v="0"/>
    <x v="2"/>
    <x v="36"/>
    <x v="8"/>
    <x v="1"/>
    <x v="56"/>
    <n v="6"/>
    <n v="236"/>
    <n v="1622000"/>
    <n v="243000"/>
    <n v="375000"/>
    <n v="0"/>
    <m/>
    <n v="0"/>
    <m/>
    <n v="618000"/>
    <n v="0"/>
    <n v="665000"/>
    <n v="0"/>
    <n v="0"/>
    <n v="665000"/>
    <n v="470379.99999999994"/>
    <n v="190000"/>
    <n v="0"/>
    <m/>
    <m/>
    <n v="660380"/>
    <n v="-622620"/>
    <n v="-147620.00000000006"/>
    <n v="-0.31383137038139391"/>
    <n v="-475000"/>
    <n v="-2.5"/>
    <s v="Rekapan 6-12 April 2025.xlsx"/>
  </r>
  <r>
    <x v="0"/>
    <x v="8"/>
    <x v="12"/>
    <x v="1"/>
    <x v="0"/>
    <x v="2"/>
    <x v="36"/>
    <x v="8"/>
    <x v="1"/>
    <x v="56"/>
    <n v="3"/>
    <n v="35"/>
    <n v="332000"/>
    <n v="32000"/>
    <n v="125000"/>
    <n v="0"/>
    <m/>
    <n v="0"/>
    <m/>
    <n v="157000"/>
    <n v="0"/>
    <n v="210000"/>
    <n v="0"/>
    <n v="0"/>
    <n v="210000"/>
    <n v="99600"/>
    <n v="50000"/>
    <n v="0"/>
    <m/>
    <m/>
    <n v="149600"/>
    <n v="-217400"/>
    <n v="-57400"/>
    <n v="-0.57630522088353409"/>
    <n v="-160000"/>
    <n v="-3.2"/>
    <s v="Rekapan 6-12 April 2025.xlsx"/>
  </r>
  <r>
    <x v="0"/>
    <x v="0"/>
    <x v="9"/>
    <x v="0"/>
    <x v="1"/>
    <x v="3"/>
    <x v="36"/>
    <x v="8"/>
    <x v="2"/>
    <x v="56"/>
    <n v="56"/>
    <n v="11902"/>
    <n v="108600000"/>
    <n v="9906400"/>
    <n v="16000000"/>
    <n v="0"/>
    <m/>
    <n v="0"/>
    <m/>
    <n v="25906400"/>
    <n v="0"/>
    <n v="11200000"/>
    <n v="0"/>
    <n v="0"/>
    <n v="11200000"/>
    <n v="22806000"/>
    <n v="7550000"/>
    <n v="3649881.2"/>
    <m/>
    <n v="800000"/>
    <n v="34805881.200000003"/>
    <n v="-2300518.799999997"/>
    <n v="-2300400"/>
    <n v="-9.7449800898076755E-2"/>
    <n v="-118.80000000074506"/>
    <n v="-1.0607255369882411E-5"/>
    <m/>
  </r>
  <r>
    <x v="0"/>
    <x v="0"/>
    <x v="10"/>
    <x v="0"/>
    <x v="1"/>
    <x v="4"/>
    <x v="36"/>
    <x v="8"/>
    <x v="2"/>
    <x v="56"/>
    <n v="17"/>
    <n v="3667"/>
    <n v="33652000"/>
    <n v="3151200"/>
    <n v="4200000"/>
    <n v="0"/>
    <m/>
    <n v="0"/>
    <m/>
    <n v="7351200"/>
    <n v="0"/>
    <n v="2940000"/>
    <n v="0"/>
    <n v="0"/>
    <n v="2940000"/>
    <n v="7066920"/>
    <n v="2075000"/>
    <n v="1163336.7666666666"/>
    <m/>
    <n v="250000"/>
    <n v="10555256.766666666"/>
    <n v="264056.76666666567"/>
    <n v="-34280"/>
    <n v="-4.6850314066574457E-3"/>
    <n v="298336.7666666666"/>
    <n v="9.2126541543656404E-2"/>
    <m/>
  </r>
  <r>
    <x v="0"/>
    <x v="9"/>
    <x v="13"/>
    <x v="1"/>
    <x v="1"/>
    <x v="3"/>
    <x v="36"/>
    <x v="8"/>
    <x v="2"/>
    <x v="56"/>
    <n v="7"/>
    <n v="668"/>
    <n v="6095000"/>
    <n v="534400"/>
    <n v="1750000"/>
    <n v="0"/>
    <m/>
    <n v="0"/>
    <m/>
    <n v="2284400"/>
    <n v="0"/>
    <n v="1225000"/>
    <n v="0"/>
    <n v="0"/>
    <n v="1225000"/>
    <n v="1828500"/>
    <n v="825000"/>
    <n v="0"/>
    <m/>
    <n v="200000"/>
    <n v="2853500"/>
    <n v="-655900"/>
    <n v="-255900"/>
    <n v="-0.12615232930736997"/>
    <n v="-400000"/>
    <n v="-0.48484848484848486"/>
    <m/>
  </r>
  <r>
    <x v="1"/>
    <x v="0"/>
    <x v="0"/>
    <x v="0"/>
    <x v="0"/>
    <x v="0"/>
    <x v="37"/>
    <x v="6"/>
    <x v="2"/>
    <x v="57"/>
    <n v="121"/>
    <n v="36370"/>
    <n v="317268000"/>
    <n v="36364000"/>
    <n v="26350000"/>
    <n v="0"/>
    <m/>
    <n v="0"/>
    <m/>
    <n v="62714000"/>
    <n v="0"/>
    <n v="27039600"/>
    <n v="0"/>
    <n v="0"/>
    <n v="27039600"/>
    <n v="72971640"/>
    <n v="14616000"/>
    <n v="19488000"/>
    <m/>
    <m/>
    <n v="107075640"/>
    <n v="17322040"/>
    <n v="10257640"/>
    <n v="0.14057022700873928"/>
    <n v="7064400"/>
    <n v="0.20714285714285716"/>
    <m/>
  </r>
  <r>
    <x v="1"/>
    <x v="0"/>
    <x v="0"/>
    <x v="0"/>
    <x v="0"/>
    <x v="0"/>
    <x v="37"/>
    <x v="9"/>
    <x v="4"/>
    <x v="58"/>
    <n v="120"/>
    <n v="34431"/>
    <n v="300720000"/>
    <n v="34417000"/>
    <n v="32500000"/>
    <n v="29400000"/>
    <m/>
    <n v="3600000"/>
    <m/>
    <n v="99917000"/>
    <n v="0"/>
    <n v="26406900"/>
    <n v="0"/>
    <n v="0"/>
    <n v="26406900"/>
    <n v="69165600"/>
    <n v="14274000"/>
    <n v="19032000"/>
    <m/>
    <m/>
    <n v="102471600"/>
    <n v="-23852300"/>
    <n v="-30751400"/>
    <n v="-0.44460541078223859"/>
    <n v="6899100"/>
    <n v="0.20714285714285716"/>
    <m/>
  </r>
  <r>
    <x v="1"/>
    <x v="0"/>
    <x v="0"/>
    <x v="0"/>
    <x v="0"/>
    <x v="0"/>
    <x v="37"/>
    <x v="9"/>
    <x v="0"/>
    <x v="59"/>
    <n v="112"/>
    <n v="32497"/>
    <n v="284556000"/>
    <n v="32485000"/>
    <n v="31150000"/>
    <n v="0"/>
    <m/>
    <n v="0"/>
    <m/>
    <n v="63635000"/>
    <n v="0"/>
    <n v="24675300"/>
    <n v="0"/>
    <n v="0"/>
    <n v="24675300"/>
    <n v="65447880"/>
    <n v="13338000"/>
    <n v="17784000"/>
    <m/>
    <n v="0"/>
    <n v="96569880"/>
    <n v="8259580"/>
    <n v="1812880"/>
    <n v="2.7699598520227086E-2"/>
    <n v="6446700"/>
    <n v="0.20714285714285716"/>
    <m/>
  </r>
  <r>
    <x v="1"/>
    <x v="0"/>
    <x v="0"/>
    <x v="0"/>
    <x v="0"/>
    <x v="0"/>
    <x v="37"/>
    <x v="9"/>
    <x v="1"/>
    <x v="60"/>
    <n v="110"/>
    <n v="28932"/>
    <n v="268988000"/>
    <n v="28921000"/>
    <n v="5250000"/>
    <n v="0"/>
    <m/>
    <n v="0"/>
    <m/>
    <n v="34171000"/>
    <n v="0"/>
    <n v="19114200"/>
    <n v="0"/>
    <n v="0"/>
    <n v="19114200"/>
    <n v="61867240"/>
    <n v="1872003"/>
    <n v="13776000"/>
    <m/>
    <n v="0"/>
    <n v="77515243"/>
    <n v="24230043"/>
    <n v="27696240"/>
    <n v="0.44767214441762715"/>
    <n v="-3466197"/>
    <n v="-0.22151050201102337"/>
    <m/>
  </r>
  <r>
    <x v="1"/>
    <x v="0"/>
    <x v="0"/>
    <x v="0"/>
    <x v="0"/>
    <x v="0"/>
    <x v="37"/>
    <x v="9"/>
    <x v="2"/>
    <x v="61"/>
    <n v="85"/>
    <n v="22653"/>
    <n v="206375000"/>
    <n v="22650500"/>
    <n v="22900000"/>
    <n v="0"/>
    <m/>
    <n v="0"/>
    <m/>
    <n v="45550500"/>
    <n v="0"/>
    <n v="18714600"/>
    <n v="0"/>
    <n v="0"/>
    <n v="18714600"/>
    <n v="47466250"/>
    <n v="9990000"/>
    <n v="13488000"/>
    <m/>
    <n v="0"/>
    <n v="70944250"/>
    <n v="6679150"/>
    <n v="1915750"/>
    <n v="4.0360255971348062E-2"/>
    <n v="4763400"/>
    <n v="0.20288780986455404"/>
    <m/>
  </r>
  <r>
    <x v="1"/>
    <x v="0"/>
    <x v="0"/>
    <x v="0"/>
    <x v="0"/>
    <x v="0"/>
    <x v="37"/>
    <x v="10"/>
    <x v="3"/>
    <x v="62"/>
    <n v="82"/>
    <n v="19922"/>
    <n v="174488000"/>
    <n v="19922000"/>
    <n v="20500000"/>
    <n v="11500000"/>
    <m/>
    <n v="0"/>
    <m/>
    <n v="51922000"/>
    <n v="0"/>
    <n v="7692300"/>
    <n v="0"/>
    <n v="0"/>
    <n v="7692300"/>
    <n v="40132240"/>
    <n v="4158000"/>
    <n v="5544000"/>
    <m/>
    <n v="0"/>
    <n v="49834240"/>
    <n v="-9780060"/>
    <n v="-11789760"/>
    <n v="-0.29377278716563043"/>
    <n v="2009700"/>
    <n v="0.20714285714285716"/>
    <m/>
  </r>
  <r>
    <x v="1"/>
    <x v="0"/>
    <x v="0"/>
    <x v="0"/>
    <x v="0"/>
    <x v="0"/>
    <x v="37"/>
    <x v="10"/>
    <x v="4"/>
    <x v="63"/>
    <n v="69"/>
    <n v="19725"/>
    <n v="173408000"/>
    <n v="19725000"/>
    <n v="17300000"/>
    <n v="0"/>
    <m/>
    <n v="0"/>
    <m/>
    <n v="37025000"/>
    <n v="0"/>
    <n v="11255400"/>
    <n v="0"/>
    <n v="0"/>
    <n v="11255400"/>
    <n v="39883840"/>
    <n v="6102000"/>
    <n v="8112000"/>
    <m/>
    <n v="0"/>
    <n v="54097840"/>
    <n v="5817440"/>
    <n v="2858840"/>
    <n v="7.1679156269807517E-2"/>
    <n v="2958600"/>
    <n v="0.20814689742507386"/>
    <m/>
  </r>
  <r>
    <x v="1"/>
    <x v="0"/>
    <x v="0"/>
    <x v="0"/>
    <x v="0"/>
    <x v="0"/>
    <x v="37"/>
    <x v="10"/>
    <x v="0"/>
    <x v="64"/>
    <n v="61"/>
    <n v="15841"/>
    <n v="139174000"/>
    <n v="15841000"/>
    <n v="15150000"/>
    <n v="0"/>
    <m/>
    <n v="0"/>
    <m/>
    <n v="30991000"/>
    <n v="0"/>
    <n v="10089900"/>
    <n v="0"/>
    <n v="0"/>
    <n v="10089900"/>
    <n v="32010020"/>
    <n v="5454000"/>
    <n v="7272000"/>
    <m/>
    <n v="0"/>
    <n v="44736020"/>
    <n v="3655120"/>
    <n v="1019020"/>
    <n v="3.183440685135467E-2"/>
    <n v="2636100"/>
    <n v="0.20714285714285716"/>
    <m/>
  </r>
  <r>
    <x v="1"/>
    <x v="0"/>
    <x v="0"/>
    <x v="0"/>
    <x v="0"/>
    <x v="0"/>
    <x v="37"/>
    <x v="10"/>
    <x v="1"/>
    <x v="65"/>
    <n v="47"/>
    <n v="14977"/>
    <n v="131398000"/>
    <n v="14977000"/>
    <n v="13200000"/>
    <n v="350000"/>
    <m/>
    <n v="100000"/>
    <m/>
    <n v="28627000"/>
    <n v="0"/>
    <n v="8791200"/>
    <n v="0"/>
    <n v="0"/>
    <n v="8791200"/>
    <n v="30221540"/>
    <n v="4212000"/>
    <n v="5616000"/>
    <m/>
    <n v="0"/>
    <n v="40049540"/>
    <n v="2631340"/>
    <n v="1594540"/>
    <n v="5.2761705723798326E-2"/>
    <n v="1036800"/>
    <n v="0.10549450549450549"/>
    <m/>
  </r>
  <r>
    <x v="1"/>
    <x v="0"/>
    <x v="0"/>
    <x v="0"/>
    <x v="0"/>
    <x v="0"/>
    <x v="37"/>
    <x v="10"/>
    <x v="2"/>
    <x v="66"/>
    <n v="45"/>
    <n v="11825"/>
    <n v="103616000"/>
    <n v="11825000"/>
    <n v="10450000"/>
    <n v="3850000"/>
    <m/>
    <n v="300000"/>
    <m/>
    <n v="26425000"/>
    <n v="0"/>
    <n v="6959700"/>
    <n v="0"/>
    <n v="0"/>
    <n v="6959700"/>
    <n v="23831680"/>
    <n v="3762000"/>
    <n v="5016000"/>
    <m/>
    <n v="0"/>
    <n v="32609680"/>
    <n v="-775020"/>
    <n v="-2593320"/>
    <n v="-0.10881817815613502"/>
    <n v="1818300"/>
    <n v="0.20714285714285716"/>
    <m/>
  </r>
  <r>
    <x v="1"/>
    <x v="0"/>
    <x v="0"/>
    <x v="0"/>
    <x v="0"/>
    <x v="0"/>
    <x v="37"/>
    <x v="11"/>
    <x v="4"/>
    <x v="67"/>
    <n v="33"/>
    <n v="9257"/>
    <n v="81074000"/>
    <n v="9257000"/>
    <n v="8450000"/>
    <n v="0"/>
    <m/>
    <n v="0"/>
    <m/>
    <n v="17707000"/>
    <n v="0"/>
    <n v="5627700"/>
    <n v="0"/>
    <n v="0"/>
    <n v="5627700"/>
    <n v="18647020"/>
    <n v="3680000"/>
    <n v="2184000"/>
    <m/>
    <n v="0"/>
    <n v="24511020"/>
    <n v="1176320"/>
    <n v="940020"/>
    <n v="5.0411272149651791E-2"/>
    <n v="236300"/>
    <n v="4.0296725784447478E-2"/>
    <m/>
  </r>
  <r>
    <x v="1"/>
    <x v="0"/>
    <x v="0"/>
    <x v="0"/>
    <x v="0"/>
    <x v="0"/>
    <x v="37"/>
    <x v="11"/>
    <x v="0"/>
    <x v="68"/>
    <n v="29"/>
    <n v="7117"/>
    <n v="62230000"/>
    <n v="7117000"/>
    <n v="6200000"/>
    <n v="0"/>
    <m/>
    <n v="0"/>
    <m/>
    <n v="13317000"/>
    <n v="0"/>
    <n v="3629700"/>
    <n v="0"/>
    <n v="0"/>
    <n v="3629700"/>
    <n v="14312900"/>
    <n v="4360000"/>
    <n v="2616000"/>
    <m/>
    <n v="0"/>
    <n v="21288900"/>
    <n v="4342200"/>
    <n v="995900"/>
    <n v="6.9580588140768118E-2"/>
    <n v="3346300"/>
    <n v="0.47968749999999999"/>
    <m/>
  </r>
  <r>
    <x v="1"/>
    <x v="0"/>
    <x v="0"/>
    <x v="0"/>
    <x v="0"/>
    <x v="0"/>
    <x v="37"/>
    <x v="11"/>
    <x v="1"/>
    <x v="69"/>
    <n v="24"/>
    <n v="7213"/>
    <n v="63068000"/>
    <n v="7213000"/>
    <n v="6550000"/>
    <n v="0"/>
    <m/>
    <n v="0"/>
    <m/>
    <n v="13763000"/>
    <n v="0"/>
    <n v="3396600"/>
    <n v="0"/>
    <n v="0"/>
    <n v="3396600"/>
    <n v="14505640"/>
    <n v="4080000"/>
    <n v="2448000"/>
    <m/>
    <n v="0"/>
    <n v="21033640"/>
    <n v="3874040"/>
    <n v="742640"/>
    <n v="5.1196637997358269E-2"/>
    <n v="3131400"/>
    <n v="0.47968749999999999"/>
    <m/>
  </r>
  <r>
    <x v="1"/>
    <x v="0"/>
    <x v="0"/>
    <x v="0"/>
    <x v="0"/>
    <x v="0"/>
    <x v="37"/>
    <x v="11"/>
    <x v="2"/>
    <x v="70"/>
    <n v="30"/>
    <n v="10231"/>
    <n v="90470000"/>
    <n v="10231000"/>
    <n v="9850000"/>
    <n v="0"/>
    <m/>
    <n v="0"/>
    <m/>
    <n v="20081000"/>
    <n v="0"/>
    <n v="6501000"/>
    <n v="0"/>
    <n v="0"/>
    <n v="6501000"/>
    <n v="20808100"/>
    <n v="3546000"/>
    <n v="4728000"/>
    <m/>
    <n v="0"/>
    <n v="29082100"/>
    <n v="2500100"/>
    <n v="727100"/>
    <n v="3.4943123110711696E-2"/>
    <n v="1773000"/>
    <n v="0.21428571428571427"/>
    <m/>
  </r>
  <r>
    <x v="1"/>
    <x v="0"/>
    <x v="0"/>
    <x v="0"/>
    <x v="0"/>
    <x v="0"/>
    <x v="37"/>
    <x v="8"/>
    <x v="4"/>
    <x v="71"/>
    <n v="32"/>
    <n v="4825"/>
    <n v="42830000"/>
    <n v="4825000"/>
    <n v="4020000"/>
    <n v="610000"/>
    <m/>
    <n v="0"/>
    <m/>
    <n v="9455000"/>
    <n v="0"/>
    <n v="2031300"/>
    <n v="0"/>
    <n v="0"/>
    <n v="2031300"/>
    <n v="9850900"/>
    <n v="2325000"/>
    <n v="1464000"/>
    <m/>
    <n v="0"/>
    <n v="13639900"/>
    <n v="2153600"/>
    <n v="395900"/>
    <n v="4.0189221289425335E-2"/>
    <n v="1757700"/>
    <n v="0.46389548693586696"/>
    <m/>
  </r>
  <r>
    <x v="0"/>
    <x v="0"/>
    <x v="9"/>
    <x v="0"/>
    <x v="1"/>
    <x v="3"/>
    <x v="38"/>
    <x v="8"/>
    <x v="1"/>
    <x v="72"/>
    <n v="53"/>
    <n v="11851"/>
    <n v="107535000"/>
    <n v="9480500"/>
    <n v="14850000"/>
    <n v="0"/>
    <m/>
    <n v="0"/>
    <m/>
    <n v="24330500"/>
    <n v="0"/>
    <n v="10395000"/>
    <n v="0"/>
    <n v="0"/>
    <n v="10395000"/>
    <n v="22582350"/>
    <n v="7100000"/>
    <n v="3649881.2"/>
    <m/>
    <n v="950000"/>
    <n v="34282231.200000003"/>
    <n v="-443268.79999999702"/>
    <n v="-798150"/>
    <n v="-3.3917139597192801E-2"/>
    <n v="354881.19999999925"/>
    <n v="3.3012569478442166E-2"/>
    <m/>
  </r>
  <r>
    <x v="0"/>
    <x v="0"/>
    <x v="10"/>
    <x v="0"/>
    <x v="1"/>
    <x v="4"/>
    <x v="38"/>
    <x v="8"/>
    <x v="1"/>
    <x v="72"/>
    <n v="17"/>
    <n v="5015"/>
    <n v="45136000"/>
    <n v="4012000"/>
    <n v="4700000"/>
    <n v="0"/>
    <m/>
    <n v="0"/>
    <m/>
    <n v="8712000"/>
    <n v="0"/>
    <n v="3290000"/>
    <n v="0"/>
    <n v="0"/>
    <n v="3290000"/>
    <n v="9478560"/>
    <n v="2300000"/>
    <n v="1163336.7666666666"/>
    <m/>
    <n v="0"/>
    <n v="12941896.766666666"/>
    <n v="939896.76666666567"/>
    <n v="766560"/>
    <n v="8.0873044006684561E-2"/>
    <n v="173336.7666666666"/>
    <n v="5.0049064917673837E-2"/>
    <m/>
  </r>
  <r>
    <x v="0"/>
    <x v="9"/>
    <x v="13"/>
    <x v="1"/>
    <x v="1"/>
    <x v="3"/>
    <x v="38"/>
    <x v="8"/>
    <x v="1"/>
    <x v="72"/>
    <n v="9"/>
    <n v="803"/>
    <n v="6900000"/>
    <n v="642400"/>
    <n v="2300000"/>
    <n v="0"/>
    <m/>
    <n v="0"/>
    <m/>
    <n v="2942400"/>
    <n v="0"/>
    <n v="1610000"/>
    <n v="0"/>
    <n v="0"/>
    <n v="1610000"/>
    <n v="2070000"/>
    <n v="1075000"/>
    <n v="0"/>
    <m/>
    <n v="300000"/>
    <n v="3445000"/>
    <n v="-1107400"/>
    <n v="-572400"/>
    <n v="-0.24151898734177216"/>
    <n v="-535000"/>
    <n v="-0.49767441860465117"/>
    <m/>
  </r>
  <r>
    <x v="1"/>
    <x v="0"/>
    <x v="0"/>
    <x v="0"/>
    <x v="0"/>
    <x v="0"/>
    <x v="37"/>
    <x v="8"/>
    <x v="0"/>
    <x v="73"/>
    <n v="23"/>
    <n v="5454"/>
    <n v="47882000"/>
    <n v="5454000"/>
    <n v="3650000"/>
    <n v="650000"/>
    <m/>
    <n v="0"/>
    <m/>
    <n v="9754000"/>
    <n v="0"/>
    <n v="3267000"/>
    <n v="0"/>
    <n v="0"/>
    <n v="3267000"/>
    <n v="11012860"/>
    <n v="2605000"/>
    <n v="2376000"/>
    <m/>
    <n v="0"/>
    <n v="15993860"/>
    <n v="2972860"/>
    <n v="1258860"/>
    <n v="0.11430818152596146"/>
    <n v="1714000"/>
    <n v="0.34410760891387271"/>
    <m/>
  </r>
  <r>
    <x v="1"/>
    <x v="0"/>
    <x v="0"/>
    <x v="0"/>
    <x v="0"/>
    <x v="0"/>
    <x v="37"/>
    <x v="8"/>
    <x v="1"/>
    <x v="74"/>
    <n v="19"/>
    <n v="4652"/>
    <n v="40668000"/>
    <n v="4652000"/>
    <n v="4165000"/>
    <n v="2860000"/>
    <m/>
    <n v="0"/>
    <m/>
    <n v="11677000"/>
    <n v="0"/>
    <n v="0"/>
    <n v="0"/>
    <n v="0"/>
    <n v="0"/>
    <n v="9353640"/>
    <n v="0"/>
    <n v="0"/>
    <m/>
    <n v="0"/>
    <n v="9353640"/>
    <n v="-2323360"/>
    <n v="-2323360"/>
    <n v="-0.24839100072271331"/>
    <n v="0"/>
    <n v="0"/>
    <m/>
  </r>
  <r>
    <x v="1"/>
    <x v="0"/>
    <x v="0"/>
    <x v="0"/>
    <x v="0"/>
    <x v="0"/>
    <x v="37"/>
    <x v="8"/>
    <x v="2"/>
    <x v="75"/>
    <n v="22"/>
    <n v="2998"/>
    <n v="25038000"/>
    <n v="2821000"/>
    <n v="4770000"/>
    <n v="0"/>
    <m/>
    <n v="0"/>
    <m/>
    <n v="7591000"/>
    <n v="0"/>
    <n v="0"/>
    <n v="0"/>
    <n v="0"/>
    <n v="0"/>
    <n v="5758740"/>
    <n v="0"/>
    <n v="0"/>
    <m/>
    <n v="0"/>
    <n v="5758740"/>
    <n v="-1832260"/>
    <n v="-1832260"/>
    <n v="-0.31817029419629989"/>
    <n v="0"/>
    <n v="0"/>
    <m/>
  </r>
  <r>
    <x v="1"/>
    <x v="0"/>
    <x v="0"/>
    <x v="0"/>
    <x v="0"/>
    <x v="0"/>
    <x v="37"/>
    <x v="7"/>
    <x v="3"/>
    <x v="76"/>
    <n v="19"/>
    <n v="2925"/>
    <n v="25206000"/>
    <n v="2925000"/>
    <n v="4365000"/>
    <n v="200000"/>
    <m/>
    <n v="0"/>
    <m/>
    <n v="7490000"/>
    <n v="0"/>
    <n v="0"/>
    <n v="0"/>
    <n v="0"/>
    <n v="0"/>
    <n v="5797380"/>
    <n v="0"/>
    <n v="0"/>
    <m/>
    <n v="0"/>
    <n v="5797380"/>
    <n v="-1692620"/>
    <n v="-1692620"/>
    <n v="-0.29196292118163725"/>
    <n v="0"/>
    <n v="0"/>
    <m/>
  </r>
  <r>
    <x v="1"/>
    <x v="0"/>
    <x v="0"/>
    <x v="0"/>
    <x v="0"/>
    <x v="0"/>
    <x v="37"/>
    <x v="7"/>
    <x v="4"/>
    <x v="77"/>
    <n v="12"/>
    <n v="1456"/>
    <n v="12782000"/>
    <n v="1456000"/>
    <n v="1605000"/>
    <n v="130000"/>
    <m/>
    <n v="0"/>
    <m/>
    <n v="3191000"/>
    <n v="0"/>
    <n v="0"/>
    <n v="0"/>
    <n v="0"/>
    <n v="0"/>
    <n v="2939860"/>
    <n v="0"/>
    <n v="0"/>
    <m/>
    <n v="0"/>
    <n v="2939860"/>
    <n v="-251140"/>
    <n v="-251140"/>
    <n v="-8.5425836604464164E-2"/>
    <n v="0"/>
    <n v="0"/>
    <m/>
  </r>
  <r>
    <x v="1"/>
    <x v="0"/>
    <x v="0"/>
    <x v="0"/>
    <x v="0"/>
    <x v="0"/>
    <x v="37"/>
    <x v="7"/>
    <x v="0"/>
    <x v="78"/>
    <n v="6"/>
    <n v="316"/>
    <n v="2792000"/>
    <n v="316000"/>
    <n v="0"/>
    <n v="0"/>
    <m/>
    <n v="0"/>
    <m/>
    <n v="316000"/>
    <n v="0"/>
    <n v="0"/>
    <n v="0"/>
    <n v="0"/>
    <n v="0"/>
    <n v="642160"/>
    <n v="0"/>
    <n v="0"/>
    <m/>
    <n v="0"/>
    <n v="642160"/>
    <n v="326160"/>
    <n v="326160"/>
    <n v="0.50791080104646813"/>
    <n v="0"/>
    <n v="0"/>
    <m/>
  </r>
  <r>
    <x v="1"/>
    <x v="0"/>
    <x v="0"/>
    <x v="0"/>
    <x v="0"/>
    <x v="0"/>
    <x v="37"/>
    <x v="7"/>
    <x v="1"/>
    <x v="79"/>
    <n v="5"/>
    <n v="612"/>
    <n v="5458000"/>
    <n v="612000"/>
    <n v="150000"/>
    <n v="0"/>
    <m/>
    <n v="0"/>
    <m/>
    <n v="762000"/>
    <n v="0"/>
    <n v="0"/>
    <n v="0"/>
    <n v="0"/>
    <n v="0"/>
    <n v="1255340"/>
    <n v="0"/>
    <n v="0"/>
    <m/>
    <n v="0"/>
    <n v="1255340"/>
    <n v="493340"/>
    <n v="493340"/>
    <n v="0.39299313333439545"/>
    <n v="0"/>
    <n v="0"/>
    <m/>
  </r>
  <r>
    <x v="1"/>
    <x v="0"/>
    <x v="0"/>
    <x v="0"/>
    <x v="0"/>
    <x v="0"/>
    <x v="37"/>
    <x v="0"/>
    <x v="4"/>
    <x v="80"/>
    <n v="3"/>
    <n v="356"/>
    <n v="3082000"/>
    <n v="356000"/>
    <n v="50000"/>
    <n v="0"/>
    <m/>
    <n v="0"/>
    <m/>
    <n v="406000"/>
    <n v="0"/>
    <n v="0"/>
    <n v="0"/>
    <n v="0"/>
    <n v="0"/>
    <n v="708860"/>
    <n v="0"/>
    <n v="0"/>
    <m/>
    <n v="0"/>
    <n v="708860"/>
    <n v="302860"/>
    <n v="302860"/>
    <n v="0.42724938633862825"/>
    <n v="0"/>
    <n v="0"/>
    <m/>
  </r>
  <r>
    <x v="1"/>
    <x v="0"/>
    <x v="0"/>
    <x v="0"/>
    <x v="0"/>
    <x v="0"/>
    <x v="37"/>
    <x v="0"/>
    <x v="0"/>
    <x v="81"/>
    <n v="5"/>
    <n v="857"/>
    <n v="7504000"/>
    <n v="857000"/>
    <n v="120000"/>
    <n v="0"/>
    <m/>
    <n v="0"/>
    <m/>
    <n v="977000"/>
    <n v="0"/>
    <n v="0"/>
    <n v="0"/>
    <n v="0"/>
    <n v="0"/>
    <n v="1725920"/>
    <n v="0"/>
    <n v="0"/>
    <m/>
    <n v="0"/>
    <n v="1725920"/>
    <n v="748920"/>
    <n v="748920"/>
    <n v="0.4339250950217855"/>
    <n v="0"/>
    <n v="0"/>
    <m/>
  </r>
  <r>
    <x v="1"/>
    <x v="0"/>
    <x v="0"/>
    <x v="0"/>
    <x v="0"/>
    <x v="0"/>
    <x v="37"/>
    <x v="0"/>
    <x v="1"/>
    <x v="82"/>
    <n v="4"/>
    <n v="768"/>
    <n v="6732000"/>
    <n v="768000"/>
    <n v="110000"/>
    <n v="0"/>
    <m/>
    <n v="0"/>
    <m/>
    <n v="878000"/>
    <n v="0"/>
    <n v="0"/>
    <n v="0"/>
    <n v="0"/>
    <n v="0"/>
    <n v="1548360"/>
    <n v="0"/>
    <n v="0"/>
    <m/>
    <n v="0"/>
    <n v="1548360"/>
    <n v="670360"/>
    <n v="670360"/>
    <n v="0.43294840993050709"/>
    <n v="0"/>
    <n v="0"/>
    <m/>
  </r>
  <r>
    <x v="1"/>
    <x v="0"/>
    <x v="0"/>
    <x v="0"/>
    <x v="0"/>
    <x v="0"/>
    <x v="37"/>
    <x v="0"/>
    <x v="2"/>
    <x v="83"/>
    <n v="4"/>
    <n v="973"/>
    <n v="8460000"/>
    <n v="973000"/>
    <n v="170000"/>
    <n v="0"/>
    <m/>
    <n v="0"/>
    <m/>
    <n v="1143000"/>
    <n v="0"/>
    <n v="0"/>
    <n v="0"/>
    <n v="0"/>
    <n v="0"/>
    <n v="1945800"/>
    <n v="0"/>
    <n v="0"/>
    <m/>
    <n v="0"/>
    <n v="1945800"/>
    <n v="802800"/>
    <n v="802800"/>
    <n v="0.4125809435707678"/>
    <n v="0"/>
    <n v="0"/>
    <m/>
  </r>
  <r>
    <x v="1"/>
    <x v="0"/>
    <x v="0"/>
    <x v="0"/>
    <x v="0"/>
    <x v="0"/>
    <x v="37"/>
    <x v="1"/>
    <x v="3"/>
    <x v="84"/>
    <n v="5"/>
    <n v="1044"/>
    <n v="8932000"/>
    <n v="1044000"/>
    <n v="150000"/>
    <n v="0"/>
    <m/>
    <n v="0"/>
    <m/>
    <n v="1194000"/>
    <n v="0"/>
    <n v="0"/>
    <n v="0"/>
    <n v="0"/>
    <n v="0"/>
    <n v="2054360"/>
    <n v="0"/>
    <n v="0"/>
    <m/>
    <n v="0"/>
    <n v="2054360"/>
    <n v="860360"/>
    <n v="860360"/>
    <n v="0.41879709495901402"/>
    <n v="0"/>
    <n v="0"/>
    <m/>
  </r>
  <r>
    <x v="1"/>
    <x v="0"/>
    <x v="0"/>
    <x v="0"/>
    <x v="0"/>
    <x v="0"/>
    <x v="37"/>
    <x v="1"/>
    <x v="4"/>
    <x v="85"/>
    <n v="3"/>
    <n v="283"/>
    <n v="2458000"/>
    <n v="303000"/>
    <n v="450000"/>
    <n v="0"/>
    <m/>
    <n v="0"/>
    <m/>
    <n v="753000"/>
    <n v="0"/>
    <n v="0"/>
    <n v="0"/>
    <n v="0"/>
    <n v="0"/>
    <n v="565340"/>
    <n v="0"/>
    <n v="0"/>
    <m/>
    <n v="0"/>
    <n v="565340"/>
    <n v="-187660"/>
    <n v="-187660"/>
    <n v="-0.33194184030848695"/>
    <n v="0"/>
    <n v="0"/>
    <m/>
  </r>
  <r>
    <x v="0"/>
    <x v="0"/>
    <x v="0"/>
    <x v="0"/>
    <x v="0"/>
    <x v="0"/>
    <x v="38"/>
    <x v="8"/>
    <x v="0"/>
    <x v="72"/>
    <n v="244"/>
    <n v="78589"/>
    <n v="687965000"/>
    <n v="78570500"/>
    <n v="57075000"/>
    <n v="0"/>
    <m/>
    <n v="0"/>
    <m/>
    <n v="135645500"/>
    <n v="700000"/>
    <n v="57575000"/>
    <n v="0"/>
    <n v="295129"/>
    <n v="58570129"/>
    <n v="158231950"/>
    <n v="30783169.900000002"/>
    <n v="30783169.900000002"/>
    <m/>
    <n v="0"/>
    <n v="219798289.80000001"/>
    <n v="25582660.800000012"/>
    <n v="21591321"/>
    <n v="0.13645361129658073"/>
    <n v="3991339.8000000045"/>
    <n v="6.482990239416514E-2"/>
    <s v="Rekapan 13-19 April 2025.xlsx"/>
  </r>
  <r>
    <x v="0"/>
    <x v="0"/>
    <x v="1"/>
    <x v="0"/>
    <x v="0"/>
    <x v="1"/>
    <x v="38"/>
    <x v="8"/>
    <x v="0"/>
    <x v="72"/>
    <n v="21"/>
    <n v="6367"/>
    <n v="56210000"/>
    <n v="6367000"/>
    <n v="4725000"/>
    <n v="0"/>
    <m/>
    <n v="0"/>
    <m/>
    <n v="11092000"/>
    <n v="0"/>
    <n v="4865000"/>
    <n v="0"/>
    <n v="411871"/>
    <n v="5276871"/>
    <n v="12928300"/>
    <n v="2502000"/>
    <n v="2605264.4333333336"/>
    <m/>
    <n v="0"/>
    <n v="18035564.433333334"/>
    <n v="1666693.4333333336"/>
    <n v="1424429"/>
    <n v="0.11017914188253676"/>
    <n v="242264.43333333358"/>
    <n v="4.7435263338267378E-2"/>
    <s v="Rekapan 13-19 April 2025.xlsx"/>
  </r>
  <r>
    <x v="0"/>
    <x v="2"/>
    <x v="3"/>
    <x v="1"/>
    <x v="0"/>
    <x v="2"/>
    <x v="38"/>
    <x v="8"/>
    <x v="0"/>
    <x v="72"/>
    <n v="4"/>
    <n v="450"/>
    <n v="4843000"/>
    <n v="450000"/>
    <n v="450000"/>
    <n v="0"/>
    <m/>
    <n v="0"/>
    <m/>
    <n v="900000"/>
    <n v="0"/>
    <n v="980000"/>
    <n v="0"/>
    <n v="0"/>
    <n v="980000"/>
    <n v="1452900"/>
    <n v="280000"/>
    <n v="0"/>
    <m/>
    <n v="0"/>
    <n v="1732900"/>
    <n v="-147100"/>
    <n v="552900"/>
    <n v="0.38054924633491638"/>
    <n v="-700000"/>
    <n v="-2.5"/>
    <s v="Rekapan 13-19 April 2025.xlsx"/>
  </r>
  <r>
    <x v="0"/>
    <x v="6"/>
    <x v="7"/>
    <x v="1"/>
    <x v="0"/>
    <x v="2"/>
    <x v="38"/>
    <x v="8"/>
    <x v="0"/>
    <x v="72"/>
    <n v="3"/>
    <n v="144"/>
    <n v="1332000"/>
    <n v="144000"/>
    <n v="250000"/>
    <n v="0"/>
    <m/>
    <n v="0"/>
    <m/>
    <n v="394000"/>
    <n v="0"/>
    <n v="490000"/>
    <n v="0"/>
    <n v="0"/>
    <n v="490000"/>
    <n v="399600"/>
    <n v="140000"/>
    <n v="0"/>
    <m/>
    <n v="0"/>
    <n v="539600"/>
    <n v="-344400"/>
    <n v="5600"/>
    <n v="1.4014014014014014E-2"/>
    <n v="-350000"/>
    <n v="-2.5"/>
    <s v="Rekapan 13-19 April 2025.xlsx"/>
  </r>
  <r>
    <x v="0"/>
    <x v="4"/>
    <x v="5"/>
    <x v="0"/>
    <x v="0"/>
    <x v="2"/>
    <x v="38"/>
    <x v="8"/>
    <x v="0"/>
    <x v="72"/>
    <n v="5"/>
    <n v="384"/>
    <n v="2298000"/>
    <n v="227200"/>
    <n v="525000"/>
    <n v="0"/>
    <m/>
    <n v="0"/>
    <m/>
    <n v="752200"/>
    <n v="0"/>
    <n v="1225000"/>
    <n v="0"/>
    <n v="8"/>
    <n v="1225008"/>
    <n v="689400"/>
    <n v="350000"/>
    <n v="0"/>
    <m/>
    <n v="0"/>
    <n v="1039400"/>
    <n v="-937808"/>
    <n v="-62808"/>
    <n v="-9.1105308964316803E-2"/>
    <n v="-875000"/>
    <n v="-2.5"/>
    <s v="Rekapan 13-19 April 2025.xlsx"/>
  </r>
  <r>
    <x v="0"/>
    <x v="3"/>
    <x v="4"/>
    <x v="1"/>
    <x v="0"/>
    <x v="2"/>
    <x v="38"/>
    <x v="8"/>
    <x v="0"/>
    <x v="72"/>
    <n v="2"/>
    <n v="14"/>
    <n v="158000"/>
    <n v="14000"/>
    <n v="100000"/>
    <n v="0"/>
    <m/>
    <n v="0"/>
    <m/>
    <n v="114000"/>
    <n v="0"/>
    <n v="280000"/>
    <n v="0"/>
    <n v="0"/>
    <n v="280000"/>
    <n v="47400"/>
    <n v="80000"/>
    <n v="0"/>
    <m/>
    <n v="0"/>
    <n v="127400"/>
    <n v="-266600"/>
    <n v="-66600"/>
    <n v="-1.4050632911392404"/>
    <n v="-200000"/>
    <n v="-2.5"/>
    <s v="Rekapan 13-19 April 2025.xlsx"/>
  </r>
  <r>
    <x v="0"/>
    <x v="10"/>
    <x v="14"/>
    <x v="1"/>
    <x v="0"/>
    <x v="2"/>
    <x v="38"/>
    <x v="8"/>
    <x v="0"/>
    <x v="72"/>
    <n v="4"/>
    <n v="220"/>
    <n v="1482000"/>
    <n v="220000"/>
    <n v="375000"/>
    <n v="0"/>
    <m/>
    <n v="0"/>
    <m/>
    <n v="595000"/>
    <n v="0"/>
    <n v="875000"/>
    <n v="0"/>
    <n v="0"/>
    <n v="875000"/>
    <n v="429779.99999999994"/>
    <n v="250000"/>
    <n v="0"/>
    <m/>
    <n v="0"/>
    <n v="679780"/>
    <n v="-790220"/>
    <n v="-165220.00000000006"/>
    <n v="-0.38442924286844449"/>
    <n v="-625000"/>
    <n v="-2.5"/>
    <s v="Rekapan 13-19 April 2025.xlsx"/>
  </r>
  <r>
    <x v="0"/>
    <x v="8"/>
    <x v="12"/>
    <x v="1"/>
    <x v="0"/>
    <x v="2"/>
    <x v="38"/>
    <x v="8"/>
    <x v="0"/>
    <x v="72"/>
    <n v="1"/>
    <n v="27"/>
    <n v="290000"/>
    <n v="27000"/>
    <n v="125000"/>
    <n v="0"/>
    <m/>
    <n v="0"/>
    <m/>
    <n v="152000"/>
    <n v="0"/>
    <n v="245000"/>
    <n v="0"/>
    <n v="0"/>
    <n v="245000"/>
    <n v="87000"/>
    <n v="70000"/>
    <n v="0"/>
    <m/>
    <n v="0"/>
    <n v="157000"/>
    <n v="-240000"/>
    <n v="-65000"/>
    <n v="-0.74712643678160917"/>
    <n v="-175000"/>
    <n v="-2.5"/>
    <m/>
  </r>
  <r>
    <x v="0"/>
    <x v="0"/>
    <x v="0"/>
    <x v="0"/>
    <x v="0"/>
    <x v="0"/>
    <x v="39"/>
    <x v="8"/>
    <x v="4"/>
    <x v="86"/>
    <n v="253"/>
    <n v="83695"/>
    <n v="731507000"/>
    <n v="83678500"/>
    <n v="61675000"/>
    <n v="49875000"/>
    <n v="1600000"/>
    <n v="4100000"/>
    <m/>
    <n v="200928500"/>
    <n v="1150000"/>
    <n v="59325000"/>
    <n v="0"/>
    <n v="295129"/>
    <n v="60770129"/>
    <n v="168246610"/>
    <n v="30783169.900000002"/>
    <n v="30783169.900000002"/>
    <m/>
    <n v="0"/>
    <n v="229812949.80000001"/>
    <n v="-31885679.199999988"/>
    <n v="-34127019"/>
    <n v="-0.20283926671687472"/>
    <n v="2241339.8000000045"/>
    <n v="3.6405279366632161E-2"/>
    <s v="Rekapan dan Bonus 20- 26 April.xlsx"/>
  </r>
  <r>
    <x v="0"/>
    <x v="0"/>
    <x v="1"/>
    <x v="0"/>
    <x v="0"/>
    <x v="1"/>
    <x v="39"/>
    <x v="8"/>
    <x v="4"/>
    <x v="86"/>
    <n v="25"/>
    <n v="7428"/>
    <n v="65582000"/>
    <n v="7422000"/>
    <n v="5650000"/>
    <n v="3000000"/>
    <m/>
    <n v="600000"/>
    <m/>
    <n v="16672000"/>
    <n v="0"/>
    <n v="5495000"/>
    <n v="0"/>
    <n v="411871"/>
    <n v="5906871"/>
    <n v="15083860"/>
    <n v="3498000"/>
    <n v="2605264.4333333336"/>
    <m/>
    <n v="0"/>
    <n v="21187124.433333334"/>
    <n v="-1391746.5666666664"/>
    <n v="-2000011"/>
    <n v="-0.132592784605532"/>
    <n v="608264.43333333358"/>
    <n v="9.9662146377152205E-2"/>
    <s v="Rekapan dan Bonus 20- 26 April.xlsx"/>
  </r>
  <r>
    <x v="0"/>
    <x v="0"/>
    <x v="9"/>
    <x v="0"/>
    <x v="1"/>
    <x v="3"/>
    <x v="39"/>
    <x v="8"/>
    <x v="0"/>
    <x v="86"/>
    <n v="51"/>
    <n v="10383"/>
    <n v="93926000"/>
    <n v="8306400"/>
    <n v="1875000"/>
    <n v="7000000"/>
    <m/>
    <n v="0"/>
    <m/>
    <n v="17181400"/>
    <n v="840000"/>
    <n v="9555000"/>
    <n v="0"/>
    <n v="0"/>
    <n v="10395000"/>
    <n v="19724460"/>
    <n v="4680000"/>
    <n v="3649881.2"/>
    <m/>
    <n v="750000"/>
    <n v="28804341.199999999"/>
    <n v="1227941.1999999993"/>
    <n v="2453060"/>
    <n v="0.11981073005100012"/>
    <n v="-1225118.7999999998"/>
    <n v="-0.14707518277691642"/>
    <m/>
  </r>
  <r>
    <x v="0"/>
    <x v="0"/>
    <x v="10"/>
    <x v="0"/>
    <x v="1"/>
    <x v="4"/>
    <x v="39"/>
    <x v="8"/>
    <x v="0"/>
    <x v="86"/>
    <n v="16"/>
    <n v="4600"/>
    <n v="41868000"/>
    <n v="3680000"/>
    <n v="1275000"/>
    <n v="250000"/>
    <m/>
    <n v="0"/>
    <m/>
    <n v="5205000"/>
    <n v="0"/>
    <n v="1155000"/>
    <n v="0"/>
    <n v="0"/>
    <n v="1155000"/>
    <n v="8792280"/>
    <n v="1548000"/>
    <n v="1163336.7666666666"/>
    <m/>
    <n v="200000"/>
    <n v="11703616.766666666"/>
    <n v="5343616.7666666657"/>
    <n v="3787280"/>
    <n v="0.42117015929219287"/>
    <n v="1556336.7666666666"/>
    <n v="0.57401086644800536"/>
    <m/>
  </r>
  <r>
    <x v="0"/>
    <x v="9"/>
    <x v="13"/>
    <x v="1"/>
    <x v="1"/>
    <x v="3"/>
    <x v="39"/>
    <x v="8"/>
    <x v="4"/>
    <x v="86"/>
    <n v="6"/>
    <n v="490"/>
    <n v="4245000"/>
    <n v="0"/>
    <n v="392000"/>
    <n v="500000"/>
    <m/>
    <n v="0"/>
    <m/>
    <n v="892000"/>
    <n v="0"/>
    <n v="1155000"/>
    <n v="0"/>
    <n v="0"/>
    <n v="1155000"/>
    <n v="1273500"/>
    <n v="396000"/>
    <n v="0"/>
    <m/>
    <n v="400000"/>
    <n v="2069500"/>
    <n v="22500"/>
    <n v="781500"/>
    <n v="0.46698536002390201"/>
    <n v="-759000"/>
    <n v="-1.9166666666666667"/>
    <m/>
  </r>
  <r>
    <x v="0"/>
    <x v="2"/>
    <x v="3"/>
    <x v="1"/>
    <x v="0"/>
    <x v="2"/>
    <x v="39"/>
    <x v="8"/>
    <x v="4"/>
    <x v="86"/>
    <n v="4"/>
    <n v="558"/>
    <n v="4772000"/>
    <n v="558000"/>
    <n v="500000"/>
    <n v="0"/>
    <m/>
    <n v="0"/>
    <m/>
    <n v="1058000"/>
    <n v="0"/>
    <n v="980000"/>
    <n v="0"/>
    <n v="0"/>
    <n v="980000"/>
    <n v="1431600"/>
    <n v="280000"/>
    <n v="0"/>
    <m/>
    <n v="0"/>
    <n v="1711600"/>
    <n v="-326400"/>
    <n v="373600"/>
    <n v="0.26096675048896339"/>
    <n v="-700000"/>
    <n v="-2.5"/>
    <s v="Rekapan dan Bonus 20- 26 April.xlsx"/>
  </r>
  <r>
    <x v="0"/>
    <x v="6"/>
    <x v="7"/>
    <x v="1"/>
    <x v="0"/>
    <x v="2"/>
    <x v="39"/>
    <x v="8"/>
    <x v="4"/>
    <x v="86"/>
    <n v="4"/>
    <n v="237"/>
    <n v="2170000"/>
    <n v="237000"/>
    <n v="500000"/>
    <n v="0"/>
    <m/>
    <n v="0"/>
    <m/>
    <n v="737000"/>
    <n v="0"/>
    <n v="875000"/>
    <n v="0"/>
    <n v="0"/>
    <n v="875000"/>
    <n v="651000"/>
    <n v="250000"/>
    <n v="0"/>
    <m/>
    <n v="0"/>
    <n v="901000"/>
    <n v="-711000"/>
    <n v="-86000"/>
    <n v="-0.13210445468509985"/>
    <n v="-625000"/>
    <n v="-2.5"/>
    <s v="Rekapan dan Bonus 20- 26 April.xlsx"/>
  </r>
  <r>
    <x v="0"/>
    <x v="4"/>
    <x v="5"/>
    <x v="0"/>
    <x v="0"/>
    <x v="2"/>
    <x v="39"/>
    <x v="8"/>
    <x v="4"/>
    <x v="86"/>
    <n v="2"/>
    <n v="205"/>
    <n v="1414000"/>
    <n v="139600"/>
    <n v="200000"/>
    <n v="0"/>
    <m/>
    <n v="0"/>
    <m/>
    <n v="339600"/>
    <n v="0"/>
    <n v="490000"/>
    <n v="0"/>
    <n v="0"/>
    <n v="490000"/>
    <n v="424200"/>
    <n v="140000"/>
    <n v="0"/>
    <m/>
    <n v="0"/>
    <n v="564200"/>
    <n v="-265400"/>
    <n v="84600"/>
    <n v="0.19943422913719944"/>
    <n v="-350000"/>
    <n v="-2.5"/>
    <s v="Rekapan dan Bonus 20- 26 April.xlsx"/>
  </r>
  <r>
    <x v="0"/>
    <x v="10"/>
    <x v="14"/>
    <x v="1"/>
    <x v="0"/>
    <x v="2"/>
    <x v="39"/>
    <x v="8"/>
    <x v="4"/>
    <x v="86"/>
    <n v="6"/>
    <n v="484"/>
    <n v="3288000"/>
    <n v="484000"/>
    <n v="550000"/>
    <n v="0"/>
    <m/>
    <n v="0"/>
    <m/>
    <n v="1034000"/>
    <n v="0"/>
    <n v="945000"/>
    <n v="0"/>
    <n v="0"/>
    <n v="945000"/>
    <n v="953519.99999999988"/>
    <n v="270000"/>
    <n v="0"/>
    <m/>
    <n v="0"/>
    <n v="1223520"/>
    <n v="-755480"/>
    <n v="-80480.000000000116"/>
    <n v="-8.4403053947478948E-2"/>
    <n v="-675000"/>
    <n v="-2.5"/>
    <s v="Rekapan dan Bonus 20- 26 April.xlsx"/>
  </r>
  <r>
    <x v="0"/>
    <x v="8"/>
    <x v="12"/>
    <x v="1"/>
    <x v="0"/>
    <x v="2"/>
    <x v="39"/>
    <x v="8"/>
    <x v="4"/>
    <x v="86"/>
    <n v="3"/>
    <n v="17"/>
    <n v="220000"/>
    <n v="17000"/>
    <n v="100000"/>
    <n v="0"/>
    <m/>
    <n v="0"/>
    <m/>
    <n v="117000"/>
    <n v="0"/>
    <n v="315000"/>
    <n v="0"/>
    <n v="0"/>
    <n v="315000"/>
    <n v="66000"/>
    <n v="90000"/>
    <n v="0"/>
    <m/>
    <n v="0"/>
    <n v="156000"/>
    <n v="-276000"/>
    <n v="-51000"/>
    <n v="-0.77272727272727271"/>
    <n v="-225000"/>
    <n v="-2.5"/>
    <s v="Rekapan dan Bonus 20- 26 April.xlsx"/>
  </r>
  <r>
    <x v="0"/>
    <x v="0"/>
    <x v="0"/>
    <x v="0"/>
    <x v="0"/>
    <x v="0"/>
    <x v="40"/>
    <x v="8"/>
    <x v="5"/>
    <x v="87"/>
    <n v="245"/>
    <n v="47416"/>
    <n v="414389000"/>
    <n v="49598750"/>
    <n v="32825000"/>
    <n v="0"/>
    <m/>
    <n v="0"/>
    <m/>
    <n v="82423750"/>
    <n v="825000"/>
    <n v="35140000"/>
    <n v="0"/>
    <n v="147564.5"/>
    <n v="36112564.5"/>
    <n v="95309470"/>
    <n v="17590382.800000001"/>
    <n v="17590382.800000001"/>
    <m/>
    <n v="0"/>
    <n v="130490235.59999999"/>
    <n v="11953921.099999994"/>
    <n v="11913155.5"/>
    <n v="0.12499445752872196"/>
    <n v="40765.60000000149"/>
    <n v="1.1587468124912405E-3"/>
    <s v="Rekapan 27-4 Mei.xlsx"/>
  </r>
  <r>
    <x v="0"/>
    <x v="0"/>
    <x v="0"/>
    <x v="0"/>
    <x v="0"/>
    <x v="0"/>
    <x v="40"/>
    <x v="11"/>
    <x v="2"/>
    <x v="88"/>
    <n v="244"/>
    <n v="50133"/>
    <n v="437952000"/>
    <n v="49598750"/>
    <n v="32825000"/>
    <n v="0"/>
    <m/>
    <n v="0"/>
    <m/>
    <n v="82423750"/>
    <n v="825000"/>
    <n v="35140000"/>
    <m/>
    <n v="147564.5"/>
    <n v="36112564.5"/>
    <n v="100728960"/>
    <n v="18072000"/>
    <n v="19485861.806451611"/>
    <m/>
    <n v="0"/>
    <n v="138286821.80645162"/>
    <n v="19750507.306451619"/>
    <n v="17332645.5"/>
    <n v="0.17207211808798581"/>
    <n v="2417861.8064516112"/>
    <n v="6.4376982345578468E-2"/>
    <m/>
  </r>
  <r>
    <x v="0"/>
    <x v="0"/>
    <x v="1"/>
    <x v="0"/>
    <x v="0"/>
    <x v="1"/>
    <x v="40"/>
    <x v="8"/>
    <x v="5"/>
    <x v="87"/>
    <n v="23"/>
    <n v="4993"/>
    <n v="44231000"/>
    <n v="4100750"/>
    <n v="2887500"/>
    <n v="0"/>
    <m/>
    <n v="0"/>
    <m/>
    <n v="6988250"/>
    <n v="0"/>
    <n v="2870000"/>
    <n v="0"/>
    <n v="205935.5"/>
    <n v="3075935.5"/>
    <n v="10173130"/>
    <n v="1476000"/>
    <n v="1488722.5333333332"/>
    <m/>
    <n v="0"/>
    <n v="13137852.533333333"/>
    <n v="3073667.0333333332"/>
    <n v="2978944.5"/>
    <n v="0.29282477467603385"/>
    <n v="94722.533333333209"/>
    <n v="3.1949881403179274E-2"/>
    <s v="Rekapan 27-4 Mei.xlsx"/>
  </r>
  <r>
    <x v="0"/>
    <x v="0"/>
    <x v="1"/>
    <x v="0"/>
    <x v="0"/>
    <x v="1"/>
    <x v="40"/>
    <x v="11"/>
    <x v="2"/>
    <x v="88"/>
    <n v="23"/>
    <n v="4893"/>
    <n v="43178000"/>
    <n v="4100750"/>
    <n v="2887500"/>
    <n v="0"/>
    <m/>
    <n v="0"/>
    <m/>
    <n v="6988250"/>
    <n v="0"/>
    <n v="2870000"/>
    <n v="0"/>
    <n v="205935.5"/>
    <n v="3075935.5"/>
    <n v="9930940"/>
    <n v="1476000"/>
    <n v="1692165.935483871"/>
    <m/>
    <n v="0"/>
    <n v="13099105.935483871"/>
    <n v="3034920.435483871"/>
    <n v="2736754.5"/>
    <n v="0.27557859578247379"/>
    <n v="298165.93548387103"/>
    <n v="9.4113105675549924E-2"/>
    <m/>
  </r>
  <r>
    <x v="0"/>
    <x v="2"/>
    <x v="3"/>
    <x v="1"/>
    <x v="0"/>
    <x v="2"/>
    <x v="40"/>
    <x v="11"/>
    <x v="2"/>
    <x v="89"/>
    <n v="5"/>
    <n v="563"/>
    <n v="4829000"/>
    <n v="563000"/>
    <n v="450000"/>
    <n v="0"/>
    <m/>
    <n v="0"/>
    <m/>
    <n v="1013000"/>
    <n v="0"/>
    <n v="1120000"/>
    <n v="0"/>
    <n v="0"/>
    <n v="1120000"/>
    <n v="1448700"/>
    <n v="250000"/>
    <n v="0"/>
    <m/>
    <n v="0"/>
    <n v="1698700"/>
    <n v="-434300"/>
    <n v="435700"/>
    <n v="0.30075239870228482"/>
    <n v="-870000"/>
    <n v="-3.48"/>
    <s v="Rekapan 27-4 Mei.xlsx"/>
  </r>
  <r>
    <x v="0"/>
    <x v="6"/>
    <x v="7"/>
    <x v="1"/>
    <x v="0"/>
    <x v="2"/>
    <x v="40"/>
    <x v="11"/>
    <x v="2"/>
    <x v="89"/>
    <n v="9"/>
    <n v="415"/>
    <n v="3770000"/>
    <n v="415000"/>
    <n v="875000"/>
    <n v="0"/>
    <m/>
    <n v="0"/>
    <m/>
    <n v="1290000"/>
    <n v="0"/>
    <n v="1645000"/>
    <n v="0"/>
    <n v="0"/>
    <n v="1645000"/>
    <n v="1131000"/>
    <n v="470000"/>
    <n v="0"/>
    <m/>
    <n v="0"/>
    <n v="1601000"/>
    <n v="-1334000"/>
    <n v="-159000"/>
    <n v="-0.14058355437665782"/>
    <n v="-1175000"/>
    <n v="-2.5"/>
    <s v="Rekapan 27-4 Mei.xlsx"/>
  </r>
  <r>
    <x v="0"/>
    <x v="4"/>
    <x v="5"/>
    <x v="0"/>
    <x v="0"/>
    <x v="2"/>
    <x v="40"/>
    <x v="11"/>
    <x v="2"/>
    <x v="89"/>
    <n v="2"/>
    <n v="278"/>
    <n v="1877000"/>
    <n v="185400"/>
    <n v="350000"/>
    <n v="0"/>
    <m/>
    <n v="0"/>
    <m/>
    <n v="535400"/>
    <n v="0"/>
    <n v="490000"/>
    <n v="0"/>
    <n v="0"/>
    <n v="490000"/>
    <n v="563100"/>
    <n v="140000"/>
    <n v="0"/>
    <m/>
    <n v="0"/>
    <n v="703100"/>
    <n v="-322300"/>
    <n v="27700"/>
    <n v="4.9191973006570772E-2"/>
    <n v="-350000"/>
    <n v="-2.5"/>
    <s v="Rekapan 27-4 Mei.xlsx"/>
  </r>
  <r>
    <x v="0"/>
    <x v="10"/>
    <x v="14"/>
    <x v="1"/>
    <x v="0"/>
    <x v="2"/>
    <x v="40"/>
    <x v="11"/>
    <x v="2"/>
    <x v="89"/>
    <n v="5"/>
    <n v="516"/>
    <n v="3555000"/>
    <n v="516000"/>
    <n v="525000"/>
    <n v="0"/>
    <m/>
    <n v="0"/>
    <m/>
    <n v="1041000"/>
    <n v="0"/>
    <n v="1120000"/>
    <n v="0"/>
    <n v="0"/>
    <n v="1120000"/>
    <n v="1030949.9999999999"/>
    <n v="320000"/>
    <n v="0"/>
    <m/>
    <n v="0"/>
    <n v="1350950"/>
    <n v="-810050"/>
    <n v="-10050.000000000116"/>
    <n v="-9.7482904117562608E-3"/>
    <n v="-800000"/>
    <n v="-2.5"/>
    <s v="Rekapan 27-4 Mei.xlsx"/>
  </r>
  <r>
    <x v="0"/>
    <x v="8"/>
    <x v="12"/>
    <x v="1"/>
    <x v="0"/>
    <x v="2"/>
    <x v="40"/>
    <x v="11"/>
    <x v="2"/>
    <x v="89"/>
    <n v="1"/>
    <n v="2"/>
    <n v="18000"/>
    <n v="2000"/>
    <n v="25000"/>
    <n v="0"/>
    <m/>
    <n v="0"/>
    <m/>
    <n v="27000"/>
    <n v="0"/>
    <n v="245000"/>
    <n v="0"/>
    <n v="0"/>
    <n v="245000"/>
    <n v="5400"/>
    <n v="10000"/>
    <n v="0"/>
    <m/>
    <n v="0"/>
    <n v="15400"/>
    <n v="-256600"/>
    <n v="-21600"/>
    <n v="-4"/>
    <n v="-235000"/>
    <n v="-23.5"/>
    <s v="Rekapan 27-4 Mei.xlsx"/>
  </r>
  <r>
    <x v="0"/>
    <x v="0"/>
    <x v="9"/>
    <x v="0"/>
    <x v="1"/>
    <x v="3"/>
    <x v="40"/>
    <x v="8"/>
    <x v="4"/>
    <x v="87"/>
    <n v="43"/>
    <n v="4861"/>
    <n v="44146000"/>
    <n v="3861900"/>
    <n v="960000"/>
    <n v="0"/>
    <m/>
    <n v="0"/>
    <m/>
    <n v="4821900"/>
    <n v="420000"/>
    <n v="7735000"/>
    <n v="0"/>
    <n v="0"/>
    <n v="8155000"/>
    <n v="9270660"/>
    <n v="3870000"/>
    <n v="2085646.4"/>
    <m/>
    <n v="600000"/>
    <n v="15826306.4"/>
    <n v="2849406.4000000004"/>
    <n v="4628760"/>
    <n v="0.46894128660089601"/>
    <n v="-1779353.5999999996"/>
    <n v="-0.29876750238227701"/>
    <m/>
  </r>
  <r>
    <x v="0"/>
    <x v="0"/>
    <x v="9"/>
    <x v="0"/>
    <x v="1"/>
    <x v="3"/>
    <x v="40"/>
    <x v="11"/>
    <x v="2"/>
    <x v="88"/>
    <n v="33"/>
    <n v="3721"/>
    <n v="33934000"/>
    <n v="3861900"/>
    <n v="960000"/>
    <n v="0"/>
    <m/>
    <n v="0"/>
    <m/>
    <n v="4821900"/>
    <n v="420000"/>
    <n v="7735000"/>
    <n v="0"/>
    <n v="0"/>
    <n v="8155000"/>
    <n v="7126140"/>
    <n v="3870000"/>
    <n v="1269987.0967741935"/>
    <m/>
    <n v="0"/>
    <n v="12266127.096774194"/>
    <n v="-710772.90322580561"/>
    <n v="1884240"/>
    <n v="0.26441243085316873"/>
    <n v="-2595012.9032258065"/>
    <n v="-0.50486759098177736"/>
    <m/>
  </r>
  <r>
    <x v="0"/>
    <x v="0"/>
    <x v="10"/>
    <x v="0"/>
    <x v="1"/>
    <x v="4"/>
    <x v="40"/>
    <x v="8"/>
    <x v="4"/>
    <x v="87"/>
    <n v="16"/>
    <n v="2665"/>
    <n v="24240000"/>
    <n v="2353050"/>
    <n v="820000"/>
    <n v="0"/>
    <m/>
    <n v="0"/>
    <m/>
    <n v="3173050"/>
    <n v="0"/>
    <n v="1785000"/>
    <n v="0"/>
    <n v="0"/>
    <n v="1785000"/>
    <n v="5090400"/>
    <n v="918000"/>
    <n v="664763.8666666667"/>
    <m/>
    <n v="100000"/>
    <n v="6773163.8666666672"/>
    <n v="1815113.8666666672"/>
    <n v="2017350"/>
    <n v="0.3886694667077682"/>
    <n v="-202236.1333333333"/>
    <n v="-0.12777403982518679"/>
    <m/>
  </r>
  <r>
    <x v="0"/>
    <x v="0"/>
    <x v="10"/>
    <x v="0"/>
    <x v="1"/>
    <x v="4"/>
    <x v="40"/>
    <x v="11"/>
    <x v="2"/>
    <x v="88"/>
    <n v="15"/>
    <n v="4861"/>
    <n v="44146000"/>
    <n v="2353050"/>
    <n v="820000"/>
    <n v="0"/>
    <m/>
    <n v="0"/>
    <m/>
    <n v="3173050"/>
    <n v="0"/>
    <n v="1785000"/>
    <n v="0"/>
    <n v="0"/>
    <n v="1785000"/>
    <n v="9270660"/>
    <n v="918000"/>
    <n v="706285.67741935479"/>
    <m/>
    <n v="0"/>
    <n v="10894945.677419355"/>
    <n v="5936895.6774193551"/>
    <n v="6097610"/>
    <n v="0.65773202770892258"/>
    <n v="-160714.32258064533"/>
    <n v="-9.8944615971733665E-2"/>
    <m/>
  </r>
  <r>
    <x v="0"/>
    <x v="9"/>
    <x v="13"/>
    <x v="1"/>
    <x v="1"/>
    <x v="3"/>
    <x v="40"/>
    <x v="11"/>
    <x v="2"/>
    <x v="90"/>
    <n v="5"/>
    <n v="456"/>
    <n v="3882000"/>
    <n v="410400"/>
    <n v="30000"/>
    <n v="0"/>
    <m/>
    <n v="0"/>
    <m/>
    <n v="0"/>
    <n v="0"/>
    <n v="595000"/>
    <n v="0"/>
    <n v="0"/>
    <n v="595000"/>
    <n v="1164600"/>
    <n v="306000"/>
    <n v="0"/>
    <m/>
    <n v="0"/>
    <n v="1470600"/>
    <n v="875600"/>
    <n v="1164600"/>
    <n v="1"/>
    <n v="-289000"/>
    <n v="-0.94444444444444442"/>
    <m/>
  </r>
  <r>
    <x v="0"/>
    <x v="0"/>
    <x v="0"/>
    <x v="0"/>
    <x v="0"/>
    <x v="0"/>
    <x v="41"/>
    <x v="11"/>
    <x v="1"/>
    <x v="91"/>
    <n v="265"/>
    <n v="81238"/>
    <n v="708402000"/>
    <n v="81226000"/>
    <n v="59880000"/>
    <n v="0"/>
    <m/>
    <n v="0"/>
    <m/>
    <n v="141106000"/>
    <n v="700000"/>
    <n v="62790000"/>
    <n v="0"/>
    <n v="648065"/>
    <n v="64138065"/>
    <n v="162932460"/>
    <n v="32292000"/>
    <n v="34100258.161290325"/>
    <m/>
    <n v="0"/>
    <n v="229324718.16129032"/>
    <n v="24080653.161290318"/>
    <n v="20478395"/>
    <n v="0.1256864040474194"/>
    <n v="3602258.1612903252"/>
    <n v="5.4257201984893533E-2"/>
    <s v="Rekapan JKT 5-11 Mei 2025.xlsx"/>
  </r>
  <r>
    <x v="0"/>
    <x v="0"/>
    <x v="1"/>
    <x v="0"/>
    <x v="0"/>
    <x v="1"/>
    <x v="41"/>
    <x v="11"/>
    <x v="1"/>
    <x v="91"/>
    <n v="25"/>
    <n v="7783"/>
    <n v="68422000"/>
    <n v="7778000"/>
    <n v="5225000"/>
    <n v="0"/>
    <m/>
    <n v="0"/>
    <m/>
    <n v="13003000"/>
    <n v="575000"/>
    <n v="5565000"/>
    <n v="0"/>
    <n v="411871"/>
    <n v="6551871"/>
    <n v="15737060"/>
    <n v="2862000"/>
    <n v="2961290.3870967743"/>
    <m/>
    <n v="0"/>
    <n v="21560350.387096774"/>
    <n v="2005479.3870967738"/>
    <n v="1747189"/>
    <n v="0.11102385070654874"/>
    <n v="258290.38709677383"/>
    <n v="4.4354715277310018E-2"/>
    <s v="Rekapan JKT 5-11 Mei 2025.xlsx"/>
  </r>
  <r>
    <x v="0"/>
    <x v="2"/>
    <x v="3"/>
    <x v="1"/>
    <x v="0"/>
    <x v="2"/>
    <x v="41"/>
    <x v="11"/>
    <x v="1"/>
    <x v="92"/>
    <n v="5"/>
    <n v="694"/>
    <n v="6689000"/>
    <n v="694000"/>
    <n v="1000000"/>
    <n v="0"/>
    <m/>
    <n v="0"/>
    <m/>
    <n v="1694000"/>
    <n v="0"/>
    <n v="1400000"/>
    <n v="0"/>
    <n v="0"/>
    <n v="1400000"/>
    <n v="2006700"/>
    <n v="400000"/>
    <n v="0"/>
    <m/>
    <n v="0"/>
    <n v="2406700"/>
    <n v="-687300"/>
    <n v="312700"/>
    <n v="0.15582797627946379"/>
    <n v="-1000000"/>
    <n v="-2.5"/>
    <s v="Rekapan JKT 5-11 Mei 2025.xlsx"/>
  </r>
  <r>
    <x v="0"/>
    <x v="6"/>
    <x v="7"/>
    <x v="1"/>
    <x v="0"/>
    <x v="2"/>
    <x v="41"/>
    <x v="11"/>
    <x v="1"/>
    <x v="92"/>
    <n v="9"/>
    <n v="376"/>
    <n v="3466000"/>
    <n v="376000"/>
    <n v="650000"/>
    <n v="0"/>
    <m/>
    <n v="0"/>
    <m/>
    <n v="1026000"/>
    <n v="0"/>
    <n v="1645000"/>
    <n v="0"/>
    <n v="0"/>
    <n v="1645000"/>
    <n v="1039800"/>
    <n v="470000"/>
    <n v="0"/>
    <m/>
    <n v="0"/>
    <n v="1509800"/>
    <n v="-1161200"/>
    <n v="13800"/>
    <n v="1.3271783035199077E-2"/>
    <n v="-1175000"/>
    <n v="-2.5"/>
    <s v="Rekapan JKT 5-11 Mei 2025.xlsx"/>
  </r>
  <r>
    <x v="0"/>
    <x v="4"/>
    <x v="5"/>
    <x v="0"/>
    <x v="0"/>
    <x v="2"/>
    <x v="41"/>
    <x v="11"/>
    <x v="1"/>
    <x v="92"/>
    <n v="2"/>
    <n v="289"/>
    <n v="2217000"/>
    <n v="210700"/>
    <n v="375000"/>
    <n v="0"/>
    <m/>
    <n v="0"/>
    <m/>
    <n v="585700"/>
    <n v="0"/>
    <n v="560000"/>
    <n v="0"/>
    <n v="0"/>
    <n v="560000"/>
    <n v="665100"/>
    <n v="160000"/>
    <n v="0"/>
    <m/>
    <n v="0"/>
    <n v="825100"/>
    <n v="-320600"/>
    <n v="79400"/>
    <n v="0.11938054427905578"/>
    <n v="-400000"/>
    <n v="-2.5"/>
    <s v="Rekapan JKT 5-11 Mei 2025.xlsx"/>
  </r>
  <r>
    <x v="0"/>
    <x v="10"/>
    <x v="14"/>
    <x v="1"/>
    <x v="0"/>
    <x v="2"/>
    <x v="41"/>
    <x v="11"/>
    <x v="1"/>
    <x v="92"/>
    <n v="6"/>
    <n v="593"/>
    <n v="4270000"/>
    <n v="593000"/>
    <n v="725000"/>
    <n v="0"/>
    <m/>
    <n v="0"/>
    <m/>
    <n v="1318000"/>
    <n v="0"/>
    <n v="1470000"/>
    <n v="0"/>
    <n v="0"/>
    <n v="1470000"/>
    <n v="1238300"/>
    <n v="420000"/>
    <n v="0"/>
    <m/>
    <n v="0"/>
    <n v="1658300"/>
    <n v="-1129700"/>
    <n v="-79700"/>
    <n v="-6.43624323669547E-2"/>
    <n v="-1050000"/>
    <n v="-2.5"/>
    <s v="Rekapan JKT 5-11 Mei 2025.xlsx"/>
  </r>
  <r>
    <x v="0"/>
    <x v="11"/>
    <x v="15"/>
    <x v="1"/>
    <x v="0"/>
    <x v="2"/>
    <x v="41"/>
    <x v="11"/>
    <x v="1"/>
    <x v="92"/>
    <n v="6"/>
    <n v="62"/>
    <n v="555000"/>
    <n v="62000"/>
    <n v="200000"/>
    <n v="0"/>
    <m/>
    <n v="0"/>
    <m/>
    <n v="262000"/>
    <n v="0"/>
    <n v="665000"/>
    <n v="0"/>
    <n v="0"/>
    <n v="665000"/>
    <n v="166500"/>
    <n v="190000"/>
    <n v="0"/>
    <m/>
    <n v="0"/>
    <n v="356500"/>
    <n v="-570500"/>
    <n v="-95500"/>
    <n v="-0.57357357357357353"/>
    <n v="-475000"/>
    <n v="-2.5"/>
    <s v="Rekapan JKT 5-11 Mei 2025.xlsx"/>
  </r>
  <r>
    <x v="0"/>
    <x v="0"/>
    <x v="9"/>
    <x v="0"/>
    <x v="1"/>
    <x v="3"/>
    <x v="41"/>
    <x v="11"/>
    <x v="1"/>
    <x v="91"/>
    <n v="34"/>
    <n v="6317"/>
    <n v="57134000"/>
    <n v="5685300"/>
    <n v="1545000"/>
    <n v="1260000"/>
    <m/>
    <n v="0"/>
    <m/>
    <n v="8490300"/>
    <n v="840000"/>
    <n v="6160000"/>
    <n v="0"/>
    <n v="0"/>
    <n v="7000000"/>
    <n v="11998140"/>
    <n v="3060000"/>
    <n v="2222477.4193548388"/>
    <m/>
    <n v="900000"/>
    <n v="18180617.419354837"/>
    <n v="2690317.4193548374"/>
    <n v="3567840"/>
    <n v="0.27661662844410123"/>
    <n v="-877522.58064516075"/>
    <n v="-0.16611951381560938"/>
    <m/>
  </r>
  <r>
    <x v="0"/>
    <x v="0"/>
    <x v="10"/>
    <x v="0"/>
    <x v="1"/>
    <x v="4"/>
    <x v="41"/>
    <x v="11"/>
    <x v="1"/>
    <x v="91"/>
    <n v="16"/>
    <n v="4656"/>
    <n v="42120000"/>
    <n v="4190400"/>
    <n v="1495000"/>
    <n v="720000"/>
    <m/>
    <n v="0"/>
    <m/>
    <n v="6405400"/>
    <n v="0"/>
    <n v="3115000"/>
    <n v="0"/>
    <n v="0"/>
    <n v="3115000"/>
    <n v="8845200"/>
    <n v="1584000"/>
    <n v="1235999.935483871"/>
    <m/>
    <n v="300000"/>
    <n v="11965199.935483871"/>
    <n v="2444799.935483871"/>
    <n v="2739800"/>
    <n v="0.29958885535581509"/>
    <n v="-295000.06451612897"/>
    <n v="-0.1046099543493469"/>
    <m/>
  </r>
  <r>
    <x v="0"/>
    <x v="9"/>
    <x v="13"/>
    <x v="1"/>
    <x v="1"/>
    <x v="3"/>
    <x v="41"/>
    <x v="11"/>
    <x v="1"/>
    <x v="93"/>
    <n v="6"/>
    <n v="560"/>
    <n v="4564000"/>
    <n v="504000"/>
    <n v="15000"/>
    <n v="120000"/>
    <m/>
    <n v="0"/>
    <m/>
    <n v="639000"/>
    <n v="0"/>
    <n v="945000"/>
    <n v="0"/>
    <n v="0"/>
    <n v="945000"/>
    <n v="1369200"/>
    <n v="468000"/>
    <n v="0"/>
    <m/>
    <n v="0"/>
    <n v="1837200"/>
    <n v="253200"/>
    <n v="730200"/>
    <n v="0.5333041191936897"/>
    <n v="-477000"/>
    <n v="-1.0192307692307692"/>
    <m/>
  </r>
  <r>
    <x v="0"/>
    <x v="0"/>
    <x v="0"/>
    <x v="0"/>
    <x v="0"/>
    <x v="0"/>
    <x v="42"/>
    <x v="11"/>
    <x v="0"/>
    <x v="94"/>
    <n v="272"/>
    <n v="80168"/>
    <n v="699181000"/>
    <n v="80167500"/>
    <n v="59275000"/>
    <n v="0"/>
    <m/>
    <n v="0"/>
    <m/>
    <n v="139442500"/>
    <n v="1450000"/>
    <n v="63875000"/>
    <n v="0"/>
    <n v="648065"/>
    <n v="65973065"/>
    <n v="160811630"/>
    <n v="32850000"/>
    <n v="34100258.161290325"/>
    <m/>
    <n v="0"/>
    <n v="227761888.16129032"/>
    <n v="22346323.161290318"/>
    <n v="19271065"/>
    <n v="0.11983626432988709"/>
    <n v="3075258.1612903252"/>
    <n v="4.5933477267282523E-2"/>
    <s v="Rekapan 12-18 Mei 2025.xlsx"/>
  </r>
  <r>
    <x v="0"/>
    <x v="0"/>
    <x v="1"/>
    <x v="0"/>
    <x v="0"/>
    <x v="1"/>
    <x v="42"/>
    <x v="11"/>
    <x v="0"/>
    <x v="94"/>
    <n v="22"/>
    <n v="6838"/>
    <n v="60105000"/>
    <n v="6835500"/>
    <n v="5200000"/>
    <n v="0"/>
    <m/>
    <n v="0"/>
    <m/>
    <n v="12035500"/>
    <n v="300000"/>
    <n v="5075000"/>
    <n v="0"/>
    <n v="411871"/>
    <n v="5786871"/>
    <n v="13824150"/>
    <n v="2610000"/>
    <n v="2961290.3870967743"/>
    <m/>
    <n v="0"/>
    <n v="19395440.387096774"/>
    <n v="1573069.3870967738"/>
    <n v="1076779"/>
    <n v="7.7891154248181618E-2"/>
    <n v="496290.38709677383"/>
    <n v="8.9079971176191583E-2"/>
    <s v="Rekapan 12-18 Mei 2025.xlsx"/>
  </r>
  <r>
    <x v="0"/>
    <x v="2"/>
    <x v="3"/>
    <x v="1"/>
    <x v="0"/>
    <x v="2"/>
    <x v="42"/>
    <x v="11"/>
    <x v="0"/>
    <x v="94"/>
    <n v="5"/>
    <n v="808"/>
    <n v="6728000"/>
    <n v="808000"/>
    <n v="900000"/>
    <n v="0"/>
    <m/>
    <n v="0"/>
    <m/>
    <n v="1708000"/>
    <n v="0"/>
    <n v="1190000"/>
    <n v="0"/>
    <n v="0"/>
    <n v="1190000"/>
    <n v="2018400"/>
    <n v="340000"/>
    <n v="0"/>
    <m/>
    <n v="0"/>
    <n v="2358400"/>
    <n v="-539600"/>
    <n v="310400"/>
    <n v="0.15378517637732858"/>
    <n v="-850000"/>
    <n v="-2.5"/>
    <s v="Rekapan 12-18 Mei 2025.xlsx"/>
  </r>
  <r>
    <x v="0"/>
    <x v="6"/>
    <x v="7"/>
    <x v="1"/>
    <x v="0"/>
    <x v="2"/>
    <x v="42"/>
    <x v="11"/>
    <x v="0"/>
    <x v="94"/>
    <n v="6"/>
    <n v="212"/>
    <n v="1906000"/>
    <n v="212000"/>
    <n v="425000"/>
    <n v="0"/>
    <m/>
    <n v="0"/>
    <m/>
    <n v="637000"/>
    <n v="0"/>
    <n v="1085000"/>
    <n v="0"/>
    <n v="0"/>
    <n v="1085000"/>
    <n v="571800"/>
    <n v="310000"/>
    <n v="0"/>
    <m/>
    <n v="0"/>
    <n v="881800"/>
    <n v="-840200"/>
    <n v="-65200"/>
    <n v="-0.11402588317593564"/>
    <n v="-775000"/>
    <n v="-2.5"/>
    <s v="Rekapan 12-18 Mei 2025.xlsx"/>
  </r>
  <r>
    <x v="0"/>
    <x v="4"/>
    <x v="5"/>
    <x v="0"/>
    <x v="0"/>
    <x v="2"/>
    <x v="42"/>
    <x v="11"/>
    <x v="0"/>
    <x v="94"/>
    <n v="2"/>
    <n v="123"/>
    <n v="870000"/>
    <n v="86200"/>
    <n v="250000"/>
    <n v="0"/>
    <m/>
    <n v="0"/>
    <m/>
    <n v="336200"/>
    <n v="0"/>
    <n v="490000"/>
    <n v="0"/>
    <n v="0"/>
    <n v="490000"/>
    <n v="261000"/>
    <n v="140000"/>
    <n v="0"/>
    <m/>
    <n v="0"/>
    <n v="401000"/>
    <n v="-425200"/>
    <n v="-75200"/>
    <n v="-0.28812260536398465"/>
    <n v="-350000"/>
    <n v="-2.5"/>
    <s v="Rekapan 12-18 Mei 2025.xlsx"/>
  </r>
  <r>
    <x v="0"/>
    <x v="10"/>
    <x v="14"/>
    <x v="1"/>
    <x v="0"/>
    <x v="2"/>
    <x v="42"/>
    <x v="11"/>
    <x v="0"/>
    <x v="94"/>
    <n v="6"/>
    <n v="418"/>
    <n v="2892000"/>
    <n v="418000"/>
    <n v="600000"/>
    <n v="0"/>
    <m/>
    <n v="0"/>
    <m/>
    <n v="1018000"/>
    <n v="0"/>
    <n v="1295000"/>
    <n v="0"/>
    <n v="0"/>
    <n v="1295000"/>
    <n v="838680"/>
    <n v="370000"/>
    <n v="0"/>
    <m/>
    <n v="0"/>
    <n v="1208680"/>
    <n v="-1104320"/>
    <n v="-179320"/>
    <n v="-0.21381218104640626"/>
    <n v="-925000"/>
    <n v="-2.5"/>
    <s v="Rekapan 12-18 Mei 2025.xlsx"/>
  </r>
  <r>
    <x v="0"/>
    <x v="11"/>
    <x v="15"/>
    <x v="1"/>
    <x v="0"/>
    <x v="2"/>
    <x v="42"/>
    <x v="11"/>
    <x v="0"/>
    <x v="94"/>
    <n v="4"/>
    <n v="85"/>
    <n v="798000"/>
    <n v="85000"/>
    <n v="350000"/>
    <n v="0"/>
    <m/>
    <n v="0"/>
    <m/>
    <n v="435000"/>
    <n v="0"/>
    <n v="735000"/>
    <n v="0"/>
    <n v="0"/>
    <n v="735000"/>
    <n v="239400"/>
    <n v="210000"/>
    <n v="0"/>
    <m/>
    <n v="0"/>
    <n v="449400"/>
    <n v="-720600"/>
    <n v="-195600"/>
    <n v="-0.81704260651629068"/>
    <n v="-525000"/>
    <n v="-2.5"/>
    <s v="Rekapan 12-18 Mei 2025.xlsx"/>
  </r>
  <r>
    <x v="0"/>
    <x v="0"/>
    <x v="9"/>
    <x v="0"/>
    <x v="1"/>
    <x v="3"/>
    <x v="42"/>
    <x v="11"/>
    <x v="0"/>
    <x v="94"/>
    <n v="26"/>
    <n v="4695"/>
    <n v="42420000"/>
    <n v="4225500"/>
    <n v="1100000"/>
    <n v="1020000"/>
    <m/>
    <n v="0"/>
    <m/>
    <n v="6345500"/>
    <n v="840000"/>
    <n v="4550000"/>
    <n v="0"/>
    <n v="0"/>
    <n v="5390000"/>
    <n v="8908200"/>
    <n v="2304000"/>
    <n v="2222477.4193548388"/>
    <m/>
    <n v="400000"/>
    <n v="13834677.419354839"/>
    <n v="2099177.4193548393"/>
    <n v="2122700"/>
    <n v="0.22804623880019767"/>
    <n v="-23522.58064516075"/>
    <n v="-5.1966636450190076E-3"/>
    <m/>
  </r>
  <r>
    <x v="0"/>
    <x v="0"/>
    <x v="10"/>
    <x v="0"/>
    <x v="1"/>
    <x v="4"/>
    <x v="42"/>
    <x v="11"/>
    <x v="0"/>
    <x v="94"/>
    <n v="16"/>
    <n v="4825"/>
    <n v="43856000"/>
    <n v="4342500"/>
    <n v="1460000"/>
    <n v="900000"/>
    <m/>
    <n v="0"/>
    <m/>
    <n v="6702500"/>
    <n v="0"/>
    <n v="3360000"/>
    <n v="0"/>
    <n v="0"/>
    <n v="3360000"/>
    <n v="9209760"/>
    <n v="1692000"/>
    <n v="1235999.935483871"/>
    <m/>
    <n v="0"/>
    <n v="12137759.935483871"/>
    <n v="2075259.935483871"/>
    <n v="2507260"/>
    <n v="0.27223945032226682"/>
    <n v="-432000.06451612897"/>
    <n v="-0.1475410088917021"/>
    <m/>
  </r>
  <r>
    <x v="0"/>
    <x v="9"/>
    <x v="13"/>
    <x v="1"/>
    <x v="1"/>
    <x v="3"/>
    <x v="42"/>
    <x v="11"/>
    <x v="4"/>
    <x v="95"/>
    <n v="5"/>
    <n v="356"/>
    <n v="2956000"/>
    <n v="320400"/>
    <n v="0"/>
    <n v="60000"/>
    <m/>
    <n v="0"/>
    <m/>
    <n v="380400"/>
    <n v="0"/>
    <n v="630000"/>
    <n v="0"/>
    <n v="0"/>
    <n v="630000"/>
    <n v="886800"/>
    <n v="324000"/>
    <n v="0"/>
    <m/>
    <n v="0"/>
    <n v="1210800"/>
    <n v="200400"/>
    <n v="506400"/>
    <n v="0.57104194857916102"/>
    <n v="-306000"/>
    <n v="-0.94444444444444442"/>
    <m/>
  </r>
  <r>
    <x v="0"/>
    <x v="0"/>
    <x v="0"/>
    <x v="0"/>
    <x v="0"/>
    <x v="0"/>
    <x v="43"/>
    <x v="11"/>
    <x v="4"/>
    <x v="96"/>
    <n v="275"/>
    <n v="77750"/>
    <n v="677939000"/>
    <n v="77752500"/>
    <n v="59300000"/>
    <n v="55500000"/>
    <n v="300000"/>
    <n v="6600000"/>
    <m/>
    <n v="199452500"/>
    <n v="1675000"/>
    <n v="64995000"/>
    <n v="0"/>
    <n v="648064.51612903224"/>
    <n v="67318064.516129032"/>
    <n v="155925970"/>
    <n v="40650000"/>
    <n v="34100258.161290325"/>
    <m/>
    <n v="0"/>
    <n v="230676228.16129032"/>
    <n v="-36094336.354838699"/>
    <n v="-45849594.516129032"/>
    <n v="-0.29404719762929182"/>
    <n v="9755258.1612903178"/>
    <n v="0.13050467518441444"/>
    <s v="Rekapan 19-25 Mei 2025.xlsx"/>
  </r>
  <r>
    <x v="0"/>
    <x v="0"/>
    <x v="1"/>
    <x v="0"/>
    <x v="0"/>
    <x v="1"/>
    <x v="43"/>
    <x v="11"/>
    <x v="4"/>
    <x v="96"/>
    <n v="21"/>
    <n v="6454"/>
    <n v="56899000"/>
    <n v="6454500"/>
    <n v="5125000"/>
    <n v="4125000"/>
    <m/>
    <n v="600000"/>
    <m/>
    <n v="16304500"/>
    <n v="450000"/>
    <n v="5145000"/>
    <n v="0"/>
    <n v="411870.96774193551"/>
    <n v="6006870.9677419355"/>
    <n v="13086770"/>
    <n v="3198000"/>
    <n v="2961290.3870967743"/>
    <m/>
    <n v="0"/>
    <n v="19246060.387096774"/>
    <n v="-3065310.5806451626"/>
    <n v="-4079600.9677419355"/>
    <n v="-0.31173474950212587"/>
    <n v="1014290.3870967738"/>
    <n v="0.16467650059520361"/>
    <s v="Rekapan 19-25 Mei 2025.xlsx"/>
  </r>
  <r>
    <x v="0"/>
    <x v="2"/>
    <x v="3"/>
    <x v="1"/>
    <x v="0"/>
    <x v="2"/>
    <x v="43"/>
    <x v="11"/>
    <x v="4"/>
    <x v="96"/>
    <n v="5"/>
    <n v="847"/>
    <n v="7082000"/>
    <n v="847000"/>
    <n v="1050000"/>
    <n v="0"/>
    <m/>
    <n v="0"/>
    <m/>
    <n v="1897000"/>
    <n v="0"/>
    <n v="1225000"/>
    <n v="0"/>
    <n v="0"/>
    <n v="1225000"/>
    <n v="2124600"/>
    <n v="350000"/>
    <n v="0"/>
    <m/>
    <n v="0"/>
    <n v="2474600"/>
    <n v="-647400"/>
    <n v="227600"/>
    <n v="0.10712604725595407"/>
    <n v="-875000"/>
    <n v="-2.5"/>
    <s v="Rekapan 19-25 Mei 2025.xlsx"/>
  </r>
  <r>
    <x v="0"/>
    <x v="6"/>
    <x v="7"/>
    <x v="1"/>
    <x v="0"/>
    <x v="2"/>
    <x v="43"/>
    <x v="11"/>
    <x v="4"/>
    <x v="96"/>
    <n v="3"/>
    <n v="100"/>
    <n v="916000"/>
    <n v="100000"/>
    <n v="225000"/>
    <n v="0"/>
    <m/>
    <n v="0"/>
    <m/>
    <n v="325000"/>
    <n v="0"/>
    <n v="525000"/>
    <n v="0"/>
    <n v="0"/>
    <n v="525000"/>
    <n v="274800"/>
    <n v="150000"/>
    <n v="0"/>
    <m/>
    <n v="0"/>
    <n v="424800"/>
    <n v="-425200"/>
    <n v="-50200"/>
    <n v="-0.18267831149927219"/>
    <n v="-375000"/>
    <n v="-2.5"/>
    <s v="Rekapan 19-25 Mei 2025.xlsx"/>
  </r>
  <r>
    <x v="0"/>
    <x v="4"/>
    <x v="5"/>
    <x v="0"/>
    <x v="0"/>
    <x v="2"/>
    <x v="43"/>
    <x v="11"/>
    <x v="4"/>
    <x v="96"/>
    <n v="1"/>
    <n v="87"/>
    <n v="741000"/>
    <n v="73000"/>
    <n v="175000"/>
    <n v="0"/>
    <m/>
    <n v="0"/>
    <m/>
    <n v="248000"/>
    <n v="0"/>
    <n v="245000"/>
    <n v="0"/>
    <n v="0"/>
    <n v="245000"/>
    <n v="222300"/>
    <n v="70000"/>
    <n v="0"/>
    <m/>
    <n v="0"/>
    <n v="292300"/>
    <n v="-200700"/>
    <n v="-25700"/>
    <n v="-0.11560953666216824"/>
    <n v="-175000"/>
    <n v="-2.5"/>
    <s v="Rekapan 19-25 Mei 2025.xlsx"/>
  </r>
  <r>
    <x v="0"/>
    <x v="7"/>
    <x v="8"/>
    <x v="1"/>
    <x v="0"/>
    <x v="2"/>
    <x v="43"/>
    <x v="11"/>
    <x v="4"/>
    <x v="96"/>
    <n v="2"/>
    <n v="11"/>
    <n v="174000"/>
    <n v="11000"/>
    <n v="75000"/>
    <n v="0"/>
    <m/>
    <n v="0"/>
    <m/>
    <n v="86000"/>
    <n v="0"/>
    <n v="140000"/>
    <n v="0"/>
    <n v="0"/>
    <n v="140000"/>
    <n v="52200"/>
    <n v="30000"/>
    <n v="0"/>
    <m/>
    <n v="0"/>
    <n v="82200"/>
    <n v="-143800"/>
    <n v="-33800"/>
    <n v="-0.64750957854406133"/>
    <n v="-110000"/>
    <n v="-3.6666666666666665"/>
    <s v="Rekapan 19-25 Mei 2025.xlsx"/>
  </r>
  <r>
    <x v="0"/>
    <x v="10"/>
    <x v="14"/>
    <x v="1"/>
    <x v="0"/>
    <x v="2"/>
    <x v="43"/>
    <x v="11"/>
    <x v="4"/>
    <x v="96"/>
    <n v="7"/>
    <n v="417"/>
    <n v="2816000"/>
    <n v="417000"/>
    <n v="700000"/>
    <n v="0"/>
    <m/>
    <n v="0"/>
    <m/>
    <n v="1117000"/>
    <n v="0"/>
    <n v="1330000"/>
    <n v="0"/>
    <n v="0"/>
    <n v="1330000"/>
    <n v="816640"/>
    <n v="380000"/>
    <n v="0"/>
    <m/>
    <n v="0"/>
    <n v="1196640"/>
    <n v="-1250360"/>
    <n v="-300360"/>
    <n v="-0.36779976489028215"/>
    <n v="-950000"/>
    <n v="-2.5"/>
    <s v="Rekapan 19-25 Mei 2025.xlsx"/>
  </r>
  <r>
    <x v="0"/>
    <x v="11"/>
    <x v="15"/>
    <x v="1"/>
    <x v="0"/>
    <x v="2"/>
    <x v="43"/>
    <x v="11"/>
    <x v="4"/>
    <x v="96"/>
    <n v="5"/>
    <n v="121"/>
    <n v="540000"/>
    <n v="121000"/>
    <n v="425000"/>
    <n v="0"/>
    <m/>
    <n v="0"/>
    <m/>
    <n v="546000"/>
    <n v="0"/>
    <n v="1225000"/>
    <n v="0"/>
    <n v="0"/>
    <n v="1225000"/>
    <n v="162000"/>
    <n v="350000"/>
    <n v="0"/>
    <m/>
    <n v="0"/>
    <n v="512000"/>
    <n v="-1259000"/>
    <n v="-384000"/>
    <n v="-2.3703703703703702"/>
    <n v="-875000"/>
    <n v="-2.5"/>
    <s v="Rekapan 19-25 Mei 2025.xlsx"/>
  </r>
  <r>
    <x v="0"/>
    <x v="0"/>
    <x v="9"/>
    <x v="0"/>
    <x v="1"/>
    <x v="3"/>
    <x v="43"/>
    <x v="11"/>
    <x v="4"/>
    <x v="96"/>
    <n v="24"/>
    <n v="4759"/>
    <n v="43152000"/>
    <n v="4283100"/>
    <n v="1170000"/>
    <n v="1260000"/>
    <m/>
    <n v="0"/>
    <m/>
    <n v="6713100"/>
    <n v="840000"/>
    <n v="4970000"/>
    <n v="0"/>
    <n v="0"/>
    <n v="5810000"/>
    <n v="9061920"/>
    <n v="2412000"/>
    <n v="2222477.4193548388"/>
    <m/>
    <n v="204200"/>
    <n v="13900597.419354839"/>
    <n v="1377497.4193548393"/>
    <n v="1713020"/>
    <n v="0.18486917933288149"/>
    <n v="-335522.58064516075"/>
    <n v="-7.2397068813827237E-2"/>
    <m/>
  </r>
  <r>
    <x v="0"/>
    <x v="0"/>
    <x v="10"/>
    <x v="0"/>
    <x v="1"/>
    <x v="4"/>
    <x v="43"/>
    <x v="11"/>
    <x v="4"/>
    <x v="96"/>
    <n v="16"/>
    <n v="4605"/>
    <n v="41412000"/>
    <n v="4144500"/>
    <n v="1460000"/>
    <n v="780000"/>
    <m/>
    <n v="0"/>
    <m/>
    <n v="6384500"/>
    <n v="0"/>
    <n v="3080000"/>
    <n v="0"/>
    <n v="0"/>
    <n v="3080000"/>
    <n v="8696520"/>
    <n v="1584000"/>
    <n v="1235999.935483871"/>
    <m/>
    <n v="100000"/>
    <n v="11616519.935483871"/>
    <n v="2152019.935483871"/>
    <n v="2412020"/>
    <n v="0.27420161609363702"/>
    <n v="-260000.06451612897"/>
    <n v="-9.2198606547668857E-2"/>
    <m/>
  </r>
  <r>
    <x v="0"/>
    <x v="9"/>
    <x v="13"/>
    <x v="1"/>
    <x v="1"/>
    <x v="3"/>
    <x v="43"/>
    <x v="11"/>
    <x v="4"/>
    <x v="97"/>
    <n v="4"/>
    <n v="318"/>
    <n v="2676000"/>
    <n v="286200"/>
    <n v="0"/>
    <n v="60000"/>
    <m/>
    <n v="0"/>
    <m/>
    <n v="346200"/>
    <n v="0"/>
    <n v="560000"/>
    <n v="0"/>
    <n v="0"/>
    <n v="560000"/>
    <n v="802800"/>
    <n v="270000"/>
    <n v="0"/>
    <m/>
    <n v="0"/>
    <n v="1072800"/>
    <n v="166600"/>
    <n v="456600"/>
    <n v="0.56875934230194325"/>
    <n v="-290000"/>
    <n v="-1.0740740740740742"/>
    <m/>
  </r>
  <r>
    <x v="0"/>
    <x v="9"/>
    <x v="13"/>
    <x v="1"/>
    <x v="1"/>
    <x v="4"/>
    <x v="43"/>
    <x v="11"/>
    <x v="4"/>
    <x v="97"/>
    <n v="2"/>
    <n v="38"/>
    <n v="376000"/>
    <n v="34200"/>
    <n v="0"/>
    <n v="0"/>
    <m/>
    <n v="0"/>
    <m/>
    <n v="34200"/>
    <n v="0"/>
    <n v="140000"/>
    <n v="0"/>
    <n v="0"/>
    <n v="140000"/>
    <n v="112800"/>
    <n v="72000"/>
    <n v="0"/>
    <m/>
    <n v="0"/>
    <n v="184800"/>
    <n v="10600"/>
    <n v="78600"/>
    <n v="0.69680851063829785"/>
    <n v="-68000"/>
    <n v="-0.94444444444444442"/>
    <m/>
  </r>
  <r>
    <x v="0"/>
    <x v="0"/>
    <x v="9"/>
    <x v="0"/>
    <x v="1"/>
    <x v="3"/>
    <x v="44"/>
    <x v="11"/>
    <x v="3"/>
    <x v="98"/>
    <n v="24"/>
    <n v="3706"/>
    <n v="33324000"/>
    <n v="3378085.7142857141"/>
    <n v="792857.14285714284"/>
    <n v="771428.57142857136"/>
    <m/>
    <n v="0"/>
    <m/>
    <n v="4942371.4285714282"/>
    <n v="720000"/>
    <n v="3900000"/>
    <n v="0"/>
    <n v="0"/>
    <n v="4620000"/>
    <n v="6998040"/>
    <n v="1974857.1428571427"/>
    <n v="1904980.6451612902"/>
    <m/>
    <n v="250000"/>
    <n v="11127877.788018432"/>
    <n v="1565506.3594470024"/>
    <n v="1585668.5714285718"/>
    <n v="0.21877205029615893"/>
    <n v="-20162.211981567089"/>
    <n v="-5.1966636450191967E-3"/>
    <m/>
  </r>
  <r>
    <x v="0"/>
    <x v="0"/>
    <x v="9"/>
    <x v="0"/>
    <x v="1"/>
    <x v="3"/>
    <x v="44"/>
    <x v="10"/>
    <x v="3"/>
    <x v="99"/>
    <n v="19"/>
    <n v="673"/>
    <n v="6000000"/>
    <n v="563014.28571428568"/>
    <n v="132142.85714285713"/>
    <n v="128571.42857142857"/>
    <m/>
    <n v="0"/>
    <m/>
    <n v="823728.57142857136"/>
    <n v="120000"/>
    <n v="650000"/>
    <n v="0"/>
    <n v="0"/>
    <n v="770000"/>
    <n v="1260000"/>
    <n v="329142.8571428571"/>
    <n v="266400"/>
    <m/>
    <n v="0"/>
    <n v="1855542.857142857"/>
    <n v="261814.28571428568"/>
    <n v="316271.42857142864"/>
    <n v="0.25100907029478464"/>
    <n v="-54457.142857142957"/>
    <n v="-9.1441182114757422E-2"/>
    <m/>
  </r>
  <r>
    <x v="0"/>
    <x v="0"/>
    <x v="10"/>
    <x v="0"/>
    <x v="1"/>
    <x v="4"/>
    <x v="44"/>
    <x v="11"/>
    <x v="3"/>
    <x v="98"/>
    <n v="14"/>
    <n v="3572"/>
    <n v="32136000"/>
    <n v="3273171.4285714282"/>
    <n v="1152857.1428571427"/>
    <n v="668571.42857142852"/>
    <m/>
    <n v="0"/>
    <m/>
    <n v="5094599.9999999991"/>
    <n v="0"/>
    <n v="2370000"/>
    <n v="0"/>
    <n v="0"/>
    <n v="2370000"/>
    <n v="6748560"/>
    <n v="1218857.1428571427"/>
    <n v="1059428.5161290322"/>
    <m/>
    <n v="50000"/>
    <n v="9076845.6589861754"/>
    <n v="1612245.6589861764"/>
    <n v="1703960.0000000009"/>
    <n v="0.2506354286790145"/>
    <n v="-91714.341013825033"/>
    <n v="-4.0255856701761197E-2"/>
    <m/>
  </r>
  <r>
    <x v="0"/>
    <x v="0"/>
    <x v="10"/>
    <x v="0"/>
    <x v="1"/>
    <x v="4"/>
    <x v="44"/>
    <x v="10"/>
    <x v="3"/>
    <x v="99"/>
    <n v="9"/>
    <n v="671"/>
    <n v="6092000"/>
    <n v="545528.57142857136"/>
    <n v="192142.85714285713"/>
    <n v="111428.57142857142"/>
    <m/>
    <n v="0"/>
    <m/>
    <n v="849100"/>
    <n v="0"/>
    <n v="395000"/>
    <n v="0"/>
    <n v="0"/>
    <n v="395000"/>
    <n v="1279320"/>
    <n v="203142.85714285713"/>
    <n v="154285.75"/>
    <m/>
    <n v="0"/>
    <n v="1636748.607142857"/>
    <n v="392648.60714285704"/>
    <n v="430220"/>
    <n v="0.33628802801488289"/>
    <n v="-37571.392857142841"/>
    <n v="-0.10511579685093951"/>
    <m/>
  </r>
  <r>
    <x v="0"/>
    <x v="9"/>
    <x v="13"/>
    <x v="1"/>
    <x v="1"/>
    <x v="3"/>
    <x v="44"/>
    <x v="11"/>
    <x v="3"/>
    <x v="98"/>
    <n v="4"/>
    <n v="278"/>
    <n v="2340000"/>
    <n v="250200"/>
    <n v="0"/>
    <n v="60000"/>
    <m/>
    <n v="0"/>
    <m/>
    <n v="310200"/>
    <n v="0"/>
    <n v="560000"/>
    <n v="0"/>
    <n v="0"/>
    <n v="560000"/>
    <n v="702000"/>
    <n v="288000"/>
    <n v="0"/>
    <m/>
    <n v="0"/>
    <n v="990000"/>
    <n v="119800"/>
    <n v="391800"/>
    <n v="0.55811965811965814"/>
    <n v="-272000"/>
    <n v="-0.94444444444444442"/>
    <m/>
  </r>
  <r>
    <x v="0"/>
    <x v="9"/>
    <x v="13"/>
    <x v="1"/>
    <x v="1"/>
    <x v="4"/>
    <x v="44"/>
    <x v="10"/>
    <x v="3"/>
    <x v="99"/>
    <n v="3"/>
    <n v="64"/>
    <n v="614000"/>
    <n v="57600"/>
    <n v="0"/>
    <n v="0"/>
    <m/>
    <n v="0"/>
    <m/>
    <n v="57600"/>
    <n v="0"/>
    <n v="245000"/>
    <n v="0"/>
    <n v="0"/>
    <n v="245000"/>
    <n v="184200"/>
    <n v="126000"/>
    <n v="0"/>
    <m/>
    <n v="0"/>
    <n v="310200"/>
    <n v="7600"/>
    <n v="126600"/>
    <n v="0.68729641693811072"/>
    <n v="-119000"/>
    <n v="-0.94444444444444442"/>
    <m/>
  </r>
  <r>
    <x v="0"/>
    <x v="0"/>
    <x v="0"/>
    <x v="0"/>
    <x v="0"/>
    <x v="0"/>
    <x v="44"/>
    <x v="11"/>
    <x v="3"/>
    <x v="98"/>
    <n v="269"/>
    <n v="72627"/>
    <n v="632814000"/>
    <n v="73950000"/>
    <n v="52735714.285714284"/>
    <n v="0"/>
    <m/>
    <n v="0"/>
    <m/>
    <n v="126685714.28571428"/>
    <n v="1875000"/>
    <n v="56100000"/>
    <n v="585000"/>
    <n v="555483.87096774171"/>
    <n v="59115483.870967738"/>
    <n v="145547220"/>
    <n v="28851428.571428571"/>
    <n v="29228792.709677417"/>
    <m/>
    <n v="0"/>
    <n v="203627441.281106"/>
    <n v="17826243.124423981"/>
    <n v="15846021.843317974"/>
    <n v="0.10887203371742843"/>
    <n v="1980221.2811059877"/>
    <n v="3.4094589129090858E-2"/>
    <s v="Rekapan 26-1 Juni 2025.xlsx"/>
  </r>
  <r>
    <x v="0"/>
    <x v="0"/>
    <x v="0"/>
    <x v="0"/>
    <x v="0"/>
    <x v="0"/>
    <x v="44"/>
    <x v="10"/>
    <x v="3"/>
    <x v="99"/>
    <n v="212"/>
    <n v="13650"/>
    <n v="119170000"/>
    <n v="12325000"/>
    <n v="8789285.7142857146"/>
    <n v="0"/>
    <m/>
    <n v="0"/>
    <m/>
    <n v="21114285.714285716"/>
    <n v="1375000"/>
    <n v="9350000"/>
    <n v="0"/>
    <n v="92580.645161290289"/>
    <n v="10817580.64516129"/>
    <n v="27409100"/>
    <n v="4808571.4285714282"/>
    <n v="5132571.375"/>
    <m/>
    <n v="0"/>
    <n v="37350242.803571433"/>
    <n v="5418376.4441244267"/>
    <n v="4827233.6405529929"/>
    <n v="0.17611791852169509"/>
    <n v="591142.8035714291"/>
    <n v="5.946427038137473E-2"/>
    <m/>
  </r>
  <r>
    <x v="0"/>
    <x v="0"/>
    <x v="1"/>
    <x v="0"/>
    <x v="0"/>
    <x v="1"/>
    <x v="44"/>
    <x v="11"/>
    <x v="3"/>
    <x v="98"/>
    <n v="22"/>
    <n v="6200"/>
    <n v="54759000"/>
    <n v="6326142.8571428563"/>
    <n v="5078571.4285714282"/>
    <n v="0"/>
    <m/>
    <n v="0"/>
    <m/>
    <n v="11404714.285714284"/>
    <n v="321428.57142857142"/>
    <n v="4320000"/>
    <n v="0"/>
    <n v="353032.25806451653"/>
    <n v="4994460.8294930886"/>
    <n v="12594570"/>
    <n v="2221714.2857142854"/>
    <n v="2538248.9032258065"/>
    <m/>
    <n v="0"/>
    <n v="17354533.188940093"/>
    <n v="955358.07373272069"/>
    <n v="515394.88479262852"/>
    <n v="4.092199136553519E-2"/>
    <n v="439963.18894009199"/>
    <n v="9.2429956173265965E-2"/>
    <s v="Rekapan 26-1 Juni 2025.xlsx"/>
  </r>
  <r>
    <x v="0"/>
    <x v="0"/>
    <x v="1"/>
    <x v="0"/>
    <x v="0"/>
    <x v="1"/>
    <x v="44"/>
    <x v="10"/>
    <x v="3"/>
    <x v="99"/>
    <n v="22"/>
    <n v="1182"/>
    <n v="10396000"/>
    <n v="1054357.1428571427"/>
    <n v="846428.57142857136"/>
    <n v="0"/>
    <m/>
    <n v="0"/>
    <m/>
    <n v="1900785.7142857141"/>
    <n v="53571.428571428565"/>
    <n v="720000"/>
    <n v="0"/>
    <n v="58838.709677419421"/>
    <n v="832410.13824884791"/>
    <n v="2391080"/>
    <n v="370285.71428571426"/>
    <n v="445714.25"/>
    <m/>
    <n v="0"/>
    <n v="3207079.9642857141"/>
    <n v="473884.1117511522"/>
    <n v="377884.14746543788"/>
    <n v="0.15803910679083841"/>
    <n v="95999.964285714319"/>
    <n v="0.11764702020513923"/>
    <m/>
  </r>
  <r>
    <x v="0"/>
    <x v="2"/>
    <x v="3"/>
    <x v="1"/>
    <x v="0"/>
    <x v="2"/>
    <x v="44"/>
    <x v="11"/>
    <x v="3"/>
    <x v="100"/>
    <n v="5"/>
    <n v="710"/>
    <n v="5808000"/>
    <n v="710000"/>
    <n v="825000"/>
    <n v="0"/>
    <m/>
    <n v="0"/>
    <m/>
    <n v="1535000"/>
    <n v="0"/>
    <n v="1120000"/>
    <n v="0"/>
    <n v="0"/>
    <n v="1120000"/>
    <n v="1161600"/>
    <n v="350000"/>
    <n v="650000"/>
    <m/>
    <n v="0"/>
    <n v="2161600"/>
    <n v="-493400"/>
    <n v="-373400"/>
    <n v="-0.32145316804407714"/>
    <n v="-120000"/>
    <n v="-0.12"/>
    <s v="Rekapan 26-1 Juni 2025.xlsx"/>
  </r>
  <r>
    <x v="0"/>
    <x v="6"/>
    <x v="7"/>
    <x v="1"/>
    <x v="0"/>
    <x v="2"/>
    <x v="44"/>
    <x v="11"/>
    <x v="3"/>
    <x v="100"/>
    <n v="1"/>
    <n v="88"/>
    <n v="788000"/>
    <n v="88000"/>
    <n v="125000"/>
    <n v="0"/>
    <m/>
    <n v="0"/>
    <m/>
    <n v="213000"/>
    <n v="0"/>
    <n v="245000"/>
    <n v="0"/>
    <n v="0"/>
    <n v="245000"/>
    <n v="157600"/>
    <n v="70000"/>
    <n v="125000"/>
    <m/>
    <n v="0"/>
    <n v="352600"/>
    <n v="-105400"/>
    <n v="-55400"/>
    <n v="-0.35152284263959394"/>
    <n v="-50000"/>
    <n v="-0.25641025641025639"/>
    <s v="Rekapan 26-1 Juni 2025.xlsx"/>
  </r>
  <r>
    <x v="0"/>
    <x v="4"/>
    <x v="5"/>
    <x v="0"/>
    <x v="0"/>
    <x v="2"/>
    <x v="44"/>
    <x v="11"/>
    <x v="3"/>
    <x v="100"/>
    <n v="1"/>
    <n v="55"/>
    <n v="477000"/>
    <n v="47000"/>
    <n v="175000"/>
    <n v="0"/>
    <m/>
    <n v="0"/>
    <m/>
    <n v="222000"/>
    <n v="0"/>
    <n v="245000"/>
    <n v="0"/>
    <n v="0"/>
    <n v="245000"/>
    <n v="143100"/>
    <n v="70000"/>
    <n v="0"/>
    <m/>
    <n v="0"/>
    <n v="213100"/>
    <n v="-253900"/>
    <n v="-78900"/>
    <n v="-0.55136268343815509"/>
    <n v="-210000"/>
    <n v="-3"/>
    <s v="Rekapan 26-1 Juni 2025.xlsx"/>
  </r>
  <r>
    <x v="0"/>
    <x v="7"/>
    <x v="8"/>
    <x v="1"/>
    <x v="0"/>
    <x v="2"/>
    <x v="44"/>
    <x v="11"/>
    <x v="3"/>
    <x v="100"/>
    <n v="2"/>
    <n v="37"/>
    <n v="312000"/>
    <n v="37000"/>
    <n v="150000"/>
    <n v="0"/>
    <m/>
    <n v="0"/>
    <m/>
    <n v="187000"/>
    <n v="0"/>
    <n v="280000"/>
    <n v="0"/>
    <n v="0"/>
    <n v="280000"/>
    <n v="93600"/>
    <n v="80000"/>
    <n v="0"/>
    <m/>
    <n v="0"/>
    <n v="173600"/>
    <n v="-293400"/>
    <n v="-93400"/>
    <n v="-0.99786324786324787"/>
    <n v="-900000"/>
    <n v="-11.25"/>
    <s v="Rekapan 26-1 Juni 2025.xlsx"/>
  </r>
  <r>
    <x v="0"/>
    <x v="10"/>
    <x v="14"/>
    <x v="1"/>
    <x v="0"/>
    <x v="2"/>
    <x v="44"/>
    <x v="11"/>
    <x v="3"/>
    <x v="100"/>
    <n v="4"/>
    <n v="453"/>
    <n v="2912000"/>
    <n v="508000"/>
    <n v="525000"/>
    <n v="0"/>
    <m/>
    <n v="0"/>
    <m/>
    <n v="1033000"/>
    <n v="0"/>
    <n v="980000"/>
    <n v="0"/>
    <n v="0"/>
    <n v="980000"/>
    <n v="844480"/>
    <n v="280000"/>
    <n v="0"/>
    <m/>
    <n v="0"/>
    <n v="1124480"/>
    <n v="-888520"/>
    <n v="-188520"/>
    <n v="-0.2232379689276241"/>
    <n v="-700000"/>
    <n v="-2.5"/>
    <s v="Rekapan 26-1 Juni 2025.xlsx"/>
  </r>
  <r>
    <x v="0"/>
    <x v="11"/>
    <x v="15"/>
    <x v="1"/>
    <x v="0"/>
    <x v="2"/>
    <x v="44"/>
    <x v="11"/>
    <x v="3"/>
    <x v="100"/>
    <n v="4"/>
    <n v="133"/>
    <n v="1505000"/>
    <n v="133000"/>
    <n v="555000"/>
    <n v="0"/>
    <m/>
    <n v="0"/>
    <m/>
    <n v="688000"/>
    <n v="0"/>
    <n v="980000"/>
    <n v="0"/>
    <n v="0"/>
    <n v="980000"/>
    <n v="451500"/>
    <n v="210000"/>
    <n v="0"/>
    <m/>
    <n v="0"/>
    <n v="661500"/>
    <n v="-1006500"/>
    <n v="-236500"/>
    <n v="-0.52380952380952384"/>
    <n v="-770000"/>
    <n v="-3.6666666666666665"/>
    <s v="Rekapan 26-1 Juni 2025.xlsx"/>
  </r>
  <r>
    <x v="0"/>
    <x v="0"/>
    <x v="9"/>
    <x v="0"/>
    <x v="1"/>
    <x v="3"/>
    <x v="45"/>
    <x v="10"/>
    <x v="2"/>
    <x v="65"/>
    <n v="22"/>
    <n v="4783"/>
    <n v="43594000"/>
    <n v="2220000"/>
    <n v="3020000"/>
    <n v="1180000"/>
    <m/>
    <n v="0"/>
    <m/>
    <n v="6420000"/>
    <n v="840000"/>
    <n v="4515000"/>
    <n v="0"/>
    <n v="0"/>
    <n v="5355000"/>
    <n v="9154740"/>
    <n v="3850000"/>
    <n v="1864800"/>
    <m/>
    <n v="0"/>
    <n v="14869540"/>
    <n v="3094540"/>
    <n v="1894740"/>
    <n v="0.2069681935259767"/>
    <n v="1199800"/>
    <n v="0.20994610485056345"/>
    <m/>
  </r>
  <r>
    <x v="0"/>
    <x v="0"/>
    <x v="10"/>
    <x v="0"/>
    <x v="1"/>
    <x v="4"/>
    <x v="45"/>
    <x v="10"/>
    <x v="2"/>
    <x v="65"/>
    <n v="13"/>
    <n v="3966"/>
    <n v="35600000"/>
    <n v="2878940"/>
    <n v="1930000"/>
    <n v="600000"/>
    <m/>
    <n v="0"/>
    <m/>
    <n v="5408940"/>
    <n v="0"/>
    <n v="2485000"/>
    <n v="0"/>
    <n v="0"/>
    <n v="2485000"/>
    <n v="7476000"/>
    <n v="2275000"/>
    <n v="1080000.25"/>
    <m/>
    <n v="0"/>
    <n v="10831000.25"/>
    <n v="2937060.25"/>
    <n v="2067060"/>
    <n v="0.2764927768860353"/>
    <n v="870000.25"/>
    <n v="0.25931451122842686"/>
    <m/>
  </r>
  <r>
    <x v="0"/>
    <x v="9"/>
    <x v="13"/>
    <x v="1"/>
    <x v="1"/>
    <x v="3"/>
    <x v="45"/>
    <x v="10"/>
    <x v="2"/>
    <x v="65"/>
    <n v="3"/>
    <n v="216"/>
    <n v="1841500"/>
    <n v="60000"/>
    <n v="36000"/>
    <n v="60000"/>
    <m/>
    <n v="0"/>
    <m/>
    <n v="156000"/>
    <n v="0"/>
    <n v="385000"/>
    <n v="0"/>
    <n v="0"/>
    <n v="385000"/>
    <n v="552450"/>
    <n v="275000"/>
    <n v="0"/>
    <m/>
    <n v="0"/>
    <n v="827450"/>
    <n v="286450"/>
    <n v="396450"/>
    <n v="0.71762150420852566"/>
    <n v="-110000"/>
    <n v="-0.4"/>
    <m/>
  </r>
  <r>
    <x v="0"/>
    <x v="4"/>
    <x v="5"/>
    <x v="0"/>
    <x v="1"/>
    <x v="3"/>
    <x v="45"/>
    <x v="10"/>
    <x v="2"/>
    <x v="65"/>
    <n v="1"/>
    <n v="58"/>
    <n v="359000"/>
    <n v="0"/>
    <n v="40000"/>
    <n v="0"/>
    <m/>
    <n v="0"/>
    <m/>
    <n v="40000"/>
    <n v="0"/>
    <n v="0"/>
    <n v="0"/>
    <n v="0"/>
    <n v="0"/>
    <n v="125649.99999999999"/>
    <n v="0"/>
    <n v="0"/>
    <m/>
    <n v="0"/>
    <n v="125649.99999999999"/>
    <n v="85649.999999999985"/>
    <n v="85649.999999999985"/>
    <n v="0.68165539196179858"/>
    <n v="0"/>
    <n v="0"/>
    <m/>
  </r>
  <r>
    <x v="0"/>
    <x v="4"/>
    <x v="5"/>
    <x v="0"/>
    <x v="1"/>
    <x v="4"/>
    <x v="45"/>
    <x v="10"/>
    <x v="2"/>
    <x v="65"/>
    <n v="2"/>
    <n v="53"/>
    <n v="482000"/>
    <n v="0"/>
    <n v="20000"/>
    <n v="0"/>
    <m/>
    <n v="0"/>
    <m/>
    <n v="20000"/>
    <n v="0"/>
    <n v="140000"/>
    <n v="0"/>
    <n v="0"/>
    <n v="140000"/>
    <n v="168700"/>
    <n v="100000"/>
    <n v="0"/>
    <m/>
    <n v="0"/>
    <n v="268700"/>
    <n v="108700"/>
    <n v="148700"/>
    <n v="0.8814463544754001"/>
    <n v="-40000"/>
    <n v="-0.4"/>
    <m/>
  </r>
  <r>
    <x v="0"/>
    <x v="0"/>
    <x v="0"/>
    <x v="0"/>
    <x v="0"/>
    <x v="0"/>
    <x v="45"/>
    <x v="10"/>
    <x v="2"/>
    <x v="65"/>
    <n v="275"/>
    <n v="90194"/>
    <n v="788438000"/>
    <n v="90190000"/>
    <n v="62675000"/>
    <n v="0"/>
    <m/>
    <n v="0"/>
    <m/>
    <n v="152865000"/>
    <n v="1025000"/>
    <n v="65940000"/>
    <n v="0"/>
    <n v="648064.51612903224"/>
    <n v="67613064.516129032"/>
    <n v="181340740"/>
    <n v="33912000"/>
    <n v="35927999.625"/>
    <m/>
    <n v="0"/>
    <n v="251180739.625"/>
    <n v="30702675.108870983"/>
    <n v="26802675.483870968"/>
    <n v="0.14780283505995934"/>
    <n v="3899999.625"/>
    <n v="5.5841919329048105E-2"/>
    <m/>
  </r>
  <r>
    <x v="0"/>
    <x v="0"/>
    <x v="1"/>
    <x v="0"/>
    <x v="0"/>
    <x v="1"/>
    <x v="45"/>
    <x v="10"/>
    <x v="2"/>
    <x v="65"/>
    <n v="23"/>
    <n v="7686"/>
    <n v="67626000"/>
    <n v="7685000"/>
    <n v="5325000"/>
    <n v="0"/>
    <m/>
    <n v="0"/>
    <m/>
    <n v="13010000"/>
    <n v="225000"/>
    <n v="5530000"/>
    <n v="0"/>
    <n v="411870.96774193551"/>
    <n v="6166870.9677419355"/>
    <n v="15553980"/>
    <n v="2844000"/>
    <n v="3119999.75"/>
    <m/>
    <n v="0"/>
    <n v="21517979.75"/>
    <n v="2341108.7822580636"/>
    <n v="1907109.0322580645"/>
    <n v="0.12261228523233697"/>
    <n v="433999.75"/>
    <n v="7.2769914183849524E-2"/>
    <m/>
  </r>
  <r>
    <x v="0"/>
    <x v="2"/>
    <x v="3"/>
    <x v="1"/>
    <x v="0"/>
    <x v="2"/>
    <x v="45"/>
    <x v="10"/>
    <x v="2"/>
    <x v="65"/>
    <n v="4"/>
    <n v="838"/>
    <n v="6764000"/>
    <n v="838000"/>
    <n v="750000"/>
    <n v="0"/>
    <m/>
    <n v="0"/>
    <m/>
    <n v="1588000"/>
    <n v="0"/>
    <n v="980000"/>
    <n v="0"/>
    <n v="0"/>
    <n v="980000"/>
    <n v="1352800"/>
    <n v="280000"/>
    <n v="575000"/>
    <m/>
    <n v="0"/>
    <n v="2207800"/>
    <n v="-360200"/>
    <n v="-235200"/>
    <n v="-0.17386162034299232"/>
    <n v="-125000"/>
    <n v="-0.14619883040935672"/>
    <m/>
  </r>
  <r>
    <x v="0"/>
    <x v="6"/>
    <x v="7"/>
    <x v="1"/>
    <x v="0"/>
    <x v="2"/>
    <x v="45"/>
    <x v="10"/>
    <x v="2"/>
    <x v="65"/>
    <n v="1"/>
    <n v="81"/>
    <n v="750000"/>
    <n v="81000"/>
    <n v="150000"/>
    <n v="0"/>
    <m/>
    <n v="0"/>
    <m/>
    <n v="231000"/>
    <n v="0"/>
    <n v="245000"/>
    <n v="0"/>
    <n v="0"/>
    <n v="245000"/>
    <n v="150000"/>
    <n v="70000"/>
    <n v="150000"/>
    <m/>
    <n v="0"/>
    <n v="370000"/>
    <n v="-106000"/>
    <n v="-81000"/>
    <n v="-0.54"/>
    <n v="-25000"/>
    <n v="-0.11363636363636363"/>
    <m/>
  </r>
  <r>
    <x v="0"/>
    <x v="4"/>
    <x v="5"/>
    <x v="0"/>
    <x v="0"/>
    <x v="2"/>
    <x v="45"/>
    <x v="10"/>
    <x v="2"/>
    <x v="65"/>
    <n v="1"/>
    <n v="24"/>
    <n v="203000"/>
    <n v="24000"/>
    <n v="50000"/>
    <n v="0"/>
    <m/>
    <n v="0"/>
    <m/>
    <n v="74000"/>
    <n v="0"/>
    <n v="245000"/>
    <n v="0"/>
    <n v="0"/>
    <n v="245000"/>
    <n v="60900"/>
    <n v="70000"/>
    <n v="0"/>
    <m/>
    <n v="0"/>
    <n v="130900"/>
    <n v="-188100"/>
    <n v="-13100"/>
    <n v="-0.21510673234811165"/>
    <n v="-175000"/>
    <n v="-2.5"/>
    <m/>
  </r>
  <r>
    <x v="0"/>
    <x v="7"/>
    <x v="8"/>
    <x v="1"/>
    <x v="0"/>
    <x v="2"/>
    <x v="45"/>
    <x v="10"/>
    <x v="2"/>
    <x v="65"/>
    <n v="2"/>
    <n v="171"/>
    <n v="1554000"/>
    <n v="171000"/>
    <n v="225000"/>
    <n v="0"/>
    <m/>
    <n v="0"/>
    <m/>
    <n v="396000"/>
    <n v="0"/>
    <n v="490000"/>
    <n v="0"/>
    <n v="0"/>
    <n v="490000"/>
    <n v="310800"/>
    <n v="130000"/>
    <n v="225000"/>
    <m/>
    <n v="0"/>
    <n v="665800"/>
    <n v="-220200"/>
    <n v="-85200"/>
    <n v="-0.27413127413127414"/>
    <n v="-135000"/>
    <n v="-0.38028169014084506"/>
    <m/>
  </r>
  <r>
    <x v="0"/>
    <x v="10"/>
    <x v="14"/>
    <x v="1"/>
    <x v="0"/>
    <x v="2"/>
    <x v="45"/>
    <x v="10"/>
    <x v="2"/>
    <x v="65"/>
    <n v="4"/>
    <n v="386"/>
    <n v="2516000"/>
    <n v="386000"/>
    <n v="580000"/>
    <n v="0"/>
    <m/>
    <n v="0"/>
    <m/>
    <n v="966000"/>
    <n v="0"/>
    <n v="980000"/>
    <n v="0"/>
    <n v="0"/>
    <n v="980000"/>
    <n v="729640"/>
    <n v="280000"/>
    <n v="0"/>
    <m/>
    <n v="0"/>
    <n v="1009640"/>
    <n v="-936360"/>
    <n v="-236360"/>
    <n v="-0.32394057343347404"/>
    <n v="-700000"/>
    <n v="-2.5"/>
    <m/>
  </r>
  <r>
    <x v="0"/>
    <x v="0"/>
    <x v="0"/>
    <x v="0"/>
    <x v="0"/>
    <x v="0"/>
    <x v="46"/>
    <x v="10"/>
    <x v="1"/>
    <x v="64"/>
    <n v="271"/>
    <n v="84711"/>
    <n v="762978000"/>
    <n v="88544685"/>
    <n v="66732500"/>
    <n v="0"/>
    <m/>
    <n v="0"/>
    <m/>
    <n v="155277185"/>
    <n v="2050000"/>
    <n v="65345000"/>
    <n v="0"/>
    <n v="648064.51612903224"/>
    <n v="68043064.516129032"/>
    <n v="198374280"/>
    <n v="46675000"/>
    <n v="0"/>
    <m/>
    <n v="0"/>
    <n v="245049280"/>
    <n v="21729030.483870983"/>
    <n v="40399030.483870968"/>
    <n v="0.20365054624959933"/>
    <n v="-18670000"/>
    <n v="-0.4"/>
    <s v="Rekapan 9-15 Juni 2025.xlsx"/>
  </r>
  <r>
    <x v="0"/>
    <x v="0"/>
    <x v="1"/>
    <x v="0"/>
    <x v="0"/>
    <x v="1"/>
    <x v="46"/>
    <x v="10"/>
    <x v="1"/>
    <x v="64"/>
    <n v="23"/>
    <n v="8082"/>
    <n v="70808000"/>
    <n v="8406454"/>
    <n v="6382500"/>
    <n v="0"/>
    <m/>
    <n v="0"/>
    <m/>
    <n v="14788954"/>
    <n v="450000"/>
    <n v="5635000"/>
    <n v="0"/>
    <n v="411870.96774193551"/>
    <n v="6496870.9677419355"/>
    <n v="18410080"/>
    <n v="4025000"/>
    <n v="0"/>
    <m/>
    <n v="0"/>
    <n v="22435080"/>
    <n v="1149255.0322580636"/>
    <n v="2759255.0322580645"/>
    <n v="0.14987740586993997"/>
    <n v="-1610000"/>
    <n v="-0.4"/>
    <s v="Rekapan 9-15 Juni 2025.xlsx"/>
  </r>
  <r>
    <x v="0"/>
    <x v="2"/>
    <x v="3"/>
    <x v="1"/>
    <x v="0"/>
    <x v="2"/>
    <x v="46"/>
    <x v="10"/>
    <x v="1"/>
    <x v="64"/>
    <n v="4"/>
    <n v="744"/>
    <n v="6432000"/>
    <n v="744000"/>
    <n v="725000"/>
    <n v="0"/>
    <m/>
    <n v="0"/>
    <m/>
    <n v="1469000"/>
    <n v="0"/>
    <n v="980000"/>
    <n v="0"/>
    <n v="0"/>
    <n v="980000"/>
    <n v="1286400"/>
    <n v="280000"/>
    <n v="575000"/>
    <m/>
    <n v="0"/>
    <n v="2141400"/>
    <n v="-307600"/>
    <n v="-182600"/>
    <n v="-0.14194651741293532"/>
    <n v="-125000"/>
    <n v="-0.14619883040935672"/>
    <s v="Rekapan 9-15 Juni 2025.xlsx"/>
  </r>
  <r>
    <x v="0"/>
    <x v="6"/>
    <x v="7"/>
    <x v="1"/>
    <x v="0"/>
    <x v="2"/>
    <x v="46"/>
    <x v="10"/>
    <x v="1"/>
    <x v="64"/>
    <n v="4"/>
    <n v="314"/>
    <n v="2918000"/>
    <n v="314000"/>
    <n v="425000"/>
    <n v="0"/>
    <m/>
    <n v="0"/>
    <m/>
    <n v="739000"/>
    <n v="0"/>
    <n v="700000"/>
    <n v="0"/>
    <n v="0"/>
    <n v="700000"/>
    <n v="583600"/>
    <n v="200000"/>
    <n v="425000"/>
    <m/>
    <n v="0"/>
    <n v="1208600"/>
    <n v="-230400"/>
    <n v="-155400"/>
    <n v="-0.26627827278958188"/>
    <n v="-75000"/>
    <n v="-0.12"/>
    <s v="Rekapan 9-15 Juni 2025.xlsx"/>
  </r>
  <r>
    <x v="0"/>
    <x v="12"/>
    <x v="16"/>
    <x v="1"/>
    <x v="0"/>
    <x v="2"/>
    <x v="46"/>
    <x v="10"/>
    <x v="1"/>
    <x v="64"/>
    <n v="9"/>
    <n v="774"/>
    <n v="7320000"/>
    <n v="774000"/>
    <n v="850000"/>
    <n v="0"/>
    <m/>
    <n v="0"/>
    <m/>
    <n v="1624000"/>
    <n v="0"/>
    <n v="1365000"/>
    <n v="0"/>
    <n v="0"/>
    <n v="1365000"/>
    <n v="2196000"/>
    <n v="390000"/>
    <n v="0"/>
    <m/>
    <n v="0"/>
    <n v="2586000"/>
    <n v="-403000"/>
    <n v="572000"/>
    <n v="0.26047358834244078"/>
    <n v="-975000"/>
    <n v="-2.5"/>
    <s v="Rekapan 9-15 Juni 2025.xlsx"/>
  </r>
  <r>
    <x v="0"/>
    <x v="7"/>
    <x v="8"/>
    <x v="1"/>
    <x v="0"/>
    <x v="2"/>
    <x v="46"/>
    <x v="10"/>
    <x v="1"/>
    <x v="64"/>
    <n v="2"/>
    <n v="140"/>
    <n v="1270000"/>
    <n v="140000"/>
    <n v="200000"/>
    <n v="0"/>
    <m/>
    <n v="0"/>
    <m/>
    <n v="340000"/>
    <n v="0"/>
    <n v="490000"/>
    <n v="0"/>
    <n v="0"/>
    <n v="490000"/>
    <n v="254000"/>
    <n v="130000"/>
    <n v="200000"/>
    <m/>
    <n v="0"/>
    <n v="584000"/>
    <n v="-246000"/>
    <n v="-86000"/>
    <n v="-0.33858267716535434"/>
    <n v="-160000"/>
    <n v="-0.48484848484848486"/>
    <s v="Rekapan 9-15 Juni 2025.xlsx"/>
  </r>
  <r>
    <x v="0"/>
    <x v="10"/>
    <x v="14"/>
    <x v="1"/>
    <x v="0"/>
    <x v="2"/>
    <x v="46"/>
    <x v="10"/>
    <x v="1"/>
    <x v="64"/>
    <n v="3"/>
    <n v="367"/>
    <n v="2454000"/>
    <n v="367000"/>
    <n v="375000"/>
    <n v="0"/>
    <m/>
    <n v="0"/>
    <m/>
    <n v="742000"/>
    <n v="0"/>
    <n v="735000"/>
    <n v="0"/>
    <n v="0"/>
    <n v="735000"/>
    <n v="711660"/>
    <n v="210000"/>
    <n v="0"/>
    <m/>
    <n v="0"/>
    <n v="921660"/>
    <n v="-555340"/>
    <n v="-30340"/>
    <n v="-4.2632717870893407E-2"/>
    <n v="-525000"/>
    <n v="-2.5"/>
    <s v="Rekapan 9-15 Juni 2025.xlsx"/>
  </r>
  <r>
    <x v="0"/>
    <x v="0"/>
    <x v="9"/>
    <x v="0"/>
    <x v="1"/>
    <x v="3"/>
    <x v="46"/>
    <x v="10"/>
    <x v="1"/>
    <x v="64"/>
    <n v="22"/>
    <n v="4124"/>
    <n v="37134000"/>
    <n v="3986840"/>
    <n v="2715000"/>
    <n v="930000"/>
    <m/>
    <n v="0"/>
    <m/>
    <n v="7631840"/>
    <n v="840000"/>
    <n v="4060000"/>
    <n v="0"/>
    <n v="0"/>
    <n v="4900000"/>
    <n v="9654840"/>
    <n v="3850000"/>
    <n v="0"/>
    <m/>
    <n v="0"/>
    <n v="13504840"/>
    <n v="973000"/>
    <n v="1183000"/>
    <n v="0.12252921850595141"/>
    <n v="-210000"/>
    <n v="-5.4545454545454543E-2"/>
    <m/>
  </r>
  <r>
    <x v="0"/>
    <x v="0"/>
    <x v="10"/>
    <x v="0"/>
    <x v="1"/>
    <x v="4"/>
    <x v="46"/>
    <x v="10"/>
    <x v="1"/>
    <x v="64"/>
    <n v="12"/>
    <n v="3303"/>
    <n v="22072000"/>
    <n v="1871060"/>
    <n v="1670000"/>
    <n v="480000"/>
    <m/>
    <n v="0"/>
    <m/>
    <n v="4021060"/>
    <n v="0"/>
    <n v="2135000"/>
    <n v="0"/>
    <n v="0"/>
    <n v="2135000"/>
    <n v="5738720"/>
    <n v="2100000"/>
    <n v="0"/>
    <m/>
    <n v="0"/>
    <n v="7838720"/>
    <n v="1682660"/>
    <n v="1717660"/>
    <n v="0.2993106476705607"/>
    <n v="-35000"/>
    <n v="-1.6666666666666666E-2"/>
    <m/>
  </r>
  <r>
    <x v="0"/>
    <x v="9"/>
    <x v="13"/>
    <x v="1"/>
    <x v="1"/>
    <x v="3"/>
    <x v="46"/>
    <x v="10"/>
    <x v="1"/>
    <x v="64"/>
    <n v="2"/>
    <n v="156"/>
    <n v="1336000"/>
    <n v="0"/>
    <n v="140000"/>
    <n v="0"/>
    <m/>
    <n v="0"/>
    <m/>
    <n v="140000"/>
    <n v="0"/>
    <n v="245000"/>
    <n v="0"/>
    <n v="0"/>
    <n v="245000"/>
    <n v="400800"/>
    <n v="175000"/>
    <n v="0"/>
    <m/>
    <n v="0"/>
    <n v="575800"/>
    <n v="190800"/>
    <n v="260800"/>
    <n v="0.65069860279441116"/>
    <n v="-70000"/>
    <n v="-0.4"/>
    <m/>
  </r>
  <r>
    <x v="0"/>
    <x v="4"/>
    <x v="5"/>
    <x v="0"/>
    <x v="1"/>
    <x v="3"/>
    <x v="46"/>
    <x v="10"/>
    <x v="1"/>
    <x v="64"/>
    <n v="1"/>
    <n v="24"/>
    <n v="136000"/>
    <n v="0"/>
    <n v="0"/>
    <n v="0"/>
    <m/>
    <n v="0"/>
    <m/>
    <n v="0"/>
    <n v="0"/>
    <n v="0"/>
    <n v="0"/>
    <n v="0"/>
    <n v="0"/>
    <n v="47600"/>
    <n v="0"/>
    <n v="0"/>
    <m/>
    <n v="0"/>
    <n v="47600"/>
    <n v="47600"/>
    <n v="47600"/>
    <n v="1"/>
    <n v="0"/>
    <n v="0"/>
    <m/>
  </r>
  <r>
    <x v="0"/>
    <x v="4"/>
    <x v="5"/>
    <x v="0"/>
    <x v="1"/>
    <x v="4"/>
    <x v="46"/>
    <x v="10"/>
    <x v="1"/>
    <x v="64"/>
    <n v="2"/>
    <n v="72"/>
    <n v="638000"/>
    <n v="36000"/>
    <n v="40000"/>
    <n v="60000"/>
    <m/>
    <n v="0"/>
    <m/>
    <n v="136000"/>
    <n v="0"/>
    <n v="385000"/>
    <n v="0"/>
    <n v="0"/>
    <n v="385000"/>
    <n v="223300"/>
    <n v="275000"/>
    <n v="0"/>
    <m/>
    <n v="0"/>
    <n v="498300"/>
    <n v="-22700"/>
    <n v="87300"/>
    <n v="0.3909538737124944"/>
    <n v="-110000"/>
    <n v="-0.4"/>
    <m/>
  </r>
  <r>
    <x v="0"/>
    <x v="0"/>
    <x v="9"/>
    <x v="0"/>
    <x v="1"/>
    <x v="3"/>
    <x v="47"/>
    <x v="10"/>
    <x v="0"/>
    <x v="63"/>
    <n v="28"/>
    <n v="4587"/>
    <n v="41672000"/>
    <n v="3798620"/>
    <n v="470000"/>
    <n v="0"/>
    <m/>
    <n v="0"/>
    <m/>
    <n v="4268620"/>
    <n v="840000"/>
    <n v="4970000"/>
    <n v="0"/>
    <n v="0"/>
    <n v="5810000"/>
    <n v="10834720"/>
    <n v="4075000"/>
    <n v="0"/>
    <m/>
    <n v="75000"/>
    <n v="14984720"/>
    <n v="4906100"/>
    <n v="5801100"/>
    <n v="0.53173683650909465"/>
    <n v="-895000"/>
    <n v="-0.21963190184049081"/>
    <m/>
  </r>
  <r>
    <x v="0"/>
    <x v="0"/>
    <x v="10"/>
    <x v="0"/>
    <x v="1"/>
    <x v="4"/>
    <x v="47"/>
    <x v="10"/>
    <x v="0"/>
    <x v="63"/>
    <n v="12"/>
    <n v="3323"/>
    <n v="29730000"/>
    <n v="3349940"/>
    <n v="2625000"/>
    <n v="0"/>
    <m/>
    <n v="0"/>
    <m/>
    <n v="5974940"/>
    <n v="0"/>
    <n v="2240000"/>
    <n v="0"/>
    <n v="0"/>
    <n v="2240000"/>
    <n v="7729800"/>
    <n v="1900000"/>
    <n v="0"/>
    <m/>
    <n v="75000"/>
    <n v="9704800"/>
    <n v="1489860"/>
    <n v="1829860"/>
    <n v="0.23445315703157033"/>
    <n v="-340000"/>
    <n v="-0.17894736842105263"/>
    <m/>
  </r>
  <r>
    <x v="0"/>
    <x v="0"/>
    <x v="0"/>
    <x v="0"/>
    <x v="0"/>
    <x v="0"/>
    <x v="47"/>
    <x v="10"/>
    <x v="0"/>
    <x v="63"/>
    <n v="263"/>
    <n v="79581"/>
    <n v="694238000"/>
    <n v="78395193"/>
    <n v="61855000"/>
    <n v="0"/>
    <m/>
    <n v="0"/>
    <m/>
    <n v="140250193"/>
    <n v="1675000"/>
    <n v="64435000"/>
    <n v="0"/>
    <n v="844445"/>
    <n v="66954445"/>
    <n v="180501880"/>
    <n v="32800000"/>
    <n v="0"/>
    <m/>
    <n v="0"/>
    <n v="213301880"/>
    <n v="6097242"/>
    <n v="37732242"/>
    <n v="0.20904071470058927"/>
    <n v="-31635000"/>
    <n v="-0.96448170731707317"/>
    <s v="Rekapan 16-22 Juni 2025.xlsx"/>
  </r>
  <r>
    <x v="0"/>
    <x v="0"/>
    <x v="1"/>
    <x v="0"/>
    <x v="0"/>
    <x v="1"/>
    <x v="47"/>
    <x v="10"/>
    <x v="0"/>
    <x v="63"/>
    <n v="22"/>
    <n v="6354"/>
    <n v="56013000"/>
    <n v="6323990"/>
    <n v="5082500"/>
    <n v="0"/>
    <m/>
    <n v="0"/>
    <m/>
    <n v="11406490"/>
    <n v="0"/>
    <n v="5390000"/>
    <n v="0"/>
    <n v="425600"/>
    <n v="5815600"/>
    <n v="14563380"/>
    <n v="2700000"/>
    <n v="0"/>
    <m/>
    <n v="0"/>
    <n v="17263380"/>
    <n v="41290"/>
    <n v="2731290"/>
    <n v="0.18754506165464335"/>
    <n v="-2690000"/>
    <n v="-0.99629629629629635"/>
    <s v="Rekapan 16-22 Juni 2025.xlsx"/>
  </r>
  <r>
    <x v="0"/>
    <x v="2"/>
    <x v="3"/>
    <x v="1"/>
    <x v="0"/>
    <x v="2"/>
    <x v="47"/>
    <x v="10"/>
    <x v="0"/>
    <x v="63"/>
    <n v="5"/>
    <n v="816"/>
    <n v="6921000"/>
    <n v="816000"/>
    <n v="775000"/>
    <n v="0"/>
    <m/>
    <n v="0"/>
    <m/>
    <n v="1591000"/>
    <n v="0"/>
    <n v="1225000"/>
    <n v="0"/>
    <n v="0"/>
    <n v="1225000"/>
    <n v="1384200"/>
    <n v="350000"/>
    <n v="650000"/>
    <m/>
    <n v="0"/>
    <n v="2384200"/>
    <n v="-431800"/>
    <n v="-206800"/>
    <n v="-0.14940037566825604"/>
    <n v="-225000"/>
    <n v="-0.22500000000000001"/>
    <s v="Rekapan 16-22 Juni 2025.xlsx"/>
  </r>
  <r>
    <x v="0"/>
    <x v="6"/>
    <x v="7"/>
    <x v="1"/>
    <x v="0"/>
    <x v="2"/>
    <x v="47"/>
    <x v="10"/>
    <x v="0"/>
    <x v="63"/>
    <n v="6"/>
    <n v="493"/>
    <n v="4512000"/>
    <n v="493000"/>
    <n v="775000"/>
    <n v="0"/>
    <m/>
    <n v="0"/>
    <m/>
    <n v="1268000"/>
    <n v="0"/>
    <n v="1260000"/>
    <n v="0"/>
    <n v="0"/>
    <n v="1260000"/>
    <n v="902400"/>
    <n v="360000"/>
    <n v="775000"/>
    <m/>
    <n v="0"/>
    <n v="2037400"/>
    <n v="-490600"/>
    <n v="-365600"/>
    <n v="-0.40514184397163122"/>
    <n v="-125000"/>
    <n v="-0.11013215859030837"/>
    <s v="Rekapan 16-22 Juni 2025.xlsx"/>
  </r>
  <r>
    <x v="0"/>
    <x v="12"/>
    <x v="16"/>
    <x v="1"/>
    <x v="0"/>
    <x v="2"/>
    <x v="47"/>
    <x v="10"/>
    <x v="0"/>
    <x v="63"/>
    <n v="2"/>
    <n v="107"/>
    <n v="912000"/>
    <n v="107000"/>
    <n v="200000"/>
    <n v="0"/>
    <m/>
    <n v="0"/>
    <m/>
    <n v="307000"/>
    <n v="0"/>
    <n v="490000"/>
    <n v="311500"/>
    <n v="0"/>
    <n v="801500"/>
    <n v="228000"/>
    <n v="140000"/>
    <n v="0"/>
    <m/>
    <n v="0"/>
    <n v="368000"/>
    <n v="-740500"/>
    <n v="-390500"/>
    <n v="-1.7127192982456141"/>
    <n v="-350000"/>
    <n v="-2.5"/>
    <s v="Rekapan 16-22 Juni 2025.xlsx"/>
  </r>
  <r>
    <x v="0"/>
    <x v="7"/>
    <x v="8"/>
    <x v="1"/>
    <x v="0"/>
    <x v="2"/>
    <x v="47"/>
    <x v="10"/>
    <x v="0"/>
    <x v="63"/>
    <n v="3"/>
    <n v="360"/>
    <n v="2312000"/>
    <n v="360000"/>
    <n v="350000"/>
    <n v="0"/>
    <m/>
    <n v="0"/>
    <m/>
    <n v="710000"/>
    <n v="0"/>
    <n v="735000"/>
    <n v="0"/>
    <n v="0"/>
    <n v="735000"/>
    <n v="462400"/>
    <n v="210000"/>
    <n v="200000"/>
    <m/>
    <n v="0"/>
    <n v="872400"/>
    <n v="-572600"/>
    <n v="-247600"/>
    <n v="-0.5354671280276817"/>
    <n v="-325000"/>
    <n v="-0.79268292682926833"/>
    <s v="Rekapan 16-22 Juni 2025.xlsx"/>
  </r>
  <r>
    <x v="0"/>
    <x v="10"/>
    <x v="14"/>
    <x v="1"/>
    <x v="0"/>
    <x v="2"/>
    <x v="47"/>
    <x v="10"/>
    <x v="0"/>
    <x v="63"/>
    <n v="12"/>
    <n v="788"/>
    <n v="7478000"/>
    <n v="788000"/>
    <n v="1125000"/>
    <n v="0"/>
    <m/>
    <n v="0"/>
    <m/>
    <n v="1913000"/>
    <n v="0"/>
    <n v="2485000"/>
    <n v="0"/>
    <n v="0"/>
    <n v="2485000"/>
    <n v="2168620"/>
    <n v="710000"/>
    <n v="0"/>
    <m/>
    <n v="0"/>
    <n v="2878620"/>
    <n v="-1519380"/>
    <n v="255620"/>
    <n v="0.1178721952209239"/>
    <n v="-1775000"/>
    <n v="-2.5"/>
    <s v="Rekapan 16-22 Juni 2025.xlsx"/>
  </r>
  <r>
    <x v="0"/>
    <x v="0"/>
    <x v="9"/>
    <x v="0"/>
    <x v="1"/>
    <x v="3"/>
    <x v="48"/>
    <x v="10"/>
    <x v="4"/>
    <x v="101"/>
    <n v="26"/>
    <n v="4774"/>
    <n v="43492000"/>
    <n v="3958400"/>
    <n v="4857500"/>
    <n v="0"/>
    <m/>
    <n v="0"/>
    <m/>
    <n v="8815900"/>
    <n v="840000"/>
    <n v="4900000"/>
    <n v="0"/>
    <n v="0"/>
    <n v="5740000"/>
    <n v="11307920"/>
    <n v="385000"/>
    <n v="0"/>
    <m/>
    <n v="25000"/>
    <n v="11717920"/>
    <n v="-2837980"/>
    <n v="1677020"/>
    <n v="0.14797774977675657"/>
    <n v="-4515000"/>
    <n v="-11.727272727272727"/>
    <m/>
  </r>
  <r>
    <x v="0"/>
    <x v="0"/>
    <x v="10"/>
    <x v="0"/>
    <x v="1"/>
    <x v="4"/>
    <x v="48"/>
    <x v="10"/>
    <x v="4"/>
    <x v="101"/>
    <n v="18"/>
    <n v="4380"/>
    <n v="39202000"/>
    <n v="4183360"/>
    <n v="3792500"/>
    <n v="0"/>
    <m/>
    <n v="200000"/>
    <m/>
    <n v="8175860"/>
    <n v="0"/>
    <n v="3465000"/>
    <n v="0"/>
    <n v="0"/>
    <n v="3465000"/>
    <n v="10192520"/>
    <n v="2475000"/>
    <n v="0"/>
    <m/>
    <n v="25000"/>
    <n v="12692520"/>
    <n v="1051660"/>
    <n v="2041660"/>
    <n v="0.19981952567746381"/>
    <n v="-990000"/>
    <n v="-0.4"/>
    <m/>
  </r>
  <r>
    <x v="0"/>
    <x v="0"/>
    <x v="0"/>
    <x v="0"/>
    <x v="0"/>
    <x v="0"/>
    <x v="48"/>
    <x v="10"/>
    <x v="4"/>
    <x v="101"/>
    <n v="251"/>
    <n v="77330"/>
    <n v="675164000"/>
    <n v="78098600"/>
    <n v="58180000"/>
    <n v="25915000"/>
    <n v="2200000"/>
    <n v="6000000"/>
    <m/>
    <n v="170393600"/>
    <n v="1800000"/>
    <n v="61495000"/>
    <n v="0"/>
    <n v="844445"/>
    <n v="64139445"/>
    <n v="175542640"/>
    <n v="37400000"/>
    <n v="0"/>
    <m/>
    <m/>
    <n v="212942640"/>
    <n v="-21590405"/>
    <n v="2504595"/>
    <n v="1.426773005122858E-2"/>
    <n v="-24095000"/>
    <n v="-0.64425133689839575"/>
    <m/>
  </r>
  <r>
    <x v="0"/>
    <x v="0"/>
    <x v="1"/>
    <x v="0"/>
    <x v="0"/>
    <x v="1"/>
    <x v="48"/>
    <x v="10"/>
    <x v="4"/>
    <x v="101"/>
    <n v="20"/>
    <n v="6188"/>
    <n v="54026000"/>
    <n v="6336800"/>
    <n v="4675000"/>
    <n v="2506000"/>
    <m/>
    <n v="600000"/>
    <m/>
    <n v="14117800"/>
    <n v="375000"/>
    <n v="4900000"/>
    <n v="0"/>
    <n v="425600"/>
    <n v="5700600"/>
    <n v="14046760"/>
    <n v="2975000"/>
    <n v="0"/>
    <m/>
    <m/>
    <n v="17021760"/>
    <n v="-2796640"/>
    <n v="-871640"/>
    <n v="-6.2052743835589133E-2"/>
    <n v="-1925000"/>
    <n v="-0.6470588235294118"/>
    <m/>
  </r>
  <r>
    <x v="0"/>
    <x v="2"/>
    <x v="3"/>
    <x v="1"/>
    <x v="0"/>
    <x v="2"/>
    <x v="48"/>
    <x v="10"/>
    <x v="4"/>
    <x v="101"/>
    <n v="5"/>
    <n v="811"/>
    <n v="6958000"/>
    <n v="881000"/>
    <n v="625000"/>
    <n v="0"/>
    <m/>
    <n v="0"/>
    <m/>
    <n v="1506000"/>
    <n v="0"/>
    <n v="1225000"/>
    <n v="0"/>
    <n v="0"/>
    <n v="1225000"/>
    <n v="1391600"/>
    <n v="350000"/>
    <n v="625000"/>
    <m/>
    <m/>
    <n v="2366600"/>
    <n v="-364400"/>
    <n v="-114400"/>
    <n v="-8.2207530899683814E-2"/>
    <n v="-250000"/>
    <n v="-0.25641025641025639"/>
    <m/>
  </r>
  <r>
    <x v="0"/>
    <x v="6"/>
    <x v="7"/>
    <x v="1"/>
    <x v="0"/>
    <x v="2"/>
    <x v="48"/>
    <x v="10"/>
    <x v="4"/>
    <x v="101"/>
    <n v="5"/>
    <n v="335"/>
    <n v="2605700"/>
    <n v="335000"/>
    <n v="600000"/>
    <n v="0"/>
    <m/>
    <n v="0"/>
    <m/>
    <n v="935000"/>
    <n v="0"/>
    <n v="1020500"/>
    <n v="0"/>
    <n v="0"/>
    <n v="1020500"/>
    <n v="521140"/>
    <n v="300000"/>
    <n v="600000"/>
    <m/>
    <m/>
    <n v="1421140"/>
    <n v="-534360"/>
    <n v="-413860"/>
    <n v="-0.79414360824346619"/>
    <n v="-120500"/>
    <n v="-0.13388888888888889"/>
    <m/>
  </r>
  <r>
    <x v="0"/>
    <x v="12"/>
    <x v="16"/>
    <x v="1"/>
    <x v="0"/>
    <x v="2"/>
    <x v="48"/>
    <x v="10"/>
    <x v="4"/>
    <x v="101"/>
    <n v="10"/>
    <n v="931"/>
    <n v="8954000"/>
    <n v="931000"/>
    <n v="1175000"/>
    <n v="0"/>
    <m/>
    <n v="0"/>
    <m/>
    <n v="2106000"/>
    <n v="0"/>
    <n v="2205000"/>
    <n v="0"/>
    <n v="0"/>
    <n v="2205000"/>
    <n v="2238500"/>
    <n v="630000"/>
    <n v="0"/>
    <m/>
    <m/>
    <n v="2868500"/>
    <n v="-1442500"/>
    <n v="132500"/>
    <n v="5.9191422827786465E-2"/>
    <n v="-1575000"/>
    <n v="-2.5"/>
    <m/>
  </r>
  <r>
    <x v="0"/>
    <x v="7"/>
    <x v="8"/>
    <x v="1"/>
    <x v="0"/>
    <x v="2"/>
    <x v="48"/>
    <x v="10"/>
    <x v="4"/>
    <x v="101"/>
    <n v="1"/>
    <n v="31"/>
    <n v="176000"/>
    <n v="31000"/>
    <n v="75000"/>
    <n v="0"/>
    <m/>
    <n v="0"/>
    <m/>
    <n v="106000"/>
    <n v="0"/>
    <n v="105000"/>
    <n v="0"/>
    <n v="0"/>
    <n v="105000"/>
    <n v="35200"/>
    <n v="30000"/>
    <n v="75000"/>
    <m/>
    <m/>
    <n v="140200"/>
    <n v="-70800"/>
    <n v="-70800"/>
    <n v="-2.0113636363636362"/>
    <n v="0"/>
    <n v="0"/>
    <m/>
  </r>
  <r>
    <x v="0"/>
    <x v="10"/>
    <x v="14"/>
    <x v="1"/>
    <x v="0"/>
    <x v="2"/>
    <x v="48"/>
    <x v="10"/>
    <x v="4"/>
    <x v="101"/>
    <n v="2"/>
    <n v="24"/>
    <n v="192000"/>
    <n v="24000"/>
    <n v="50000"/>
    <n v="0"/>
    <m/>
    <n v="0"/>
    <m/>
    <n v="74000"/>
    <n v="0"/>
    <n v="490000"/>
    <n v="0"/>
    <n v="0"/>
    <n v="490000"/>
    <n v="55679.999999999993"/>
    <n v="60000"/>
    <m/>
    <m/>
    <m/>
    <n v="115680"/>
    <n v="-448320"/>
    <n v="-18320.000000000007"/>
    <n v="-0.32902298850574729"/>
    <n v="-430000"/>
    <n v="-7.166666666666667"/>
    <m/>
  </r>
  <r>
    <x v="0"/>
    <x v="0"/>
    <x v="0"/>
    <x v="0"/>
    <x v="0"/>
    <x v="0"/>
    <x v="49"/>
    <x v="10"/>
    <x v="2"/>
    <x v="102"/>
    <n v="168"/>
    <n v="9391"/>
    <n v="81936000"/>
    <n v="10964142.857142856"/>
    <n v="7928928.5714285709"/>
    <n v="0"/>
    <m/>
    <n v="0"/>
    <m/>
    <n v="18893071.428571425"/>
    <n v="510714.28571428568"/>
    <n v="8610000"/>
    <n v="0"/>
    <n v="120634.98666666665"/>
    <n v="9241349.2723809518"/>
    <n v="21303360"/>
    <n v="5157142.8571428573"/>
    <n v="0"/>
    <m/>
    <n v="0"/>
    <n v="26460502.857142858"/>
    <n v="-1673917.843809519"/>
    <n v="1778939.2990476224"/>
    <n v="8.3505104314419057E-2"/>
    <n v="-3452857.1428571427"/>
    <n v="-0.66952908587257609"/>
    <m/>
  </r>
  <r>
    <x v="0"/>
    <x v="0"/>
    <x v="0"/>
    <x v="0"/>
    <x v="0"/>
    <x v="0"/>
    <x v="49"/>
    <x v="9"/>
    <x v="2"/>
    <x v="103"/>
    <n v="246"/>
    <n v="66026"/>
    <n v="577236000"/>
    <n v="65784857.142857142"/>
    <n v="47573571.428571425"/>
    <n v="0"/>
    <m/>
    <n v="0"/>
    <m/>
    <n v="113358428.57142857"/>
    <n v="3064285.7142857141"/>
    <n v="51660000"/>
    <n v="0"/>
    <n v="723809.91999999993"/>
    <n v="55448095.634285718"/>
    <n v="150081360"/>
    <n v="30942857.142857142"/>
    <n v="0"/>
    <m/>
    <n v="0"/>
    <n v="181024217.14285713"/>
    <n v="12217692.937142849"/>
    <n v="32934835.794285715"/>
    <n v="0.21944654415635437"/>
    <n v="-20717142.857142858"/>
    <n v="-0.6695290858725762"/>
    <m/>
  </r>
  <r>
    <x v="0"/>
    <x v="0"/>
    <x v="1"/>
    <x v="0"/>
    <x v="0"/>
    <x v="1"/>
    <x v="49"/>
    <x v="10"/>
    <x v="3"/>
    <x v="102"/>
    <n v="15"/>
    <n v="829"/>
    <n v="7360000"/>
    <n v="717228.57142857136"/>
    <n v="616428.57142857136"/>
    <n v="0"/>
    <m/>
    <n v="0"/>
    <m/>
    <n v="1333657.1428571427"/>
    <n v="21428.571428571428"/>
    <n v="700000"/>
    <n v="0"/>
    <n v="60800"/>
    <n v="782228.57142857148"/>
    <n v="1913600"/>
    <n v="417857.14285714284"/>
    <n v="0"/>
    <m/>
    <n v="0"/>
    <n v="2331457.1428571427"/>
    <n v="215571.42857142864"/>
    <n v="497714.2857142858"/>
    <n v="0.26009316770186341"/>
    <n v="-282142.85714285716"/>
    <n v="-0.67521367521367526"/>
    <m/>
  </r>
  <r>
    <x v="0"/>
    <x v="0"/>
    <x v="1"/>
    <x v="0"/>
    <x v="0"/>
    <x v="1"/>
    <x v="49"/>
    <x v="9"/>
    <x v="2"/>
    <x v="103"/>
    <n v="20"/>
    <n v="4359"/>
    <n v="38288000"/>
    <n v="4303371.4285714282"/>
    <n v="3698571.4285714282"/>
    <n v="0"/>
    <m/>
    <n v="0"/>
    <m/>
    <n v="8001942.8571428563"/>
    <n v="128571.42857142857"/>
    <n v="4200000"/>
    <n v="0"/>
    <n v="364800"/>
    <n v="4693371.4285714282"/>
    <n v="9954880"/>
    <n v="2507142.8571428568"/>
    <n v="0"/>
    <m/>
    <n v="0"/>
    <n v="12462022.857142856"/>
    <n v="-233291.42857142724"/>
    <n v="1459565.714285715"/>
    <n v="0.14661811235150149"/>
    <n v="-1692857.1428571432"/>
    <n v="-0.67521367521367548"/>
    <m/>
  </r>
  <r>
    <x v="0"/>
    <x v="2"/>
    <x v="3"/>
    <x v="1"/>
    <x v="0"/>
    <x v="2"/>
    <x v="48"/>
    <x v="10"/>
    <x v="3"/>
    <x v="102"/>
    <n v="2"/>
    <n v="44"/>
    <n v="404000"/>
    <n v="78602.857142857145"/>
    <n v="110000"/>
    <n v="0"/>
    <m/>
    <n v="0"/>
    <m/>
    <n v="188602.85714285716"/>
    <n v="0"/>
    <n v="155000"/>
    <n v="0"/>
    <n v="0"/>
    <n v="155000"/>
    <n v="80800"/>
    <n v="96428.57142857142"/>
    <n v="89285.714285714275"/>
    <m/>
    <n v="0"/>
    <n v="266514.28571428568"/>
    <n v="-77088.571428571478"/>
    <n v="-107802.85714285716"/>
    <n v="-1.3341937765205094"/>
    <n v="30714.285714285681"/>
    <n v="0.16538461538461524"/>
    <m/>
  </r>
  <r>
    <x v="0"/>
    <x v="2"/>
    <x v="3"/>
    <x v="1"/>
    <x v="0"/>
    <x v="2"/>
    <x v="49"/>
    <x v="9"/>
    <x v="2"/>
    <x v="103"/>
    <n v="5"/>
    <n v="747"/>
    <n v="6527000"/>
    <n v="471617.14285714284"/>
    <n v="660000"/>
    <n v="0"/>
    <m/>
    <n v="0"/>
    <m/>
    <n v="1131617.1428571427"/>
    <n v="0"/>
    <n v="930000"/>
    <n v="0"/>
    <n v="0"/>
    <n v="930000"/>
    <n v="1305400"/>
    <n v="578571.42857142852"/>
    <n v="535714.28571428568"/>
    <m/>
    <n v="0"/>
    <n v="2419685.7142857146"/>
    <n v="358068.57142857183"/>
    <n v="173782.85714285728"/>
    <n v="0.13312613539363971"/>
    <n v="184285.71428571409"/>
    <n v="0.16538461538461524"/>
    <m/>
  </r>
  <r>
    <x v="0"/>
    <x v="6"/>
    <x v="7"/>
    <x v="1"/>
    <x v="0"/>
    <x v="2"/>
    <x v="49"/>
    <x v="10"/>
    <x v="3"/>
    <x v="102"/>
    <n v="1"/>
    <n v="8"/>
    <n v="76000"/>
    <n v="6314.2857142857138"/>
    <n v="21428.571428571428"/>
    <n v="0"/>
    <m/>
    <n v="0"/>
    <m/>
    <n v="27742.857142857141"/>
    <n v="0"/>
    <n v="35000"/>
    <n v="0"/>
    <n v="0"/>
    <n v="35000"/>
    <n v="15200"/>
    <n v="25000"/>
    <n v="25000"/>
    <m/>
    <n v="0"/>
    <n v="65200"/>
    <n v="2457.1428571428551"/>
    <n v="-12542.857142857141"/>
    <n v="-0.82518796992481191"/>
    <n v="15000"/>
    <n v="0.3"/>
    <m/>
  </r>
  <r>
    <x v="0"/>
    <x v="6"/>
    <x v="7"/>
    <x v="1"/>
    <x v="0"/>
    <x v="2"/>
    <x v="49"/>
    <x v="9"/>
    <x v="2"/>
    <x v="103"/>
    <n v="1"/>
    <n v="88"/>
    <n v="808000"/>
    <n v="37885.714285714283"/>
    <n v="128571.42857142857"/>
    <n v="0"/>
    <m/>
    <n v="0"/>
    <m/>
    <n v="166457.14285714284"/>
    <n v="0"/>
    <n v="210000"/>
    <n v="0"/>
    <n v="0"/>
    <n v="210000"/>
    <n v="161600"/>
    <n v="125000"/>
    <n v="125000"/>
    <m/>
    <n v="0"/>
    <n v="411600"/>
    <n v="35142.857142857159"/>
    <n v="-4857.1428571428405"/>
    <n v="-3.0056577086279953E-2"/>
    <n v="40000"/>
    <n v="0.16"/>
    <m/>
  </r>
  <r>
    <x v="0"/>
    <x v="12"/>
    <x v="16"/>
    <x v="1"/>
    <x v="0"/>
    <x v="2"/>
    <x v="49"/>
    <x v="10"/>
    <x v="3"/>
    <x v="102"/>
    <n v="7"/>
    <n v="77"/>
    <n v="750000"/>
    <n v="45685.714285714283"/>
    <n v="139285.71428571429"/>
    <n v="0"/>
    <m/>
    <n v="0"/>
    <m/>
    <n v="184971.42857142858"/>
    <n v="0"/>
    <n v="315000"/>
    <n v="0"/>
    <n v="0"/>
    <n v="315000"/>
    <n v="187500"/>
    <n v="1157142.857142857"/>
    <n v="0"/>
    <m/>
    <n v="0"/>
    <n v="1344642.857142857"/>
    <n v="844671.42857142841"/>
    <n v="2528.5714285714203"/>
    <n v="1.3485714285714242E-2"/>
    <n v="842142.85714285704"/>
    <n v="0.72777777777777775"/>
    <m/>
  </r>
  <r>
    <x v="0"/>
    <x v="7"/>
    <x v="8"/>
    <x v="1"/>
    <x v="0"/>
    <x v="2"/>
    <x v="49"/>
    <x v="10"/>
    <x v="3"/>
    <x v="102"/>
    <n v="1"/>
    <n v="2"/>
    <n v="58666.666666666664"/>
    <n v="2000"/>
    <n v="30000"/>
    <n v="0"/>
    <m/>
    <n v="0"/>
    <m/>
    <n v="32000"/>
    <n v="0"/>
    <n v="35000"/>
    <n v="0"/>
    <n v="0"/>
    <n v="35000"/>
    <n v="11733.333333333334"/>
    <n v="10000"/>
    <n v="25000"/>
    <m/>
    <m/>
    <n v="46733.333333333336"/>
    <n v="-20266.666666666664"/>
    <n v="-20266.666666666664"/>
    <n v="-1.7272727272727271"/>
    <n v="0"/>
    <n v="0"/>
    <m/>
  </r>
  <r>
    <x v="0"/>
    <x v="12"/>
    <x v="16"/>
    <x v="1"/>
    <x v="0"/>
    <x v="2"/>
    <x v="49"/>
    <x v="9"/>
    <x v="2"/>
    <x v="103"/>
    <n v="9"/>
    <n v="595"/>
    <n v="5646000"/>
    <n v="274114.28571428568"/>
    <n v="835714.28571428568"/>
    <n v="0"/>
    <m/>
    <n v="0"/>
    <m/>
    <n v="1109828.5714285714"/>
    <n v="0"/>
    <n v="1890000"/>
    <n v="0"/>
    <n v="0"/>
    <n v="1890000"/>
    <n v="1411500"/>
    <n v="192857.14285714287"/>
    <n v="0"/>
    <m/>
    <n v="0"/>
    <n v="1604357.142857143"/>
    <n v="-1395471.4285714284"/>
    <n v="301671.42857142864"/>
    <n v="0.2137240018217702"/>
    <n v="-1697142.857142857"/>
    <n v="-8.7999999999999989"/>
    <m/>
  </r>
  <r>
    <x v="0"/>
    <x v="7"/>
    <x v="8"/>
    <x v="1"/>
    <x v="0"/>
    <x v="2"/>
    <x v="49"/>
    <x v="9"/>
    <x v="2"/>
    <x v="103"/>
    <n v="1"/>
    <n v="4"/>
    <n v="117333.33333333333"/>
    <n v="4000"/>
    <n v="50000"/>
    <n v="0"/>
    <m/>
    <n v="0"/>
    <m/>
    <n v="54000"/>
    <n v="0"/>
    <n v="70000"/>
    <n v="0"/>
    <n v="0"/>
    <n v="70000"/>
    <n v="23466.666666666668"/>
    <n v="60000"/>
    <n v="50000"/>
    <m/>
    <n v="0"/>
    <n v="133466.66666666669"/>
    <n v="9466.6666666666861"/>
    <n v="-30533.333333333332"/>
    <n v="-1.3011363636363635"/>
    <n v="40000"/>
    <n v="0.36363636363636365"/>
    <m/>
  </r>
  <r>
    <x v="0"/>
    <x v="0"/>
    <x v="9"/>
    <x v="0"/>
    <x v="1"/>
    <x v="3"/>
    <x v="49"/>
    <x v="10"/>
    <x v="2"/>
    <x v="102"/>
    <n v="25"/>
    <n v="558"/>
    <n v="5064000"/>
    <n v="293400"/>
    <n v="475000"/>
    <n v="0"/>
    <m/>
    <n v="0"/>
    <m/>
    <n v="768400"/>
    <n v="120000"/>
    <n v="665000"/>
    <n v="0"/>
    <n v="0"/>
    <n v="785000"/>
    <n v="1316640"/>
    <n v="475000"/>
    <n v="0"/>
    <m/>
    <n v="0"/>
    <n v="1791640"/>
    <n v="238240"/>
    <n v="428240"/>
    <n v="0.32525215700571153"/>
    <n v="-190000"/>
    <n v="-0.4"/>
    <m/>
  </r>
  <r>
    <x v="0"/>
    <x v="0"/>
    <x v="10"/>
    <x v="0"/>
    <x v="1"/>
    <x v="4"/>
    <x v="49"/>
    <x v="10"/>
    <x v="2"/>
    <x v="102"/>
    <n v="19"/>
    <n v="426"/>
    <n v="3814000"/>
    <n v="285700"/>
    <n v="375000"/>
    <n v="0"/>
    <m/>
    <n v="0"/>
    <m/>
    <n v="660700"/>
    <n v="0"/>
    <n v="525000"/>
    <n v="0"/>
    <n v="0"/>
    <n v="525000"/>
    <n v="991640"/>
    <n v="375000"/>
    <n v="0"/>
    <m/>
    <n v="0"/>
    <n v="1366640"/>
    <n v="180940"/>
    <n v="330940"/>
    <n v="0.33372998265499576"/>
    <n v="-150000"/>
    <n v="-0.4"/>
    <m/>
  </r>
  <r>
    <x v="0"/>
    <x v="0"/>
    <x v="9"/>
    <x v="0"/>
    <x v="1"/>
    <x v="3"/>
    <x v="49"/>
    <x v="9"/>
    <x v="2"/>
    <x v="103"/>
    <n v="25"/>
    <n v="3721"/>
    <n v="33794000"/>
    <n v="3125450"/>
    <n v="3720000"/>
    <n v="0"/>
    <m/>
    <n v="0"/>
    <m/>
    <n v="6845450"/>
    <n v="720000"/>
    <n v="4060000"/>
    <n v="0"/>
    <n v="0"/>
    <n v="4780000"/>
    <n v="8786440"/>
    <n v="3750000"/>
    <n v="0"/>
    <m/>
    <n v="75000"/>
    <n v="12611440"/>
    <n v="985990"/>
    <n v="1295990"/>
    <n v="0.1462504965332948"/>
    <n v="-310000"/>
    <n v="-8.2666666666666666E-2"/>
    <m/>
  </r>
  <r>
    <x v="0"/>
    <x v="0"/>
    <x v="10"/>
    <x v="0"/>
    <x v="1"/>
    <x v="4"/>
    <x v="49"/>
    <x v="9"/>
    <x v="2"/>
    <x v="103"/>
    <n v="19"/>
    <n v="3383"/>
    <n v="30342000"/>
    <n v="2449060"/>
    <n v="2600000"/>
    <n v="0"/>
    <m/>
    <n v="0"/>
    <m/>
    <n v="5049060"/>
    <n v="0"/>
    <n v="2800000"/>
    <n v="0"/>
    <n v="0"/>
    <n v="2800000"/>
    <n v="7888920"/>
    <n v="2850000"/>
    <n v="0"/>
    <m/>
    <n v="0"/>
    <n v="10738920"/>
    <n v="2889860"/>
    <n v="2839860"/>
    <n v="0.35998083387840163"/>
    <n v="50000"/>
    <n v="1.7543859649122806E-2"/>
    <m/>
  </r>
  <r>
    <x v="0"/>
    <x v="0"/>
    <x v="9"/>
    <x v="0"/>
    <x v="1"/>
    <x v="3"/>
    <x v="50"/>
    <x v="9"/>
    <x v="1"/>
    <x v="104"/>
    <n v="23"/>
    <n v="5023"/>
    <n v="45836000"/>
    <n v="4493200"/>
    <n v="4897500"/>
    <n v="0"/>
    <m/>
    <n v="0"/>
    <m/>
    <n v="9390700"/>
    <n v="840000"/>
    <n v="5145000"/>
    <n v="0"/>
    <n v="0"/>
    <n v="5985000"/>
    <n v="11917360"/>
    <n v="3675000"/>
    <n v="0"/>
    <m/>
    <n v="50000"/>
    <n v="15642360"/>
    <n v="266660"/>
    <n v="1736660"/>
    <n v="0.14511638322904968"/>
    <n v="-1470000"/>
    <n v="-0.4"/>
    <m/>
  </r>
  <r>
    <x v="0"/>
    <x v="0"/>
    <x v="10"/>
    <x v="0"/>
    <x v="1"/>
    <x v="4"/>
    <x v="50"/>
    <x v="9"/>
    <x v="1"/>
    <x v="104"/>
    <n v="23"/>
    <n v="4929"/>
    <n v="43878000"/>
    <n v="4553020"/>
    <n v="4532500"/>
    <n v="0"/>
    <m/>
    <n v="0"/>
    <m/>
    <n v="9085520"/>
    <n v="840000"/>
    <n v="4760000"/>
    <n v="0"/>
    <n v="0"/>
    <n v="5600000"/>
    <n v="11408280"/>
    <n v="3400000"/>
    <n v="0"/>
    <m/>
    <n v="0"/>
    <n v="14808280"/>
    <n v="122760"/>
    <n v="1482760"/>
    <n v="0.12997226575785306"/>
    <n v="-1360000"/>
    <n v="-0.4"/>
    <m/>
  </r>
  <r>
    <x v="0"/>
    <x v="0"/>
    <x v="0"/>
    <x v="0"/>
    <x v="0"/>
    <x v="0"/>
    <x v="50"/>
    <x v="9"/>
    <x v="1"/>
    <x v="104"/>
    <n v="247"/>
    <n v="82969"/>
    <n v="726670000"/>
    <n v="86668690"/>
    <n v="61337500"/>
    <n v="0"/>
    <m/>
    <n v="0"/>
    <m/>
    <n v="148006190"/>
    <n v="3850000"/>
    <n v="60025000"/>
    <n v="0"/>
    <n v="844445"/>
    <n v="64719445"/>
    <n v="188934200"/>
    <n v="36050000"/>
    <n v="0"/>
    <m/>
    <n v="0"/>
    <n v="224984200"/>
    <n v="12258565"/>
    <n v="36233565"/>
    <n v="0.19177875154418841"/>
    <n v="-23975000"/>
    <n v="-0.66504854368932043"/>
    <m/>
  </r>
  <r>
    <x v="0"/>
    <x v="0"/>
    <x v="1"/>
    <x v="0"/>
    <x v="0"/>
    <x v="1"/>
    <x v="50"/>
    <x v="9"/>
    <x v="1"/>
    <x v="104"/>
    <n v="19"/>
    <n v="6268"/>
    <n v="55138000"/>
    <n v="6436585"/>
    <n v="5042500"/>
    <n v="0"/>
    <m/>
    <n v="0"/>
    <m/>
    <n v="11479085"/>
    <n v="150000"/>
    <n v="4655000"/>
    <n v="0"/>
    <n v="425600"/>
    <n v="5230600"/>
    <n v="14335880"/>
    <n v="2850000"/>
    <n v="0"/>
    <m/>
    <n v="0"/>
    <n v="17185880"/>
    <n v="476195"/>
    <n v="2281195"/>
    <n v="0.15912486711663323"/>
    <n v="-1805000"/>
    <n v="-0.6333333333333333"/>
    <m/>
  </r>
  <r>
    <x v="0"/>
    <x v="2"/>
    <x v="3"/>
    <x v="1"/>
    <x v="0"/>
    <x v="2"/>
    <x v="50"/>
    <x v="9"/>
    <x v="1"/>
    <x v="104"/>
    <n v="5"/>
    <n v="871"/>
    <n v="7933000"/>
    <n v="584160"/>
    <n v="895000"/>
    <n v="0"/>
    <m/>
    <n v="0"/>
    <m/>
    <n v="1479160"/>
    <n v="0"/>
    <n v="1225000"/>
    <n v="0"/>
    <n v="0"/>
    <n v="1225000"/>
    <n v="1586600"/>
    <n v="750000"/>
    <n v="725000"/>
    <m/>
    <n v="0"/>
    <n v="3061600"/>
    <n v="357440"/>
    <n v="107440"/>
    <n v="6.7717130971889569E-2"/>
    <n v="250000"/>
    <n v="0.16949152542372881"/>
    <m/>
  </r>
  <r>
    <x v="0"/>
    <x v="6"/>
    <x v="7"/>
    <x v="1"/>
    <x v="0"/>
    <x v="2"/>
    <x v="50"/>
    <x v="9"/>
    <x v="1"/>
    <x v="104"/>
    <n v="1"/>
    <n v="22"/>
    <n v="194000"/>
    <n v="9700"/>
    <n v="75000"/>
    <n v="0"/>
    <m/>
    <n v="0"/>
    <m/>
    <n v="84700"/>
    <n v="0"/>
    <n v="245000"/>
    <n v="0"/>
    <n v="0"/>
    <n v="245000"/>
    <n v="38800"/>
    <n v="150000"/>
    <n v="50000"/>
    <m/>
    <n v="0"/>
    <n v="238800"/>
    <n v="-90900"/>
    <n v="-45900"/>
    <n v="-1.1829896907216495"/>
    <n v="-45000"/>
    <n v="-0.22500000000000001"/>
    <m/>
  </r>
  <r>
    <x v="0"/>
    <x v="7"/>
    <x v="8"/>
    <x v="1"/>
    <x v="0"/>
    <x v="2"/>
    <x v="50"/>
    <x v="9"/>
    <x v="1"/>
    <x v="104"/>
    <n v="1"/>
    <n v="10"/>
    <n v="154000"/>
    <n v="0"/>
    <n v="75000"/>
    <n v="0"/>
    <m/>
    <n v="0"/>
    <m/>
    <n v="75000"/>
    <n v="0"/>
    <n v="245000"/>
    <n v="0"/>
    <n v="0"/>
    <n v="245000"/>
    <n v="30800"/>
    <n v="150000"/>
    <n v="75000"/>
    <m/>
    <m/>
    <n v="255800"/>
    <n v="-64200"/>
    <n v="-44200"/>
    <n v="-1.4350649350649352"/>
    <n v="-20000"/>
    <n v="-8.8888888888888892E-2"/>
    <m/>
  </r>
  <r>
    <x v="0"/>
    <x v="12"/>
    <x v="16"/>
    <x v="1"/>
    <x v="0"/>
    <x v="2"/>
    <x v="50"/>
    <x v="9"/>
    <x v="1"/>
    <x v="104"/>
    <n v="5"/>
    <n v="418"/>
    <n v="3952000"/>
    <n v="197000"/>
    <n v="525000"/>
    <n v="0"/>
    <m/>
    <n v="0"/>
    <m/>
    <n v="722000"/>
    <n v="0"/>
    <n v="1225000"/>
    <n v="0"/>
    <n v="0"/>
    <n v="1225000"/>
    <n v="988000"/>
    <n v="625000"/>
    <n v="0"/>
    <m/>
    <n v="0"/>
    <n v="1613000"/>
    <n v="-334000"/>
    <n v="266000"/>
    <n v="0.26923076923076922"/>
    <n v="-600000"/>
    <n v="-0.96"/>
    <m/>
  </r>
  <r>
    <x v="0"/>
    <x v="13"/>
    <x v="17"/>
    <x v="1"/>
    <x v="0"/>
    <x v="2"/>
    <x v="50"/>
    <x v="9"/>
    <x v="1"/>
    <x v="104"/>
    <n v="1"/>
    <n v="433"/>
    <n v="1299000"/>
    <n v="64950"/>
    <n v="75000"/>
    <n v="0"/>
    <m/>
    <n v="0"/>
    <m/>
    <n v="139950"/>
    <n v="0"/>
    <n v="245000"/>
    <n v="0"/>
    <n v="0"/>
    <n v="245000"/>
    <n v="285780"/>
    <n v="50000"/>
    <n v="0"/>
    <m/>
    <n v="0"/>
    <n v="335780"/>
    <n v="-49170"/>
    <n v="145830"/>
    <n v="0.51028763384421583"/>
    <n v="-195000"/>
    <n v="-3.9"/>
    <m/>
  </r>
  <r>
    <x v="0"/>
    <x v="0"/>
    <x v="0"/>
    <x v="0"/>
    <x v="0"/>
    <x v="0"/>
    <x v="51"/>
    <x v="9"/>
    <x v="0"/>
    <x v="59"/>
    <n v="261"/>
    <n v="82653"/>
    <n v="723956000"/>
    <n v="85448685"/>
    <n v="63115000"/>
    <n v="0"/>
    <m/>
    <n v="0"/>
    <m/>
    <n v="148563685"/>
    <n v="5125000"/>
    <n v="63945000"/>
    <n v="0"/>
    <n v="844445"/>
    <n v="69914445"/>
    <n v="188228560"/>
    <n v="37475000"/>
    <n v="0"/>
    <m/>
    <n v="0"/>
    <n v="225703560"/>
    <n v="7225430"/>
    <n v="33695430"/>
    <n v="0.17901337607852921"/>
    <n v="-26470000"/>
    <n v="-0.70633755837224821"/>
    <m/>
  </r>
  <r>
    <x v="0"/>
    <x v="0"/>
    <x v="1"/>
    <x v="0"/>
    <x v="0"/>
    <x v="1"/>
    <x v="51"/>
    <x v="9"/>
    <x v="0"/>
    <x v="59"/>
    <n v="21"/>
    <n v="6688"/>
    <n v="58632000"/>
    <n v="6910105"/>
    <n v="5380000"/>
    <n v="0"/>
    <m/>
    <n v="0"/>
    <m/>
    <n v="12290105"/>
    <n v="450000"/>
    <n v="5145000"/>
    <n v="0"/>
    <n v="425600"/>
    <n v="6020600"/>
    <n v="15244320"/>
    <n v="3025000"/>
    <n v="0"/>
    <m/>
    <n v="0"/>
    <n v="18269320"/>
    <n v="-41385"/>
    <n v="2078615"/>
    <n v="0.13635340900742046"/>
    <n v="-2120000"/>
    <n v="-0.70082644628099178"/>
    <m/>
  </r>
  <r>
    <x v="0"/>
    <x v="13"/>
    <x v="17"/>
    <x v="1"/>
    <x v="0"/>
    <x v="2"/>
    <x v="51"/>
    <x v="9"/>
    <x v="0"/>
    <x v="59"/>
    <n v="1"/>
    <n v="244"/>
    <n v="732000"/>
    <n v="0"/>
    <n v="75000"/>
    <n v="0"/>
    <m/>
    <n v="0"/>
    <m/>
    <n v="75000"/>
    <n v="0"/>
    <n v="245000"/>
    <n v="0"/>
    <n v="0"/>
    <n v="245000"/>
    <n v="161040"/>
    <n v="150000"/>
    <n v="0"/>
    <m/>
    <n v="0"/>
    <n v="311040"/>
    <n v="-8960"/>
    <n v="86040"/>
    <n v="0.53427719821162445"/>
    <n v="-95000"/>
    <n v="-0.6333333333333333"/>
    <m/>
  </r>
  <r>
    <x v="0"/>
    <x v="2"/>
    <x v="3"/>
    <x v="1"/>
    <x v="0"/>
    <x v="2"/>
    <x v="51"/>
    <x v="9"/>
    <x v="0"/>
    <x v="59"/>
    <n v="5"/>
    <n v="658"/>
    <n v="5534000"/>
    <n v="361070"/>
    <n v="630000"/>
    <n v="0"/>
    <m/>
    <n v="0"/>
    <m/>
    <n v="991070"/>
    <n v="0"/>
    <n v="1225000"/>
    <n v="0"/>
    <n v="0"/>
    <n v="1225000"/>
    <n v="1106800"/>
    <n v="750000"/>
    <n v="750000"/>
    <m/>
    <n v="0"/>
    <n v="2606800"/>
    <n v="390730"/>
    <n v="115730"/>
    <n v="0.10456270328876038"/>
    <n v="275000"/>
    <n v="0.18333333333333332"/>
    <m/>
  </r>
  <r>
    <x v="0"/>
    <x v="0"/>
    <x v="9"/>
    <x v="0"/>
    <x v="1"/>
    <x v="3"/>
    <x v="51"/>
    <x v="9"/>
    <x v="0"/>
    <x v="59"/>
    <n v="26"/>
    <n v="4918"/>
    <n v="45002000"/>
    <n v="4326020"/>
    <n v="4947500"/>
    <n v="0"/>
    <m/>
    <n v="0"/>
    <m/>
    <n v="9273520"/>
    <n v="720000"/>
    <n v="4865000"/>
    <n v="0"/>
    <n v="0"/>
    <n v="5585000"/>
    <n v="11700520"/>
    <n v="3975000"/>
    <n v="0"/>
    <m/>
    <n v="175000"/>
    <n v="15850520"/>
    <n v="992000"/>
    <n v="1882000"/>
    <n v="0.15847727089003261"/>
    <n v="-890000"/>
    <n v="-0.2238993710691824"/>
    <m/>
  </r>
  <r>
    <x v="0"/>
    <x v="0"/>
    <x v="10"/>
    <x v="0"/>
    <x v="1"/>
    <x v="4"/>
    <x v="51"/>
    <x v="9"/>
    <x v="0"/>
    <x v="59"/>
    <n v="22"/>
    <n v="4821"/>
    <n v="43272000"/>
    <n v="4328340"/>
    <n v="4395000"/>
    <n v="0"/>
    <m/>
    <n v="0"/>
    <m/>
    <n v="8723340"/>
    <n v="840000"/>
    <n v="4095000"/>
    <n v="0"/>
    <n v="0"/>
    <n v="4935000"/>
    <n v="11250720"/>
    <n v="3650000"/>
    <n v="0"/>
    <m/>
    <n v="175000"/>
    <n v="15075720"/>
    <n v="1417380"/>
    <n v="1862380"/>
    <n v="0.16299891823009841"/>
    <n v="-445000"/>
    <n v="-0.12191780821917808"/>
    <m/>
  </r>
  <r>
    <x v="0"/>
    <x v="0"/>
    <x v="9"/>
    <x v="0"/>
    <x v="1"/>
    <x v="3"/>
    <x v="52"/>
    <x v="9"/>
    <x v="4"/>
    <x v="58"/>
    <n v="31"/>
    <n v="4646"/>
    <n v="42336000"/>
    <n v="3729800"/>
    <n v="5075000"/>
    <n v="0"/>
    <m/>
    <n v="0"/>
    <m/>
    <n v="8804800"/>
    <n v="840000"/>
    <n v="5530000"/>
    <n v="0"/>
    <n v="0"/>
    <n v="6370000"/>
    <n v="11007360"/>
    <n v="4550000"/>
    <n v="0"/>
    <m/>
    <n v="225000"/>
    <n v="15782360"/>
    <n v="607560"/>
    <n v="1587560"/>
    <n v="0.14133806252648598"/>
    <n v="-980000"/>
    <n v="-0.2153846153846154"/>
    <m/>
  </r>
  <r>
    <x v="0"/>
    <x v="0"/>
    <x v="10"/>
    <x v="0"/>
    <x v="1"/>
    <x v="4"/>
    <x v="52"/>
    <x v="9"/>
    <x v="4"/>
    <x v="58"/>
    <n v="23"/>
    <n v="4464"/>
    <n v="40272000"/>
    <n v="3651040"/>
    <n v="4280000"/>
    <n v="0"/>
    <m/>
    <n v="0"/>
    <m/>
    <n v="7931040"/>
    <n v="840000"/>
    <n v="4025000"/>
    <n v="0"/>
    <n v="0"/>
    <n v="4865000"/>
    <n v="10470720"/>
    <n v="3325000"/>
    <n v="0"/>
    <m/>
    <n v="100000"/>
    <n v="13895720"/>
    <n v="1099680"/>
    <n v="1799680"/>
    <n v="0.17025141144595637"/>
    <n v="-700000"/>
    <n v="-0.21052631578947367"/>
    <m/>
  </r>
  <r>
    <x v="0"/>
    <x v="0"/>
    <x v="0"/>
    <x v="0"/>
    <x v="0"/>
    <x v="0"/>
    <x v="52"/>
    <x v="9"/>
    <x v="4"/>
    <x v="58"/>
    <n v="265"/>
    <n v="84141"/>
    <n v="736676000"/>
    <n v="87363260"/>
    <n v="63707500"/>
    <n v="0"/>
    <n v="1400000"/>
    <n v="5600000"/>
    <m/>
    <n v="158070760"/>
    <n v="5875000"/>
    <n v="64925000"/>
    <n v="0"/>
    <n v="425600"/>
    <n v="71225600"/>
    <n v="191535760"/>
    <n v="38175000"/>
    <n v="0"/>
    <m/>
    <n v="0"/>
    <n v="229710760"/>
    <n v="414400"/>
    <n v="27164400"/>
    <n v="0.14182416902201447"/>
    <n v="-26750000"/>
    <n v="-0.70072036673215454"/>
    <m/>
  </r>
  <r>
    <x v="0"/>
    <x v="0"/>
    <x v="1"/>
    <x v="0"/>
    <x v="0"/>
    <x v="1"/>
    <x v="52"/>
    <x v="9"/>
    <x v="4"/>
    <x v="58"/>
    <n v="23"/>
    <n v="6385"/>
    <n v="55938000"/>
    <n v="6184290"/>
    <n v="5527500"/>
    <n v="0"/>
    <n v="300000"/>
    <n v="400000"/>
    <m/>
    <n v="12411790"/>
    <n v="375000"/>
    <n v="5635000"/>
    <n v="0"/>
    <n v="292006"/>
    <n v="6302006"/>
    <n v="14543880"/>
    <n v="3325000"/>
    <n v="0"/>
    <m/>
    <n v="0"/>
    <n v="17868880"/>
    <n v="-844916"/>
    <n v="1465084"/>
    <n v="0.10073542961025531"/>
    <n v="-2310000"/>
    <n v="-0.69473684210526321"/>
    <m/>
  </r>
  <r>
    <x v="0"/>
    <x v="2"/>
    <x v="3"/>
    <x v="1"/>
    <x v="0"/>
    <x v="2"/>
    <x v="52"/>
    <x v="9"/>
    <x v="4"/>
    <x v="58"/>
    <n v="4"/>
    <n v="597"/>
    <n v="5373000"/>
    <n v="324530"/>
    <n v="500000"/>
    <n v="0"/>
    <m/>
    <n v="0"/>
    <m/>
    <n v="824530"/>
    <n v="0"/>
    <n v="980000"/>
    <n v="0"/>
    <n v="0"/>
    <n v="980000"/>
    <n v="1074600"/>
    <n v="600000"/>
    <n v="450000"/>
    <m/>
    <n v="0"/>
    <n v="2124600"/>
    <n v="320070"/>
    <n v="250070"/>
    <n v="0.23270984552391588"/>
    <n v="70000"/>
    <n v="6.6666666666666666E-2"/>
    <m/>
  </r>
  <r>
    <x v="0"/>
    <x v="13"/>
    <x v="17"/>
    <x v="1"/>
    <x v="0"/>
    <x v="2"/>
    <x v="52"/>
    <x v="9"/>
    <x v="4"/>
    <x v="58"/>
    <n v="2"/>
    <n v="832"/>
    <n v="2496000"/>
    <n v="244800"/>
    <n v="295000"/>
    <n v="0"/>
    <m/>
    <n v="0"/>
    <m/>
    <n v="539800"/>
    <n v="0"/>
    <n v="490000"/>
    <n v="0"/>
    <n v="0"/>
    <n v="490000"/>
    <n v="549120"/>
    <n v="300000"/>
    <n v="0"/>
    <m/>
    <n v="0"/>
    <n v="849120"/>
    <n v="-180680"/>
    <n v="9320"/>
    <n v="1.6972610722610724E-2"/>
    <n v="-190000"/>
    <n v="-0.6333333333333333"/>
    <m/>
  </r>
  <r>
    <x v="0"/>
    <x v="12"/>
    <x v="16"/>
    <x v="1"/>
    <x v="0"/>
    <x v="2"/>
    <x v="52"/>
    <x v="9"/>
    <x v="4"/>
    <x v="58"/>
    <n v="9"/>
    <n v="650"/>
    <n v="6190000"/>
    <n v="0"/>
    <n v="0"/>
    <n v="0"/>
    <m/>
    <n v="0"/>
    <m/>
    <n v="0"/>
    <n v="0"/>
    <n v="1085000"/>
    <n v="0"/>
    <n v="0"/>
    <n v="1085000"/>
    <n v="433330"/>
    <n v="1240000"/>
    <n v="0"/>
    <m/>
    <n v="0"/>
    <n v="1673330"/>
    <n v="588330"/>
    <n v="433330"/>
    <n v="1"/>
    <n v="155000"/>
    <n v="0.125"/>
    <m/>
  </r>
  <r>
    <x v="0"/>
    <x v="0"/>
    <x v="9"/>
    <x v="0"/>
    <x v="1"/>
    <x v="3"/>
    <x v="53"/>
    <x v="9"/>
    <x v="3"/>
    <x v="105"/>
    <n v="24"/>
    <n v="2707"/>
    <n v="24624000"/>
    <n v="1556240"/>
    <n v="2165000"/>
    <n v="0"/>
    <m/>
    <n v="0"/>
    <m/>
    <n v="3721240"/>
    <n v="480000"/>
    <n v="2765000"/>
    <n v="0"/>
    <n v="0"/>
    <n v="3245000"/>
    <n v="6402240"/>
    <n v="1975000"/>
    <n v="0"/>
    <m/>
    <n v="75000"/>
    <n v="8452240"/>
    <n v="1486000"/>
    <n v="2276000"/>
    <n v="0.35138423155541559"/>
    <n v="-790000"/>
    <n v="-0.4"/>
    <m/>
  </r>
  <r>
    <x v="0"/>
    <x v="0"/>
    <x v="10"/>
    <x v="0"/>
    <x v="1"/>
    <x v="4"/>
    <x v="53"/>
    <x v="9"/>
    <x v="3"/>
    <x v="105"/>
    <n v="18"/>
    <n v="2189"/>
    <n v="19606000"/>
    <n v="1273080"/>
    <n v="1570000"/>
    <n v="0"/>
    <m/>
    <n v="0"/>
    <m/>
    <n v="2843080"/>
    <n v="480000"/>
    <n v="1995000"/>
    <n v="0"/>
    <n v="0"/>
    <n v="2475000"/>
    <n v="5097560"/>
    <n v="1425000"/>
    <n v="0"/>
    <m/>
    <n v="50000"/>
    <n v="6572560"/>
    <n v="1254480"/>
    <n v="1824480"/>
    <n v="0.35443588807124154"/>
    <n v="-570000"/>
    <n v="-0.4"/>
    <m/>
  </r>
  <r>
    <x v="0"/>
    <x v="14"/>
    <x v="18"/>
    <x v="0"/>
    <x v="1"/>
    <x v="3"/>
    <x v="53"/>
    <x v="9"/>
    <x v="3"/>
    <x v="105"/>
    <n v="1"/>
    <n v="101"/>
    <n v="1196000"/>
    <n v="59800"/>
    <n v="100000"/>
    <n v="0"/>
    <m/>
    <n v="0"/>
    <m/>
    <n v="159800"/>
    <n v="0"/>
    <n v="140000"/>
    <n v="0"/>
    <n v="0"/>
    <n v="140000"/>
    <n v="358800"/>
    <n v="100000"/>
    <n v="0"/>
    <m/>
    <n v="0"/>
    <n v="458800"/>
    <n v="159000"/>
    <n v="199000"/>
    <n v="0.55462653288740249"/>
    <n v="-40000"/>
    <n v="-0.4"/>
    <m/>
  </r>
  <r>
    <x v="0"/>
    <x v="0"/>
    <x v="9"/>
    <x v="0"/>
    <x v="1"/>
    <x v="3"/>
    <x v="53"/>
    <x v="6"/>
    <x v="2"/>
    <x v="106"/>
    <n v="29"/>
    <n v="2465"/>
    <n v="22500000"/>
    <n v="1441140"/>
    <n v="1950000"/>
    <n v="0"/>
    <m/>
    <n v="0"/>
    <m/>
    <n v="3391140"/>
    <n v="360000"/>
    <n v="2520000"/>
    <n v="0"/>
    <n v="0"/>
    <n v="2880000"/>
    <n v="5850000"/>
    <n v="2400000"/>
    <n v="0"/>
    <m/>
    <n v="0"/>
    <n v="8250000"/>
    <n v="1978860"/>
    <n v="2098860"/>
    <n v="0.35877948717948716"/>
    <n v="-120000"/>
    <n v="-0.05"/>
    <m/>
  </r>
  <r>
    <x v="0"/>
    <x v="0"/>
    <x v="10"/>
    <x v="0"/>
    <x v="1"/>
    <x v="4"/>
    <x v="53"/>
    <x v="6"/>
    <x v="2"/>
    <x v="106"/>
    <n v="21"/>
    <n v="1997"/>
    <n v="17930000"/>
    <n v="1002460"/>
    <n v="1325000"/>
    <n v="0"/>
    <m/>
    <n v="0"/>
    <m/>
    <n v="2327460"/>
    <n v="360000"/>
    <n v="1820000"/>
    <n v="0"/>
    <n v="0"/>
    <n v="2180000"/>
    <n v="4661800"/>
    <n v="1725000"/>
    <n v="0"/>
    <m/>
    <n v="0"/>
    <n v="6386800"/>
    <n v="1879340"/>
    <n v="1974340"/>
    <n v="0.42351452228752845"/>
    <n v="-95000"/>
    <n v="-5.5072463768115941E-2"/>
    <m/>
  </r>
  <r>
    <x v="0"/>
    <x v="14"/>
    <x v="18"/>
    <x v="0"/>
    <x v="1"/>
    <x v="3"/>
    <x v="53"/>
    <x v="6"/>
    <x v="2"/>
    <x v="106"/>
    <n v="1"/>
    <n v="111"/>
    <n v="1273000"/>
    <n v="63650"/>
    <n v="75000"/>
    <n v="0"/>
    <m/>
    <n v="0"/>
    <m/>
    <n v="138650"/>
    <n v="0"/>
    <n v="105000"/>
    <n v="0"/>
    <n v="0"/>
    <n v="105000"/>
    <n v="381900"/>
    <n v="75000"/>
    <n v="0"/>
    <m/>
    <n v="0"/>
    <n v="456900"/>
    <n v="213250"/>
    <n v="243250"/>
    <n v="0.63694684472374963"/>
    <n v="-30000"/>
    <n v="-0.4"/>
    <m/>
  </r>
  <r>
    <x v="0"/>
    <x v="0"/>
    <x v="0"/>
    <x v="0"/>
    <x v="0"/>
    <x v="0"/>
    <x v="53"/>
    <x v="9"/>
    <x v="3"/>
    <x v="105"/>
    <n v="262"/>
    <n v="43432"/>
    <n v="422377142.85714281"/>
    <n v="50278240"/>
    <n v="36372857.142857142"/>
    <n v="0"/>
    <m/>
    <n v="0"/>
    <m/>
    <n v="86651097.142857134"/>
    <n v="3385714.2857142854"/>
    <n v="36680000"/>
    <n v="166861"/>
    <n v="0"/>
    <n v="40232575.285714284"/>
    <n v="109818057.14285713"/>
    <n v="21542857.142857142"/>
    <n v="0"/>
    <m/>
    <n v="0"/>
    <n v="131360914.28571427"/>
    <n v="4477241.8571428508"/>
    <n v="19614384.714285716"/>
    <n v="0.1786080106003905"/>
    <n v="-15137142.857142858"/>
    <n v="-0.70265251989389932"/>
    <m/>
  </r>
  <r>
    <x v="0"/>
    <x v="0"/>
    <x v="0"/>
    <x v="0"/>
    <x v="0"/>
    <x v="0"/>
    <x v="53"/>
    <x v="6"/>
    <x v="2"/>
    <x v="106"/>
    <n v="262"/>
    <n v="40975"/>
    <n v="316782857.14285713"/>
    <n v="37708680"/>
    <n v="27279642.857142854"/>
    <n v="0"/>
    <m/>
    <n v="0"/>
    <m/>
    <n v="64988322.857142851"/>
    <n v="2539285.7142857141"/>
    <n v="27510000"/>
    <n v="125146"/>
    <n v="0"/>
    <n v="30174431.714285713"/>
    <n v="82363542.857142851"/>
    <n v="16157142.857142856"/>
    <n v="0"/>
    <m/>
    <n v="0"/>
    <n v="98520685.714285702"/>
    <n v="3357931.1428571343"/>
    <n v="14710788.285714285"/>
    <n v="0.17860800756506695"/>
    <n v="-11352857.142857144"/>
    <n v="-0.70265251989389932"/>
    <m/>
  </r>
  <r>
    <x v="0"/>
    <x v="0"/>
    <x v="1"/>
    <x v="0"/>
    <x v="0"/>
    <x v="1"/>
    <x v="53"/>
    <x v="9"/>
    <x v="3"/>
    <x v="105"/>
    <n v="22"/>
    <n v="3179"/>
    <n v="28289142.857142854"/>
    <n v="3203945.7142857141"/>
    <n v="2835714.2857142854"/>
    <n v="0"/>
    <m/>
    <n v="0"/>
    <m/>
    <n v="6039660"/>
    <n v="300000"/>
    <n v="3080000"/>
    <n v="243200"/>
    <n v="0"/>
    <n v="3623200"/>
    <n v="7355177.1428571427"/>
    <n v="1785714.2857142857"/>
    <n v="0"/>
    <m/>
    <n v="0"/>
    <n v="9140891.4285714291"/>
    <n v="-521968.5714285709"/>
    <n v="772317.14285714272"/>
    <n v="0.10500320085521878"/>
    <n v="-1294285.7142857143"/>
    <n v="-0.7248"/>
    <m/>
  </r>
  <r>
    <x v="0"/>
    <x v="0"/>
    <x v="1"/>
    <x v="0"/>
    <x v="0"/>
    <x v="1"/>
    <x v="53"/>
    <x v="6"/>
    <x v="2"/>
    <x v="106"/>
    <n v="22"/>
    <n v="2476"/>
    <n v="21216857.142857142"/>
    <n v="2402959.2857142854"/>
    <n v="2126785.7142857141"/>
    <n v="0"/>
    <m/>
    <n v="0"/>
    <m/>
    <n v="4529745"/>
    <n v="225000"/>
    <n v="2310000"/>
    <n v="182400"/>
    <n v="0"/>
    <n v="2717400"/>
    <n v="5516382.8571428573"/>
    <n v="1339285.7142857143"/>
    <n v="0"/>
    <m/>
    <n v="0"/>
    <n v="6855668.5714285718"/>
    <n v="-391476.42857142817"/>
    <n v="579237.85714285728"/>
    <n v="0.10500320085521882"/>
    <n v="-970714.28571428568"/>
    <n v="-0.7248"/>
    <m/>
  </r>
  <r>
    <x v="0"/>
    <x v="2"/>
    <x v="3"/>
    <x v="1"/>
    <x v="0"/>
    <x v="2"/>
    <x v="53"/>
    <x v="9"/>
    <x v="3"/>
    <x v="105"/>
    <n v="4"/>
    <n v="434"/>
    <n v="3040000"/>
    <n v="186708.57142857142"/>
    <n v="317142.8571428571"/>
    <n v="0"/>
    <m/>
    <n v="0"/>
    <m/>
    <n v="503851.42857142852"/>
    <n v="0"/>
    <n v="560000"/>
    <n v="0"/>
    <n v="0"/>
    <n v="560000"/>
    <n v="608000"/>
    <n v="342857.14285714284"/>
    <n v="285714.28571428574"/>
    <m/>
    <n v="0"/>
    <n v="1236571.4285714286"/>
    <n v="172720"/>
    <n v="104148.57142857148"/>
    <n v="0.17129699248120309"/>
    <n v="68571.428571428638"/>
    <n v="0.10909090909090918"/>
    <m/>
  </r>
  <r>
    <x v="0"/>
    <x v="2"/>
    <x v="3"/>
    <x v="1"/>
    <x v="0"/>
    <x v="2"/>
    <x v="53"/>
    <x v="6"/>
    <x v="2"/>
    <x v="106"/>
    <n v="4"/>
    <n v="182"/>
    <n v="2280000"/>
    <n v="140031.42857142855"/>
    <n v="237857.14285714284"/>
    <n v="0"/>
    <m/>
    <n v="0"/>
    <m/>
    <n v="377888.57142857136"/>
    <n v="0"/>
    <n v="420000"/>
    <n v="0"/>
    <n v="0"/>
    <n v="420000"/>
    <n v="456000"/>
    <n v="257142.85714285713"/>
    <n v="214285.71428571429"/>
    <m/>
    <n v="0"/>
    <n v="927428.57142857148"/>
    <n v="129540.00000000012"/>
    <n v="78111.428571428638"/>
    <n v="0.17129699248120314"/>
    <n v="51428.57142857142"/>
    <n v="0.10909090909090907"/>
    <m/>
  </r>
  <r>
    <x v="0"/>
    <x v="13"/>
    <x v="17"/>
    <x v="1"/>
    <x v="0"/>
    <x v="2"/>
    <x v="53"/>
    <x v="9"/>
    <x v="3"/>
    <x v="105"/>
    <n v="1"/>
    <n v="489"/>
    <n v="1417714.2857142857"/>
    <n v="141771.42857142855"/>
    <n v="180000"/>
    <n v="0"/>
    <m/>
    <n v="0"/>
    <m/>
    <n v="321771.42857142852"/>
    <n v="0"/>
    <n v="140000"/>
    <n v="0"/>
    <n v="0"/>
    <n v="140000"/>
    <n v="326074.28571428574"/>
    <n v="85714.28571428571"/>
    <n v="0"/>
    <m/>
    <n v="0"/>
    <n v="411788.57142857148"/>
    <n v="-49982.857142857043"/>
    <n v="4302.8571428572177"/>
    <n v="1.3195941328006116E-2"/>
    <n v="-54285.71428571429"/>
    <n v="-0.63333333333333341"/>
    <m/>
  </r>
  <r>
    <x v="0"/>
    <x v="13"/>
    <x v="17"/>
    <x v="1"/>
    <x v="0"/>
    <x v="2"/>
    <x v="53"/>
    <x v="6"/>
    <x v="2"/>
    <x v="106"/>
    <n v="1"/>
    <n v="338"/>
    <n v="1063285.7142857143"/>
    <n v="106328.57142857142"/>
    <n v="135000"/>
    <n v="0"/>
    <m/>
    <n v="0"/>
    <m/>
    <n v="241328.57142857142"/>
    <n v="0"/>
    <n v="105000"/>
    <n v="0"/>
    <n v="0"/>
    <n v="105000"/>
    <n v="244555.71428571429"/>
    <n v="64285.714285714283"/>
    <n v="0"/>
    <m/>
    <n v="0"/>
    <n v="308841.42857142858"/>
    <n v="-37487.142857142841"/>
    <n v="3227.1428571428696"/>
    <n v="1.3195941328005939E-2"/>
    <n v="-40714.285714285717"/>
    <n v="-0.63333333333333341"/>
    <m/>
  </r>
  <r>
    <x v="0"/>
    <x v="12"/>
    <x v="16"/>
    <x v="1"/>
    <x v="0"/>
    <x v="2"/>
    <x v="53"/>
    <x v="9"/>
    <x v="3"/>
    <x v="105"/>
    <n v="10"/>
    <n v="505"/>
    <n v="5862857.1428571427"/>
    <n v="0"/>
    <n v="0"/>
    <n v="0"/>
    <m/>
    <n v="0"/>
    <m/>
    <n v="0"/>
    <n v="0"/>
    <n v="0"/>
    <n v="0"/>
    <n v="0"/>
    <n v="0"/>
    <n v="410400.00000000006"/>
    <n v="0"/>
    <n v="0"/>
    <m/>
    <n v="0"/>
    <n v="410400.00000000006"/>
    <n v="410400.00000000006"/>
    <n v="410400.00000000006"/>
    <n v="1"/>
    <n v="0"/>
    <n v="0"/>
    <m/>
  </r>
  <r>
    <x v="0"/>
    <x v="12"/>
    <x v="16"/>
    <x v="1"/>
    <x v="0"/>
    <x v="2"/>
    <x v="53"/>
    <x v="6"/>
    <x v="2"/>
    <x v="106"/>
    <n v="11"/>
    <n v="569"/>
    <n v="4397142.8571428573"/>
    <n v="0"/>
    <n v="0"/>
    <n v="0"/>
    <m/>
    <n v="0"/>
    <m/>
    <n v="0"/>
    <n v="0"/>
    <n v="0"/>
    <n v="0"/>
    <n v="0"/>
    <n v="0"/>
    <n v="307800.00000000006"/>
    <n v="0"/>
    <n v="0"/>
    <m/>
    <n v="0"/>
    <n v="307800.00000000006"/>
    <n v="307800.00000000006"/>
    <n v="307800.00000000006"/>
    <n v="1"/>
    <n v="0"/>
    <n v="0"/>
    <m/>
  </r>
  <r>
    <x v="0"/>
    <x v="0"/>
    <x v="9"/>
    <x v="0"/>
    <x v="1"/>
    <x v="3"/>
    <x v="28"/>
    <x v="6"/>
    <x v="1"/>
    <x v="41"/>
    <n v="30"/>
    <n v="6145"/>
    <n v="56374000"/>
    <n v="5736900"/>
    <n v="5597500"/>
    <n v="0"/>
    <m/>
    <n v="0"/>
    <m/>
    <n v="11334400"/>
    <n v="500000"/>
    <n v="5355000"/>
    <n v="0"/>
    <n v="0"/>
    <n v="5855000"/>
    <n v="14657240"/>
    <n v="4250000"/>
    <n v="0"/>
    <m/>
    <n v="0"/>
    <n v="18907240"/>
    <n v="1717840"/>
    <n v="2822840"/>
    <n v="0.19259014657602661"/>
    <n v="-1105000"/>
    <n v="-0.26"/>
    <m/>
  </r>
  <r>
    <x v="0"/>
    <x v="0"/>
    <x v="10"/>
    <x v="0"/>
    <x v="1"/>
    <x v="4"/>
    <x v="28"/>
    <x v="6"/>
    <x v="1"/>
    <x v="41"/>
    <n v="25"/>
    <n v="4992"/>
    <n v="44734000"/>
    <n v="4344580"/>
    <n v="4615000"/>
    <n v="0"/>
    <m/>
    <n v="0"/>
    <m/>
    <n v="8959580"/>
    <n v="840000"/>
    <n v="4515000"/>
    <n v="0"/>
    <n v="0"/>
    <n v="5355000"/>
    <n v="11630840"/>
    <n v="3525000"/>
    <n v="0"/>
    <m/>
    <n v="0"/>
    <n v="15155840"/>
    <n v="841260"/>
    <n v="1831260"/>
    <n v="0.15744864515374643"/>
    <n v="-990000"/>
    <n v="-0.28085106382978725"/>
    <m/>
  </r>
  <r>
    <x v="0"/>
    <x v="14"/>
    <x v="18"/>
    <x v="0"/>
    <x v="1"/>
    <x v="3"/>
    <x v="28"/>
    <x v="6"/>
    <x v="1"/>
    <x v="41"/>
    <n v="1"/>
    <n v="241"/>
    <n v="2772000"/>
    <n v="304920"/>
    <n v="315000"/>
    <n v="0"/>
    <m/>
    <n v="0"/>
    <m/>
    <n v="619920"/>
    <n v="0"/>
    <n v="245000"/>
    <n v="0"/>
    <n v="0"/>
    <n v="245000"/>
    <n v="831600"/>
    <n v="175000"/>
    <n v="0"/>
    <m/>
    <n v="0"/>
    <n v="1006600"/>
    <n v="141680"/>
    <n v="211680"/>
    <n v="0.25454545454545452"/>
    <n v="-70000"/>
    <n v="-0.4"/>
    <m/>
  </r>
  <r>
    <x v="0"/>
    <x v="0"/>
    <x v="0"/>
    <x v="0"/>
    <x v="0"/>
    <x v="0"/>
    <x v="28"/>
    <x v="6"/>
    <x v="1"/>
    <x v="41"/>
    <n v="263"/>
    <n v="78810"/>
    <n v="689866000"/>
    <n v="79037295"/>
    <n v="62790000"/>
    <n v="0"/>
    <m/>
    <n v="0"/>
    <m/>
    <n v="141827295"/>
    <n v="3625000"/>
    <n v="64435000"/>
    <n v="250000"/>
    <n v="292006.16666666663"/>
    <n v="68602006.166666672"/>
    <n v="179365160"/>
    <n v="38350000"/>
    <n v="0"/>
    <m/>
    <n v="0"/>
    <n v="217715160"/>
    <n v="7285858.8333333135"/>
    <n v="33370858.833333332"/>
    <n v="0.18604983728909968"/>
    <n v="-26085000"/>
    <n v="-0.68018252933507173"/>
    <m/>
  </r>
  <r>
    <x v="0"/>
    <x v="0"/>
    <x v="1"/>
    <x v="0"/>
    <x v="0"/>
    <x v="1"/>
    <x v="28"/>
    <x v="6"/>
    <x v="1"/>
    <x v="41"/>
    <n v="21"/>
    <n v="5642"/>
    <n v="49392000"/>
    <n v="5473580"/>
    <n v="4915000"/>
    <n v="0"/>
    <m/>
    <n v="0"/>
    <m/>
    <n v="10388580"/>
    <n v="375000"/>
    <n v="5145000"/>
    <n v="0"/>
    <n v="425600"/>
    <n v="5945600"/>
    <n v="12841920"/>
    <n v="2850000"/>
    <n v="0"/>
    <m/>
    <n v="0"/>
    <n v="15691920"/>
    <n v="-642260"/>
    <n v="1652740"/>
    <n v="0.12869882385188508"/>
    <n v="-2295000"/>
    <n v="-0.80526315789473679"/>
    <m/>
  </r>
  <r>
    <x v="0"/>
    <x v="12"/>
    <x v="16"/>
    <x v="1"/>
    <x v="0"/>
    <x v="2"/>
    <x v="28"/>
    <x v="6"/>
    <x v="1"/>
    <x v="41"/>
    <n v="13"/>
    <n v="1058"/>
    <n v="9906000"/>
    <n v="0"/>
    <n v="0"/>
    <n v="0"/>
    <m/>
    <n v="0"/>
    <m/>
    <n v="0"/>
    <n v="0"/>
    <n v="0"/>
    <n v="0"/>
    <n v="0"/>
    <n v="0"/>
    <n v="693420.00000000012"/>
    <n v="0"/>
    <n v="0"/>
    <m/>
    <n v="0"/>
    <n v="693420.00000000012"/>
    <n v="693420.00000000012"/>
    <n v="693420.00000000012"/>
    <n v="1"/>
    <n v="0"/>
    <n v="0"/>
    <m/>
  </r>
  <r>
    <x v="0"/>
    <x v="0"/>
    <x v="9"/>
    <x v="0"/>
    <x v="1"/>
    <x v="3"/>
    <x v="27"/>
    <x v="6"/>
    <x v="0"/>
    <x v="40"/>
    <n v="25"/>
    <n v="5374"/>
    <n v="49170000"/>
    <n v="5077380"/>
    <n v="5092500"/>
    <n v="0"/>
    <m/>
    <n v="0"/>
    <m/>
    <n v="10169880"/>
    <n v="0"/>
    <n v="4795000"/>
    <n v="0"/>
    <n v="0"/>
    <n v="4795000"/>
    <n v="12784200"/>
    <n v="3975000"/>
    <n v="0"/>
    <m/>
    <n v="75000"/>
    <n v="16834200"/>
    <n v="1869320"/>
    <n v="2689320"/>
    <n v="0.20913587159387831"/>
    <n v="-820000"/>
    <n v="-0.20628930817610064"/>
    <m/>
  </r>
  <r>
    <x v="0"/>
    <x v="0"/>
    <x v="10"/>
    <x v="0"/>
    <x v="1"/>
    <x v="4"/>
    <x v="27"/>
    <x v="6"/>
    <x v="0"/>
    <x v="40"/>
    <n v="24"/>
    <n v="4767"/>
    <n v="42880000"/>
    <n v="4173960"/>
    <n v="4395000"/>
    <n v="0"/>
    <m/>
    <n v="0"/>
    <m/>
    <n v="8568960"/>
    <n v="700000"/>
    <n v="4305000"/>
    <n v="0"/>
    <n v="0"/>
    <n v="5005000"/>
    <n v="11148800"/>
    <n v="3550000"/>
    <n v="0"/>
    <m/>
    <n v="0"/>
    <n v="14698800"/>
    <n v="1124840"/>
    <n v="1879840"/>
    <n v="0.16861366245694603"/>
    <n v="-755000"/>
    <n v="-0.21267605633802816"/>
    <m/>
  </r>
  <r>
    <x v="0"/>
    <x v="14"/>
    <x v="18"/>
    <x v="0"/>
    <x v="1"/>
    <x v="3"/>
    <x v="27"/>
    <x v="6"/>
    <x v="0"/>
    <x v="40"/>
    <n v="2"/>
    <n v="296"/>
    <n v="3318000"/>
    <n v="328440"/>
    <n v="465000"/>
    <n v="0"/>
    <m/>
    <n v="0"/>
    <m/>
    <n v="793440"/>
    <n v="0"/>
    <n v="455000"/>
    <n v="0"/>
    <n v="0"/>
    <n v="455000"/>
    <n v="995400"/>
    <n v="325000"/>
    <n v="0"/>
    <m/>
    <n v="0"/>
    <n v="1320400"/>
    <n v="71960"/>
    <n v="201960"/>
    <n v="0.20289330922242316"/>
    <n v="-130000"/>
    <n v="-0.4"/>
    <m/>
  </r>
  <r>
    <x v="0"/>
    <x v="4"/>
    <x v="11"/>
    <x v="0"/>
    <x v="1"/>
    <x v="5"/>
    <x v="27"/>
    <x v="6"/>
    <x v="0"/>
    <x v="40"/>
    <n v="2"/>
    <n v="80"/>
    <n v="497000"/>
    <n v="99400"/>
    <n v="180000"/>
    <n v="0"/>
    <m/>
    <n v="0"/>
    <m/>
    <n v="279400"/>
    <n v="700000"/>
    <n v="0"/>
    <n v="0"/>
    <n v="460000"/>
    <n v="1160000"/>
    <n v="497000"/>
    <n v="0"/>
    <n v="0"/>
    <m/>
    <n v="0"/>
    <n v="497000"/>
    <n v="-942400"/>
    <n v="-942400"/>
    <n v="-1.8961770623742455"/>
    <n v="0"/>
    <n v="0"/>
    <m/>
  </r>
  <r>
    <x v="0"/>
    <x v="4"/>
    <x v="19"/>
    <x v="0"/>
    <x v="1"/>
    <x v="3"/>
    <x v="27"/>
    <x v="6"/>
    <x v="0"/>
    <x v="40"/>
    <n v="2"/>
    <n v="50"/>
    <n v="30000"/>
    <n v="7800"/>
    <n v="30000"/>
    <n v="0"/>
    <m/>
    <n v="0"/>
    <m/>
    <n v="37800"/>
    <n v="0"/>
    <n v="70000"/>
    <n v="0"/>
    <n v="230000"/>
    <n v="300000"/>
    <n v="30000"/>
    <n v="50000"/>
    <n v="0"/>
    <m/>
    <n v="0"/>
    <n v="80000"/>
    <n v="-257800"/>
    <n v="-237800"/>
    <n v="-7.9266666666666667"/>
    <n v="-20000"/>
    <n v="-0.4"/>
    <m/>
  </r>
  <r>
    <x v="0"/>
    <x v="0"/>
    <x v="0"/>
    <x v="0"/>
    <x v="0"/>
    <x v="0"/>
    <x v="27"/>
    <x v="6"/>
    <x v="0"/>
    <x v="40"/>
    <n v="254"/>
    <n v="75983"/>
    <n v="664506000"/>
    <n v="76284905"/>
    <n v="61092500"/>
    <n v="0"/>
    <m/>
    <n v="0"/>
    <m/>
    <n v="137377405"/>
    <n v="3525000"/>
    <n v="62230000"/>
    <n v="0"/>
    <n v="292006.16666666663"/>
    <n v="66047006.166666664"/>
    <n v="172771560"/>
    <n v="39950000"/>
    <n v="0"/>
    <m/>
    <n v="0"/>
    <n v="212721560"/>
    <n v="9297148.8333333433"/>
    <n v="31577148.833333332"/>
    <n v="0.18276821042382979"/>
    <n v="-22280000"/>
    <n v="-0.5576971214017522"/>
    <m/>
  </r>
  <r>
    <x v="0"/>
    <x v="0"/>
    <x v="1"/>
    <x v="0"/>
    <x v="0"/>
    <x v="1"/>
    <x v="27"/>
    <x v="6"/>
    <x v="0"/>
    <x v="40"/>
    <n v="21"/>
    <n v="5809"/>
    <n v="50728000"/>
    <n v="5622710"/>
    <n v="5415000"/>
    <n v="0"/>
    <m/>
    <n v="0"/>
    <m/>
    <n v="11037710"/>
    <n v="450000"/>
    <n v="5145000"/>
    <n v="0"/>
    <n v="425600"/>
    <n v="6020600"/>
    <n v="13189280"/>
    <n v="3050000"/>
    <n v="0"/>
    <m/>
    <n v="0"/>
    <n v="16239280"/>
    <n v="-819030"/>
    <n v="1275970"/>
    <n v="9.6742960950104928E-2"/>
    <n v="-2095000"/>
    <n v="-0.68688524590163935"/>
    <m/>
  </r>
  <r>
    <x v="0"/>
    <x v="12"/>
    <x v="16"/>
    <x v="1"/>
    <x v="0"/>
    <x v="2"/>
    <x v="27"/>
    <x v="6"/>
    <x v="0"/>
    <x v="40"/>
    <n v="15"/>
    <n v="1092"/>
    <n v="10382000"/>
    <n v="0"/>
    <n v="0"/>
    <n v="0"/>
    <m/>
    <n v="0"/>
    <m/>
    <n v="0"/>
    <n v="0"/>
    <n v="0"/>
    <n v="0"/>
    <n v="0"/>
    <n v="0"/>
    <n v="726740.00000000012"/>
    <n v="0"/>
    <n v="0"/>
    <m/>
    <n v="0"/>
    <n v="726740.00000000012"/>
    <n v="726740.00000000012"/>
    <n v="726740.00000000012"/>
    <n v="1"/>
    <n v="0"/>
    <n v="0"/>
    <m/>
  </r>
  <r>
    <x v="0"/>
    <x v="0"/>
    <x v="0"/>
    <x v="0"/>
    <x v="0"/>
    <x v="0"/>
    <x v="26"/>
    <x v="6"/>
    <x v="4"/>
    <x v="38"/>
    <n v="248"/>
    <n v="71213"/>
    <n v="623200000"/>
    <n v="70094600"/>
    <n v="57325200"/>
    <n v="0"/>
    <m/>
    <n v="0"/>
    <m/>
    <n v="127419800"/>
    <n v="3525000"/>
    <n v="60515000"/>
    <n v="75000"/>
    <n v="292006.16666666698"/>
    <n v="64407006.166666664"/>
    <n v="162032000"/>
    <n v="39010000"/>
    <n v="0"/>
    <m/>
    <n v="0"/>
    <n v="201042000"/>
    <n v="9215193.8333333433"/>
    <n v="30720193.833333332"/>
    <n v="0.18959337558836115"/>
    <n v="-21505000"/>
    <n v="-0.55126890540886953"/>
    <m/>
  </r>
  <r>
    <x v="0"/>
    <x v="0"/>
    <x v="1"/>
    <x v="0"/>
    <x v="0"/>
    <x v="1"/>
    <x v="26"/>
    <x v="6"/>
    <x v="4"/>
    <x v="38"/>
    <n v="24"/>
    <n v="5951"/>
    <n v="51990000"/>
    <n v="5235660"/>
    <n v="5585000"/>
    <n v="0"/>
    <m/>
    <n v="0"/>
    <m/>
    <n v="10820660"/>
    <n v="450000"/>
    <n v="5880000"/>
    <n v="0"/>
    <n v="425600"/>
    <n v="6755600"/>
    <n v="13517400"/>
    <n v="3635000"/>
    <n v="0"/>
    <m/>
    <n v="0"/>
    <n v="17152400"/>
    <n v="-423860"/>
    <n v="1821140"/>
    <n v="0.13472561291372601"/>
    <n v="-2245000"/>
    <n v="-0.61760660247592847"/>
    <m/>
  </r>
  <r>
    <x v="0"/>
    <x v="12"/>
    <x v="16"/>
    <x v="1"/>
    <x v="0"/>
    <x v="2"/>
    <x v="26"/>
    <x v="6"/>
    <x v="4"/>
    <x v="38"/>
    <n v="13"/>
    <n v="1005"/>
    <n v="9666000"/>
    <n v="0"/>
    <n v="0"/>
    <n v="0"/>
    <m/>
    <n v="0"/>
    <m/>
    <n v="0"/>
    <n v="0"/>
    <n v="0"/>
    <n v="0"/>
    <n v="0"/>
    <n v="0"/>
    <n v="676620.00000000012"/>
    <n v="0"/>
    <n v="0"/>
    <m/>
    <n v="0"/>
    <n v="676620.00000000012"/>
    <n v="676620.00000000012"/>
    <n v="676620.00000000012"/>
    <n v="1"/>
    <n v="0"/>
    <n v="0"/>
    <m/>
  </r>
  <r>
    <x v="0"/>
    <x v="0"/>
    <x v="9"/>
    <x v="0"/>
    <x v="1"/>
    <x v="3"/>
    <x v="26"/>
    <x v="6"/>
    <x v="4"/>
    <x v="38"/>
    <n v="32"/>
    <n v="5286"/>
    <n v="48380000"/>
    <n v="4382360"/>
    <n v="6147500"/>
    <n v="0"/>
    <m/>
    <n v="0"/>
    <m/>
    <n v="10529860"/>
    <n v="400000"/>
    <n v="5670000"/>
    <n v="0"/>
    <n v="0"/>
    <n v="6070000"/>
    <n v="12578800"/>
    <n v="4500000"/>
    <n v="0"/>
    <m/>
    <n v="75000"/>
    <n v="17153800"/>
    <n v="553940"/>
    <n v="1723940"/>
    <n v="0.13623891637294724"/>
    <n v="-1170000"/>
    <n v="-0.26"/>
    <m/>
  </r>
  <r>
    <x v="0"/>
    <x v="0"/>
    <x v="10"/>
    <x v="0"/>
    <x v="1"/>
    <x v="4"/>
    <x v="26"/>
    <x v="6"/>
    <x v="4"/>
    <x v="38"/>
    <n v="27"/>
    <n v="4096"/>
    <n v="36532000"/>
    <n v="3295540"/>
    <n v="4327500"/>
    <n v="0"/>
    <m/>
    <n v="0"/>
    <m/>
    <n v="7623040"/>
    <n v="700000"/>
    <n v="4270000"/>
    <n v="0"/>
    <n v="0"/>
    <n v="4970000"/>
    <n v="9498320"/>
    <n v="3700000"/>
    <n v="0"/>
    <m/>
    <n v="50000"/>
    <n v="13248320"/>
    <n v="655280"/>
    <n v="1225280"/>
    <n v="0.12832414498047823"/>
    <n v="-570000"/>
    <n v="-0.15405405405405406"/>
    <m/>
  </r>
  <r>
    <x v="0"/>
    <x v="14"/>
    <x v="18"/>
    <x v="0"/>
    <x v="1"/>
    <x v="3"/>
    <x v="26"/>
    <x v="6"/>
    <x v="4"/>
    <x v="38"/>
    <n v="2"/>
    <n v="291"/>
    <n v="3305000"/>
    <n v="289700"/>
    <n v="465000"/>
    <n v="0"/>
    <m/>
    <n v="0"/>
    <m/>
    <n v="754700"/>
    <n v="0"/>
    <n v="455000"/>
    <n v="0"/>
    <n v="0"/>
    <n v="455000"/>
    <n v="991500"/>
    <n v="325000"/>
    <n v="0"/>
    <m/>
    <n v="0"/>
    <n v="1316500"/>
    <n v="106800"/>
    <n v="236800"/>
    <n v="0.23883005547150782"/>
    <n v="-130000"/>
    <n v="-0.4"/>
    <m/>
  </r>
  <r>
    <x v="0"/>
    <x v="4"/>
    <x v="11"/>
    <x v="0"/>
    <x v="1"/>
    <x v="5"/>
    <x v="26"/>
    <x v="6"/>
    <x v="4"/>
    <x v="38"/>
    <n v="2"/>
    <n v="73"/>
    <n v="268000"/>
    <n v="53600"/>
    <n v="210000"/>
    <n v="0"/>
    <m/>
    <n v="0"/>
    <m/>
    <n v="263600"/>
    <n v="700000"/>
    <n v="0"/>
    <n v="0"/>
    <n v="0"/>
    <n v="700000"/>
    <n v="268000"/>
    <n v="0"/>
    <n v="0"/>
    <m/>
    <n v="0"/>
    <n v="268000"/>
    <n v="-695600"/>
    <n v="-695600"/>
    <n v="-2.5955223880597016"/>
    <n v="0"/>
    <n v="0"/>
    <m/>
  </r>
  <r>
    <x v="0"/>
    <x v="4"/>
    <x v="19"/>
    <x v="0"/>
    <x v="1"/>
    <x v="3"/>
    <x v="26"/>
    <x v="6"/>
    <x v="4"/>
    <x v="38"/>
    <n v="1"/>
    <n v="61"/>
    <n v="240000"/>
    <n v="48000"/>
    <n v="60000"/>
    <n v="0"/>
    <m/>
    <n v="0"/>
    <m/>
    <n v="108000"/>
    <n v="0"/>
    <n v="0"/>
    <n v="0"/>
    <n v="0"/>
    <n v="0"/>
    <n v="240000"/>
    <n v="0"/>
    <n v="0"/>
    <m/>
    <n v="0"/>
    <n v="240000"/>
    <n v="132000"/>
    <n v="132000"/>
    <n v="0.55000000000000004"/>
    <n v="0"/>
    <n v="0"/>
    <m/>
  </r>
  <r>
    <x v="0"/>
    <x v="0"/>
    <x v="9"/>
    <x v="0"/>
    <x v="1"/>
    <x v="3"/>
    <x v="25"/>
    <x v="6"/>
    <x v="3"/>
    <x v="37"/>
    <n v="40"/>
    <n v="7752"/>
    <n v="71074000"/>
    <n v="7468860"/>
    <n v="10700000"/>
    <n v="0"/>
    <m/>
    <n v="200000"/>
    <m/>
    <n v="18368860"/>
    <n v="700000"/>
    <n v="7490000"/>
    <n v="0"/>
    <n v="0"/>
    <n v="8190000"/>
    <n v="18479240"/>
    <n v="6250000"/>
    <n v="0"/>
    <m/>
    <n v="0"/>
    <n v="24729240"/>
    <n v="-1829620"/>
    <n v="-589620"/>
    <n v="-3.1907156354915027E-2"/>
    <n v="-1240000"/>
    <n v="-0.19839999999999999"/>
    <m/>
  </r>
  <r>
    <x v="0"/>
    <x v="0"/>
    <x v="10"/>
    <x v="0"/>
    <x v="1"/>
    <x v="4"/>
    <x v="25"/>
    <x v="6"/>
    <x v="3"/>
    <x v="37"/>
    <n v="27"/>
    <n v="4709"/>
    <n v="42352000"/>
    <n v="3773780"/>
    <n v="6950000"/>
    <n v="0"/>
    <m/>
    <n v="0"/>
    <m/>
    <n v="10723780"/>
    <n v="700000"/>
    <n v="4865000"/>
    <n v="0"/>
    <n v="0"/>
    <n v="5565000"/>
    <n v="11011520"/>
    <n v="4395000"/>
    <n v="0"/>
    <m/>
    <n v="175000"/>
    <n v="15581520"/>
    <n v="-707260"/>
    <n v="-237260"/>
    <n v="-2.1209455666284065E-2"/>
    <n v="-470000"/>
    <n v="-0.10693970420932879"/>
    <m/>
  </r>
  <r>
    <x v="0"/>
    <x v="14"/>
    <x v="18"/>
    <x v="0"/>
    <x v="1"/>
    <x v="3"/>
    <x v="25"/>
    <x v="6"/>
    <x v="3"/>
    <x v="37"/>
    <n v="2"/>
    <n v="287"/>
    <n v="3208000"/>
    <n v="288400"/>
    <n v="465000"/>
    <n v="0"/>
    <m/>
    <n v="0"/>
    <m/>
    <n v="753400"/>
    <n v="0"/>
    <n v="455000"/>
    <n v="0"/>
    <n v="0"/>
    <n v="455000"/>
    <n v="962400"/>
    <n v="350000"/>
    <n v="0"/>
    <m/>
    <n v="0"/>
    <n v="1312400"/>
    <n v="104000"/>
    <n v="209000"/>
    <n v="0.21716541978387366"/>
    <n v="-105000"/>
    <n v="-0.3"/>
    <m/>
  </r>
  <r>
    <x v="0"/>
    <x v="4"/>
    <x v="11"/>
    <x v="0"/>
    <x v="1"/>
    <x v="5"/>
    <x v="25"/>
    <x v="6"/>
    <x v="3"/>
    <x v="37"/>
    <n v="2"/>
    <n v="92"/>
    <n v="360000"/>
    <n v="72000"/>
    <n v="210000"/>
    <n v="0"/>
    <m/>
    <n v="0"/>
    <m/>
    <n v="282000"/>
    <n v="700000"/>
    <n v="0"/>
    <n v="0"/>
    <n v="0"/>
    <n v="700000"/>
    <n v="360000"/>
    <n v="0"/>
    <n v="0"/>
    <m/>
    <n v="0"/>
    <n v="360000"/>
    <n v="-622000"/>
    <n v="-622000"/>
    <n v="-1.7277777777777779"/>
    <n v="0"/>
    <n v="0"/>
    <m/>
  </r>
  <r>
    <x v="0"/>
    <x v="0"/>
    <x v="0"/>
    <x v="0"/>
    <x v="0"/>
    <x v="0"/>
    <x v="25"/>
    <x v="6"/>
    <x v="3"/>
    <x v="37"/>
    <n v="251"/>
    <n v="75783"/>
    <n v="662698000"/>
    <n v="76263685"/>
    <n v="70025000"/>
    <n v="0"/>
    <n v="900000"/>
    <n v="5400000"/>
    <m/>
    <n v="152588685"/>
    <n v="5175000"/>
    <n v="61495000"/>
    <n v="894993.68064082542"/>
    <n v="292006.16666666663"/>
    <n v="67856999.847307503"/>
    <n v="172301480"/>
    <n v="39325000"/>
    <n v="0"/>
    <m/>
    <n v="0"/>
    <n v="211626480"/>
    <n v="-8819204.8473075032"/>
    <n v="13350795.152692508"/>
    <n v="7.7485086910991763E-2"/>
    <n v="-22170000"/>
    <n v="-0.56376350921805463"/>
    <m/>
  </r>
  <r>
    <x v="0"/>
    <x v="0"/>
    <x v="1"/>
    <x v="0"/>
    <x v="0"/>
    <x v="1"/>
    <x v="25"/>
    <x v="6"/>
    <x v="3"/>
    <x v="37"/>
    <n v="26"/>
    <n v="5821"/>
    <n v="50988000"/>
    <n v="4765605"/>
    <n v="7465000"/>
    <n v="0"/>
    <m/>
    <n v="400000"/>
    <m/>
    <n v="12630605"/>
    <n v="375000"/>
    <n v="6370000"/>
    <n v="72558.496363559825"/>
    <n v="425600"/>
    <n v="7243158.4963635597"/>
    <n v="13256880"/>
    <n v="3900000"/>
    <n v="0"/>
    <m/>
    <n v="0"/>
    <n v="17156880"/>
    <n v="-2716883.4963635579"/>
    <n v="-246883.49636355983"/>
    <n v="-1.8623046777489109E-2"/>
    <n v="-2470000"/>
    <n v="-0.6333333333333333"/>
    <m/>
  </r>
  <r>
    <x v="0"/>
    <x v="12"/>
    <x v="16"/>
    <x v="1"/>
    <x v="0"/>
    <x v="2"/>
    <x v="25"/>
    <x v="6"/>
    <x v="3"/>
    <x v="37"/>
    <n v="13"/>
    <n v="1408"/>
    <n v="13350000"/>
    <n v="0"/>
    <n v="0"/>
    <n v="0"/>
    <m/>
    <n v="0"/>
    <m/>
    <n v="0"/>
    <n v="0"/>
    <n v="0"/>
    <n v="14947.822995614701"/>
    <n v="0"/>
    <n v="14947.822995614701"/>
    <n v="934500.00000000012"/>
    <n v="0"/>
    <n v="0"/>
    <m/>
    <n v="0"/>
    <n v="934500.00000000012"/>
    <n v="919552.17700438539"/>
    <n v="919552.17700438539"/>
    <n v="0.98400446977462308"/>
    <n v="0"/>
    <n v="0"/>
    <m/>
  </r>
  <r>
    <x v="1"/>
    <x v="0"/>
    <x v="9"/>
    <x v="0"/>
    <x v="1"/>
    <x v="3"/>
    <x v="21"/>
    <x v="5"/>
    <x v="2"/>
    <x v="30"/>
    <n v="18"/>
    <n v="5036"/>
    <n v="46020000"/>
    <n v="2125000"/>
    <n v="0"/>
    <n v="0"/>
    <m/>
    <n v="0"/>
    <m/>
    <n v="2125000"/>
    <m/>
    <n v="2376000"/>
    <m/>
    <m/>
    <n v="2376000"/>
    <n v="9664200"/>
    <n v="0"/>
    <n v="0"/>
    <m/>
    <m/>
    <n v="9664200"/>
    <n v="5163200"/>
    <n v="7539200"/>
    <n v="0.7801163055400343"/>
    <n v="-2376000"/>
    <n v="0"/>
    <m/>
  </r>
  <r>
    <x v="1"/>
    <x v="0"/>
    <x v="0"/>
    <x v="0"/>
    <x v="0"/>
    <x v="0"/>
    <x v="21"/>
    <x v="5"/>
    <x v="2"/>
    <x v="107"/>
    <n v="139"/>
    <n v="44918"/>
    <n v="397842000"/>
    <n v="44918000"/>
    <n v="32525000"/>
    <n v="0"/>
    <m/>
    <n v="0"/>
    <m/>
    <n v="77443000"/>
    <m/>
    <n v="24408900"/>
    <m/>
    <m/>
    <n v="24408900"/>
    <n v="91503660"/>
    <n v="15930000"/>
    <n v="17592000"/>
    <m/>
    <m/>
    <n v="125025660"/>
    <n v="23173760"/>
    <n v="14060660"/>
    <n v="0.15366226880979406"/>
    <n v="9113100"/>
    <n v="0.2718543046357616"/>
    <s v="07) Rekap KSJ Outlet - Sept 2024.xlsx"/>
  </r>
  <r>
    <x v="0"/>
    <x v="0"/>
    <x v="9"/>
    <x v="0"/>
    <x v="1"/>
    <x v="3"/>
    <x v="21"/>
    <x v="5"/>
    <x v="2"/>
    <x v="30"/>
    <n v="43"/>
    <n v="7511"/>
    <n v="68598000"/>
    <n v="6612580"/>
    <n v="11700000"/>
    <n v="0"/>
    <m/>
    <n v="0"/>
    <m/>
    <n v="18312580"/>
    <n v="700000"/>
    <n v="8190000"/>
    <n v="0"/>
    <n v="0"/>
    <n v="8890000"/>
    <n v="17835480"/>
    <n v="6625000"/>
    <n v="0"/>
    <m/>
    <n v="0"/>
    <n v="24460480"/>
    <n v="-2742100"/>
    <n v="-1177100"/>
    <n v="-6.5997663085041722E-2"/>
    <n v="-1565000"/>
    <n v="-0.23622641509433961"/>
    <m/>
  </r>
  <r>
    <x v="0"/>
    <x v="0"/>
    <x v="10"/>
    <x v="0"/>
    <x v="1"/>
    <x v="4"/>
    <x v="21"/>
    <x v="5"/>
    <x v="2"/>
    <x v="30"/>
    <n v="27"/>
    <n v="4847"/>
    <n v="43568000"/>
    <n v="4069900"/>
    <n v="7150000"/>
    <n v="0"/>
    <m/>
    <n v="0"/>
    <m/>
    <n v="11219900"/>
    <n v="700000"/>
    <n v="5005000"/>
    <n v="0"/>
    <n v="0"/>
    <n v="5705000"/>
    <n v="11327680"/>
    <n v="3950000"/>
    <n v="0"/>
    <m/>
    <n v="0"/>
    <n v="15277680"/>
    <n v="-1647220"/>
    <n v="-592220"/>
    <n v="-5.2280784767931299E-2"/>
    <n v="-1055000"/>
    <n v="-0.26708860759493669"/>
    <m/>
  </r>
  <r>
    <x v="0"/>
    <x v="0"/>
    <x v="0"/>
    <x v="0"/>
    <x v="0"/>
    <x v="0"/>
    <x v="21"/>
    <x v="5"/>
    <x v="2"/>
    <x v="30"/>
    <n v="244"/>
    <n v="82028"/>
    <n v="719192000"/>
    <n v="87408850"/>
    <n v="67820000"/>
    <n v="0"/>
    <m/>
    <n v="0"/>
    <m/>
    <n v="155228850"/>
    <n v="2275000"/>
    <n v="59780000"/>
    <n v="0"/>
    <n v="295448.0744444445"/>
    <n v="62350448.074444443"/>
    <n v="186989920"/>
    <n v="36825000"/>
    <n v="0"/>
    <n v="800000"/>
    <n v="0"/>
    <n v="224614920"/>
    <n v="7035621.925555557"/>
    <n v="29190621.925555557"/>
    <n v="0.15610799729501759"/>
    <n v="-22955000"/>
    <n v="-0.62335369993211132"/>
    <m/>
  </r>
  <r>
    <x v="0"/>
    <x v="0"/>
    <x v="1"/>
    <x v="0"/>
    <x v="0"/>
    <x v="1"/>
    <x v="21"/>
    <x v="5"/>
    <x v="2"/>
    <x v="30"/>
    <n v="25"/>
    <n v="7086"/>
    <n v="62068000"/>
    <n v="6854650"/>
    <n v="6955000"/>
    <n v="0"/>
    <m/>
    <n v="0"/>
    <m/>
    <n v="13809650"/>
    <n v="375000"/>
    <n v="6125000"/>
    <n v="0"/>
    <n v="425600"/>
    <n v="6925600"/>
    <n v="16137680"/>
    <n v="3875000"/>
    <n v="0"/>
    <n v="120000"/>
    <n v="0"/>
    <n v="20132680"/>
    <n v="-602570"/>
    <n v="1527430"/>
    <n v="9.4649912502912437E-2"/>
    <n v="-2250000"/>
    <n v="-0.58064516129032262"/>
    <m/>
  </r>
  <r>
    <x v="0"/>
    <x v="0"/>
    <x v="0"/>
    <x v="0"/>
    <x v="0"/>
    <x v="0"/>
    <x v="22"/>
    <x v="5"/>
    <x v="1"/>
    <x v="31"/>
    <n v="247"/>
    <n v="70564"/>
    <n v="618344000"/>
    <n v="69946920"/>
    <n v="62105000"/>
    <n v="0"/>
    <m/>
    <n v="0"/>
    <m/>
    <n v="132051920"/>
    <n v="2875000"/>
    <n v="60515000"/>
    <n v="0"/>
    <n v="295448.0744444445"/>
    <n v="63685448.074444443"/>
    <n v="160769440"/>
    <n v="38750000"/>
    <n v="0"/>
    <n v="760000"/>
    <m/>
    <n v="200279440"/>
    <n v="4542071.925555557"/>
    <n v="25547071.925555557"/>
    <n v="0.15890502526820743"/>
    <n v="-21765000"/>
    <n v="-0.56167741935483873"/>
    <m/>
  </r>
  <r>
    <x v="0"/>
    <x v="0"/>
    <x v="1"/>
    <x v="0"/>
    <x v="0"/>
    <x v="1"/>
    <x v="22"/>
    <x v="5"/>
    <x v="1"/>
    <x v="31"/>
    <n v="24"/>
    <n v="5991"/>
    <n v="52524000"/>
    <n v="5397020"/>
    <n v="6005000"/>
    <n v="0"/>
    <m/>
    <n v="0"/>
    <m/>
    <n v="11402020"/>
    <n v="375000"/>
    <n v="5880000"/>
    <n v="0"/>
    <n v="425600"/>
    <n v="6680600"/>
    <n v="13656240"/>
    <n v="3800000"/>
    <n v="0"/>
    <n v="100000"/>
    <m/>
    <n v="17556240"/>
    <n v="-526380"/>
    <n v="1453620"/>
    <n v="0.10644364773905556"/>
    <n v="-2080000"/>
    <n v="-0.54736842105263162"/>
    <m/>
  </r>
  <r>
    <x v="0"/>
    <x v="0"/>
    <x v="9"/>
    <x v="0"/>
    <x v="1"/>
    <x v="3"/>
    <x v="22"/>
    <x v="5"/>
    <x v="1"/>
    <x v="31"/>
    <n v="42"/>
    <n v="7131"/>
    <n v="75008000"/>
    <n v="7571160"/>
    <n v="12000000"/>
    <n v="0"/>
    <m/>
    <n v="0"/>
    <m/>
    <n v="19571160"/>
    <n v="700000"/>
    <n v="8400000"/>
    <n v="0"/>
    <n v="0"/>
    <n v="9100000"/>
    <n v="19502080"/>
    <n v="6700000"/>
    <n v="0"/>
    <n v="0"/>
    <n v="100000"/>
    <n v="26302080"/>
    <n v="-2369080"/>
    <n v="-669080"/>
    <n v="-3.4133112404397897E-2"/>
    <n v="-1700000"/>
    <n v="-0.2537313432835821"/>
    <m/>
  </r>
  <r>
    <x v="0"/>
    <x v="0"/>
    <x v="10"/>
    <x v="0"/>
    <x v="1"/>
    <x v="4"/>
    <x v="22"/>
    <x v="5"/>
    <x v="1"/>
    <x v="31"/>
    <n v="26"/>
    <n v="4991"/>
    <n v="43178000"/>
    <n v="3790960"/>
    <n v="7500000"/>
    <n v="0"/>
    <m/>
    <n v="0"/>
    <m/>
    <n v="11290960"/>
    <n v="740000"/>
    <n v="5250000"/>
    <n v="0"/>
    <n v="0"/>
    <n v="5990000"/>
    <n v="11226280"/>
    <n v="4150000"/>
    <n v="0"/>
    <n v="0"/>
    <n v="50000"/>
    <n v="15426280"/>
    <n v="-1854680"/>
    <n v="-754680"/>
    <n v="-6.692632676733816E-2"/>
    <n v="-1100000"/>
    <n v="-0.26506024096385544"/>
    <m/>
  </r>
  <r>
    <x v="0"/>
    <x v="12"/>
    <x v="16"/>
    <x v="1"/>
    <x v="0"/>
    <x v="2"/>
    <x v="21"/>
    <x v="5"/>
    <x v="2"/>
    <x v="30"/>
    <n v="16"/>
    <n v="1154"/>
    <n v="11041000"/>
    <n v="0"/>
    <n v="0"/>
    <n v="0"/>
    <m/>
    <n v="0"/>
    <m/>
    <n v="0"/>
    <n v="0"/>
    <n v="0"/>
    <n v="0"/>
    <n v="0"/>
    <n v="0"/>
    <n v="772870.00000000012"/>
    <n v="0"/>
    <n v="0"/>
    <n v="0"/>
    <n v="0"/>
    <n v="772870.00000000012"/>
    <n v="772870.00000000012"/>
    <n v="772870.00000000012"/>
    <n v="1"/>
    <n v="0"/>
    <n v="0"/>
    <m/>
  </r>
  <r>
    <x v="0"/>
    <x v="12"/>
    <x v="16"/>
    <x v="1"/>
    <x v="0"/>
    <x v="2"/>
    <x v="22"/>
    <x v="5"/>
    <x v="1"/>
    <x v="31"/>
    <n v="14"/>
    <n v="1067"/>
    <n v="10313000"/>
    <n v="0"/>
    <n v="0"/>
    <n v="0"/>
    <m/>
    <n v="0"/>
    <m/>
    <n v="0"/>
    <n v="0"/>
    <n v="0"/>
    <n v="0"/>
    <n v="0"/>
    <n v="0"/>
    <n v="721910.00000000012"/>
    <m/>
    <m/>
    <m/>
    <m/>
    <n v="721910.00000000012"/>
    <n v="721910.00000000012"/>
    <n v="721910.00000000012"/>
    <n v="1"/>
    <n v="0"/>
    <n v="0"/>
    <m/>
  </r>
  <r>
    <x v="0"/>
    <x v="14"/>
    <x v="18"/>
    <x v="0"/>
    <x v="1"/>
    <x v="3"/>
    <x v="21"/>
    <x v="5"/>
    <x v="2"/>
    <x v="30"/>
    <n v="3"/>
    <n v="197"/>
    <n v="2691000"/>
    <n v="187560"/>
    <n v="330000"/>
    <n v="0"/>
    <m/>
    <n v="0"/>
    <m/>
    <n v="517560"/>
    <n v="0"/>
    <n v="420000"/>
    <n v="0"/>
    <n v="0"/>
    <n v="420000"/>
    <n v="807300"/>
    <n v="325000"/>
    <n v="0"/>
    <m/>
    <n v="0"/>
    <n v="1132300"/>
    <n v="194740"/>
    <n v="289740"/>
    <n v="0.35890003716090674"/>
    <n v="-95000"/>
    <n v="-0.29230769230769232"/>
    <m/>
  </r>
  <r>
    <x v="0"/>
    <x v="14"/>
    <x v="18"/>
    <x v="0"/>
    <x v="1"/>
    <x v="3"/>
    <x v="22"/>
    <x v="5"/>
    <x v="1"/>
    <x v="31"/>
    <n v="2"/>
    <n v="361"/>
    <n v="3983000"/>
    <n v="368300"/>
    <n v="525000"/>
    <n v="0"/>
    <m/>
    <n v="0"/>
    <m/>
    <n v="893300"/>
    <n v="0"/>
    <n v="490000"/>
    <n v="0"/>
    <n v="0"/>
    <n v="490000"/>
    <n v="1194900"/>
    <n v="350000"/>
    <n v="0"/>
    <n v="0"/>
    <n v="0"/>
    <n v="1544900"/>
    <n v="161600"/>
    <n v="301600"/>
    <n v="0.25240605908444219"/>
    <n v="-140000"/>
    <n v="-0.4"/>
    <m/>
  </r>
  <r>
    <x v="0"/>
    <x v="0"/>
    <x v="0"/>
    <x v="0"/>
    <x v="0"/>
    <x v="0"/>
    <x v="24"/>
    <x v="5"/>
    <x v="0"/>
    <x v="34"/>
    <n v="239"/>
    <n v="68817"/>
    <n v="601724000"/>
    <n v="67790425"/>
    <n v="67230000"/>
    <n v="0"/>
    <m/>
    <n v="0"/>
    <m/>
    <n v="135020425"/>
    <n v="3325000"/>
    <n v="58555000"/>
    <n v="0"/>
    <n v="295448"/>
    <n v="62175448"/>
    <n v="156448240"/>
    <n v="36775000"/>
    <n v="0"/>
    <n v="1050000"/>
    <n v="0"/>
    <n v="194273240"/>
    <n v="-2922633"/>
    <n v="17807367"/>
    <n v="0.113822737794941"/>
    <n v="-21780000"/>
    <n v="-0.59225016995241331"/>
    <m/>
  </r>
  <r>
    <x v="0"/>
    <x v="0"/>
    <x v="1"/>
    <x v="0"/>
    <x v="0"/>
    <x v="1"/>
    <x v="24"/>
    <x v="5"/>
    <x v="0"/>
    <x v="34"/>
    <n v="24"/>
    <n v="6410"/>
    <n v="56260000"/>
    <n v="5833155"/>
    <n v="7565000"/>
    <n v="0"/>
    <m/>
    <n v="0"/>
    <m/>
    <n v="13398155"/>
    <n v="375000"/>
    <n v="5880000"/>
    <n v="0"/>
    <n v="425600"/>
    <n v="6680600"/>
    <n v="14627600"/>
    <n v="3575000"/>
    <n v="0"/>
    <n v="150000"/>
    <m/>
    <n v="18352600"/>
    <n v="-1726155"/>
    <n v="428845"/>
    <n v="2.9317523038639284E-2"/>
    <n v="-2305000"/>
    <n v="-0.64475524475524471"/>
    <m/>
  </r>
  <r>
    <x v="0"/>
    <x v="12"/>
    <x v="16"/>
    <x v="1"/>
    <x v="0"/>
    <x v="2"/>
    <x v="24"/>
    <x v="5"/>
    <x v="0"/>
    <x v="34"/>
    <n v="13"/>
    <n v="952"/>
    <n v="9238000"/>
    <n v="0"/>
    <n v="0"/>
    <n v="0"/>
    <m/>
    <n v="0"/>
    <m/>
    <n v="0"/>
    <n v="0"/>
    <n v="0"/>
    <n v="0"/>
    <n v="0"/>
    <n v="0"/>
    <n v="646660.00000000012"/>
    <n v="0"/>
    <n v="0"/>
    <n v="0"/>
    <n v="0"/>
    <n v="646660.00000000012"/>
    <n v="646660.00000000012"/>
    <n v="646660.00000000012"/>
    <n v="1"/>
    <n v="0"/>
    <n v="0"/>
    <m/>
  </r>
  <r>
    <x v="0"/>
    <x v="0"/>
    <x v="9"/>
    <x v="0"/>
    <x v="1"/>
    <x v="3"/>
    <x v="24"/>
    <x v="5"/>
    <x v="0"/>
    <x v="34"/>
    <n v="42"/>
    <n v="7885"/>
    <n v="72020000"/>
    <n v="7000780"/>
    <n v="11550000"/>
    <n v="0"/>
    <m/>
    <n v="0"/>
    <m/>
    <n v="18550780"/>
    <n v="700000"/>
    <n v="8085000"/>
    <n v="0"/>
    <n v="0"/>
    <n v="8785000"/>
    <n v="18725200"/>
    <n v="6325000"/>
    <n v="0"/>
    <n v="0"/>
    <n v="75000"/>
    <n v="25125200"/>
    <n v="-2210580"/>
    <n v="-450580"/>
    <n v="-2.3966766310996691E-2"/>
    <n v="-1760000"/>
    <n v="-0.27826086956521739"/>
    <m/>
  </r>
  <r>
    <x v="0"/>
    <x v="0"/>
    <x v="10"/>
    <x v="0"/>
    <x v="1"/>
    <x v="4"/>
    <x v="24"/>
    <x v="5"/>
    <x v="0"/>
    <x v="34"/>
    <n v="29"/>
    <n v="4521"/>
    <n v="40670000"/>
    <n v="3422480"/>
    <n v="7250000"/>
    <n v="0"/>
    <m/>
    <n v="0"/>
    <m/>
    <n v="10672480"/>
    <n v="700000"/>
    <n v="5075000"/>
    <n v="0"/>
    <n v="0"/>
    <n v="5775000"/>
    <n v="10574200"/>
    <n v="4175000"/>
    <n v="0"/>
    <n v="0"/>
    <n v="25000"/>
    <n v="14774200"/>
    <n v="-1673280"/>
    <n v="-773280"/>
    <n v="-7.2956449543361765E-2"/>
    <n v="-900000"/>
    <n v="-0.21556886227544911"/>
    <m/>
  </r>
  <r>
    <x v="0"/>
    <x v="14"/>
    <x v="18"/>
    <x v="0"/>
    <x v="1"/>
    <x v="3"/>
    <x v="24"/>
    <x v="5"/>
    <x v="0"/>
    <x v="34"/>
    <n v="2"/>
    <n v="418"/>
    <n v="4774000"/>
    <n v="468770"/>
    <n v="495000"/>
    <n v="0"/>
    <m/>
    <n v="0"/>
    <m/>
    <n v="963770"/>
    <n v="0"/>
    <n v="455000"/>
    <n v="0"/>
    <n v="0"/>
    <n v="455000"/>
    <n v="1432200"/>
    <n v="350000"/>
    <n v="0"/>
    <n v="0"/>
    <n v="0"/>
    <n v="1782200"/>
    <n v="363430"/>
    <n v="468430"/>
    <n v="0.3270702415863706"/>
    <n v="-105000"/>
    <n v="-0.3"/>
    <m/>
  </r>
  <r>
    <x v="0"/>
    <x v="4"/>
    <x v="11"/>
    <x v="0"/>
    <x v="1"/>
    <x v="5"/>
    <x v="24"/>
    <x v="5"/>
    <x v="0"/>
    <x v="34"/>
    <n v="4"/>
    <n v="112"/>
    <n v="429000"/>
    <n v="85800"/>
    <n v="480000"/>
    <n v="0"/>
    <m/>
    <n v="0"/>
    <m/>
    <n v="565800"/>
    <n v="350000"/>
    <n v="0"/>
    <n v="0"/>
    <n v="475000"/>
    <n v="825000"/>
    <n v="429000"/>
    <n v="0"/>
    <n v="0"/>
    <n v="0"/>
    <n v="0"/>
    <n v="429000"/>
    <n v="-961800"/>
    <n v="-961800"/>
    <n v="-2.2419580419580418"/>
    <n v="0"/>
    <n v="0"/>
    <m/>
  </r>
  <r>
    <x v="0"/>
    <x v="0"/>
    <x v="9"/>
    <x v="0"/>
    <x v="1"/>
    <x v="3"/>
    <x v="23"/>
    <x v="5"/>
    <x v="4"/>
    <x v="32"/>
    <n v="44"/>
    <n v="8147"/>
    <n v="74444000"/>
    <n v="7548720"/>
    <n v="8175000"/>
    <n v="0"/>
    <m/>
    <n v="200000"/>
    <m/>
    <n v="15923720"/>
    <n v="700000"/>
    <n v="8015000"/>
    <n v="0"/>
    <n v="0"/>
    <n v="8715000"/>
    <n v="19355440"/>
    <n v="6425000"/>
    <n v="0"/>
    <n v="0"/>
    <n v="125000"/>
    <n v="25905440"/>
    <n v="1266720"/>
    <n v="2856720"/>
    <n v="0.14664555831387793"/>
    <n v="-1590000"/>
    <n v="-0.24747081712062258"/>
    <m/>
  </r>
  <r>
    <x v="0"/>
    <x v="0"/>
    <x v="10"/>
    <x v="0"/>
    <x v="1"/>
    <x v="4"/>
    <x v="23"/>
    <x v="5"/>
    <x v="4"/>
    <x v="32"/>
    <n v="26"/>
    <n v="4456"/>
    <n v="40072000"/>
    <n v="3387080"/>
    <n v="4250000"/>
    <n v="0"/>
    <m/>
    <n v="0"/>
    <m/>
    <n v="7637080"/>
    <n v="700000"/>
    <n v="4655000"/>
    <n v="0"/>
    <n v="0"/>
    <n v="5355000"/>
    <n v="10418720"/>
    <n v="4000000"/>
    <n v="0"/>
    <n v="0"/>
    <n v="225000"/>
    <n v="14643720"/>
    <n v="1651640"/>
    <n v="2306640"/>
    <n v="0.21671370535865281"/>
    <n v="-655000"/>
    <n v="-0.16375000000000001"/>
    <m/>
  </r>
  <r>
    <x v="0"/>
    <x v="14"/>
    <x v="18"/>
    <x v="0"/>
    <x v="1"/>
    <x v="3"/>
    <x v="23"/>
    <x v="5"/>
    <x v="4"/>
    <x v="32"/>
    <n v="2"/>
    <n v="327"/>
    <n v="3663000"/>
    <n v="312370"/>
    <n v="507500"/>
    <n v="0"/>
    <m/>
    <n v="0"/>
    <m/>
    <n v="819870"/>
    <n v="0"/>
    <n v="490000"/>
    <n v="0"/>
    <n v="0"/>
    <n v="490000"/>
    <n v="1098900"/>
    <n v="350000"/>
    <n v="0"/>
    <n v="0"/>
    <n v="0"/>
    <n v="1448900"/>
    <n v="139030"/>
    <n v="279030"/>
    <n v="0.25391755391755394"/>
    <n v="-140000"/>
    <n v="-0.4"/>
    <m/>
  </r>
  <r>
    <x v="0"/>
    <x v="4"/>
    <x v="11"/>
    <x v="0"/>
    <x v="1"/>
    <x v="5"/>
    <x v="23"/>
    <x v="5"/>
    <x v="4"/>
    <x v="32"/>
    <n v="5"/>
    <n v="130"/>
    <n v="851000"/>
    <n v="170200"/>
    <n v="780000"/>
    <n v="0"/>
    <m/>
    <n v="0"/>
    <m/>
    <n v="950200"/>
    <n v="410000"/>
    <n v="0"/>
    <n v="0"/>
    <n v="230000"/>
    <n v="640000"/>
    <n v="851000"/>
    <n v="0"/>
    <n v="0"/>
    <n v="0"/>
    <n v="0"/>
    <n v="851000"/>
    <n v="-739200"/>
    <n v="-739200"/>
    <n v="-0.86862514688601644"/>
    <n v="0"/>
    <n v="0"/>
    <m/>
  </r>
  <r>
    <x v="0"/>
    <x v="0"/>
    <x v="0"/>
    <x v="0"/>
    <x v="0"/>
    <x v="0"/>
    <x v="23"/>
    <x v="5"/>
    <x v="4"/>
    <x v="32"/>
    <n v="251"/>
    <n v="75797"/>
    <n v="663928000"/>
    <n v="77336230"/>
    <n v="69415000"/>
    <n v="0"/>
    <n v="1100000"/>
    <n v="4000000"/>
    <m/>
    <n v="151851230"/>
    <n v="3425000"/>
    <n v="61495000"/>
    <n v="0"/>
    <n v="295448"/>
    <n v="65215448"/>
    <n v="172621280"/>
    <n v="37975000"/>
    <n v="0"/>
    <n v="1425000"/>
    <n v="0"/>
    <n v="212021280"/>
    <n v="-5045398"/>
    <n v="17049602"/>
    <n v="9.8768830818541029E-2"/>
    <n v="-23520000"/>
    <n v="-0.61935483870967745"/>
    <m/>
  </r>
  <r>
    <x v="0"/>
    <x v="0"/>
    <x v="1"/>
    <x v="0"/>
    <x v="0"/>
    <x v="1"/>
    <x v="23"/>
    <x v="5"/>
    <x v="4"/>
    <x v="32"/>
    <n v="27"/>
    <n v="7415"/>
    <n v="65040000"/>
    <n v="7267175"/>
    <n v="7775000"/>
    <n v="0"/>
    <n v="200000"/>
    <n v="200000"/>
    <m/>
    <n v="15442175"/>
    <n v="475000"/>
    <n v="6615000"/>
    <n v="0"/>
    <n v="425600"/>
    <n v="7515600"/>
    <n v="16910400"/>
    <n v="4075000"/>
    <n v="0"/>
    <n v="225000"/>
    <n v="0"/>
    <n v="21210400"/>
    <n v="-1747375"/>
    <n v="567625"/>
    <n v="3.3566621723909548E-2"/>
    <n v="-2540000"/>
    <n v="-0.62331288343558278"/>
    <m/>
  </r>
  <r>
    <x v="0"/>
    <x v="12"/>
    <x v="16"/>
    <x v="1"/>
    <x v="0"/>
    <x v="2"/>
    <x v="23"/>
    <x v="5"/>
    <x v="4"/>
    <x v="32"/>
    <n v="11"/>
    <n v="1103"/>
    <n v="10843000"/>
    <n v="0"/>
    <n v="0"/>
    <n v="0"/>
    <m/>
    <n v="0"/>
    <m/>
    <n v="0"/>
    <n v="0"/>
    <n v="0"/>
    <n v="0"/>
    <n v="0"/>
    <n v="0"/>
    <n v="759010.00000000012"/>
    <n v="0"/>
    <n v="0"/>
    <n v="0"/>
    <n v="0"/>
    <n v="759010.00000000012"/>
    <n v="759010.00000000012"/>
    <n v="759010.00000000012"/>
    <n v="1"/>
    <n v="0"/>
    <n v="0"/>
    <m/>
  </r>
  <r>
    <x v="0"/>
    <x v="15"/>
    <x v="20"/>
    <x v="1"/>
    <x v="0"/>
    <x v="2"/>
    <x v="23"/>
    <x v="5"/>
    <x v="4"/>
    <x v="32"/>
    <n v="6"/>
    <n v="502"/>
    <n v="1594000"/>
    <n v="29400"/>
    <n v="1140000"/>
    <n v="0"/>
    <m/>
    <n v="0"/>
    <m/>
    <n v="1169400"/>
    <n v="0"/>
    <n v="665000"/>
    <n v="0"/>
    <n v="0"/>
    <n v="665000"/>
    <n v="350680"/>
    <n v="475000"/>
    <n v="632700"/>
    <n v="0"/>
    <n v="0"/>
    <n v="1458380"/>
    <n v="-376020"/>
    <n v="-818720"/>
    <n v="-2.3346640812136421"/>
    <n v="442700"/>
    <n v="0.39965694682675817"/>
    <m/>
  </r>
  <r>
    <x v="0"/>
    <x v="0"/>
    <x v="0"/>
    <x v="0"/>
    <x v="0"/>
    <x v="0"/>
    <x v="20"/>
    <x v="5"/>
    <x v="3"/>
    <x v="108"/>
    <n v="224"/>
    <n v="15789"/>
    <n v="137866000"/>
    <n v="20886437.142857142"/>
    <n v="18871428.571428571"/>
    <n v="0"/>
    <m/>
    <n v="0"/>
    <m/>
    <n v="39757865.714285716"/>
    <n v="1250000"/>
    <n v="17220000"/>
    <n v="0"/>
    <n v="83901.288888888899"/>
    <n v="18553901.28888889"/>
    <n v="35845160"/>
    <n v="11257142.857142856"/>
    <n v="0"/>
    <n v="478571.42857142852"/>
    <n v="0"/>
    <n v="47580874.285714284"/>
    <n v="-10730892.717460319"/>
    <n v="-5246607.0031746048"/>
    <n v="-0.1463686311673488"/>
    <n v="-5962857.1428571437"/>
    <n v="-0.52969543147208131"/>
    <m/>
  </r>
  <r>
    <x v="0"/>
    <x v="0"/>
    <x v="0"/>
    <x v="0"/>
    <x v="0"/>
    <x v="0"/>
    <x v="20"/>
    <x v="4"/>
    <x v="2"/>
    <x v="109"/>
    <n v="243"/>
    <n v="57342"/>
    <n v="503430000"/>
    <n v="52216092.857142858"/>
    <n v="47178571.428571433"/>
    <n v="0"/>
    <m/>
    <n v="0"/>
    <m/>
    <n v="99394664.285714298"/>
    <n v="2075000"/>
    <n v="43050000"/>
    <n v="625000"/>
    <n v="202986.9892473119"/>
    <n v="45952986.989247315"/>
    <n v="130891800"/>
    <n v="28142857.142857142"/>
    <n v="0"/>
    <n v="1196428.5714285714"/>
    <n v="0"/>
    <n v="160231085.7142857"/>
    <n v="14883434.439324081"/>
    <n v="28594148.725038391"/>
    <n v="0.21845637942971516"/>
    <n v="-14907142.857142858"/>
    <n v="-0.52969543147208131"/>
    <m/>
  </r>
  <r>
    <x v="0"/>
    <x v="0"/>
    <x v="1"/>
    <x v="0"/>
    <x v="0"/>
    <x v="1"/>
    <x v="20"/>
    <x v="5"/>
    <x v="3"/>
    <x v="108"/>
    <n v="24"/>
    <n v="1592"/>
    <n v="13950000"/>
    <n v="1694311.4285714284"/>
    <n v="1830000"/>
    <n v="0"/>
    <m/>
    <n v="0"/>
    <m/>
    <n v="3524311.4285714282"/>
    <n v="150000"/>
    <n v="1680000"/>
    <n v="0"/>
    <n v="121600"/>
    <n v="1951600"/>
    <n v="3627000"/>
    <n v="1078571.4285714284"/>
    <n v="0"/>
    <n v="64285.714285714283"/>
    <n v="0"/>
    <n v="4769857.1428571427"/>
    <n v="-706054.28571428545"/>
    <n v="-168911.42857142817"/>
    <n v="-4.6570562054432912E-2"/>
    <n v="-601428.57142857159"/>
    <n v="-0.55761589403973533"/>
    <m/>
  </r>
  <r>
    <x v="0"/>
    <x v="0"/>
    <x v="1"/>
    <x v="0"/>
    <x v="0"/>
    <x v="1"/>
    <x v="20"/>
    <x v="4"/>
    <x v="2"/>
    <x v="109"/>
    <n v="23"/>
    <n v="4844"/>
    <n v="42314000"/>
    <n v="4235778.5714285718"/>
    <n v="4575000"/>
    <n v="0"/>
    <m/>
    <n v="0"/>
    <m/>
    <n v="8810778.5714285709"/>
    <n v="225000"/>
    <n v="4200000"/>
    <n v="125000"/>
    <n v="294193.54838709679"/>
    <n v="4844193.5483870972"/>
    <n v="11001640"/>
    <n v="2696428.5714285714"/>
    <n v="0"/>
    <n v="160714.28571428571"/>
    <n v="0"/>
    <n v="13858782.857142856"/>
    <n v="203810.73732718825"/>
    <n v="1546667.8801843324"/>
    <n v="0.14058521094894327"/>
    <n v="-1503571.4285714286"/>
    <n v="-0.5576158940397351"/>
    <m/>
  </r>
  <r>
    <x v="0"/>
    <x v="12"/>
    <x v="16"/>
    <x v="1"/>
    <x v="0"/>
    <x v="2"/>
    <x v="20"/>
    <x v="5"/>
    <x v="3"/>
    <x v="108"/>
    <n v="11"/>
    <n v="335"/>
    <n v="3253000"/>
    <n v="0"/>
    <n v="0"/>
    <n v="0"/>
    <m/>
    <n v="0"/>
    <m/>
    <n v="0"/>
    <n v="0"/>
    <n v="0"/>
    <n v="0"/>
    <n v="0"/>
    <n v="0"/>
    <n v="227710.00000000003"/>
    <n v="0"/>
    <n v="0"/>
    <n v="0"/>
    <n v="0"/>
    <n v="227710.00000000003"/>
    <n v="227710.00000000003"/>
    <n v="227710.00000000003"/>
    <n v="1"/>
    <n v="0"/>
    <n v="0"/>
    <m/>
  </r>
  <r>
    <x v="0"/>
    <x v="12"/>
    <x v="16"/>
    <x v="1"/>
    <x v="0"/>
    <x v="2"/>
    <x v="20"/>
    <x v="4"/>
    <x v="2"/>
    <x v="109"/>
    <n v="13"/>
    <n v="876"/>
    <n v="8614000"/>
    <n v="0"/>
    <n v="0"/>
    <n v="0"/>
    <m/>
    <n v="0"/>
    <m/>
    <n v="0"/>
    <n v="0"/>
    <n v="0"/>
    <n v="0"/>
    <n v="0"/>
    <n v="0"/>
    <n v="602980"/>
    <n v="0"/>
    <n v="0"/>
    <n v="0"/>
    <n v="0"/>
    <n v="602980"/>
    <n v="602980"/>
    <n v="602980"/>
    <n v="1"/>
    <n v="0"/>
    <n v="0"/>
    <m/>
  </r>
  <r>
    <x v="0"/>
    <x v="15"/>
    <x v="20"/>
    <x v="1"/>
    <x v="0"/>
    <x v="2"/>
    <x v="20"/>
    <x v="5"/>
    <x v="3"/>
    <x v="108"/>
    <n v="3"/>
    <n v="105"/>
    <n v="328002"/>
    <n v="0"/>
    <n v="200000"/>
    <n v="0"/>
    <m/>
    <n v="0"/>
    <m/>
    <n v="200000"/>
    <n v="0"/>
    <n v="210000"/>
    <n v="0"/>
    <n v="0"/>
    <n v="210000"/>
    <n v="72160.44"/>
    <n v="128571.42857142857"/>
    <n v="133200"/>
    <n v="0"/>
    <n v="0"/>
    <n v="333931.86857142858"/>
    <n v="-76068.131428571418"/>
    <n v="-127839.56"/>
    <n v="-1.7716017252666418"/>
    <n v="51771.42857142858"/>
    <n v="0.19777341191879505"/>
    <m/>
  </r>
  <r>
    <x v="0"/>
    <x v="15"/>
    <x v="20"/>
    <x v="1"/>
    <x v="0"/>
    <x v="2"/>
    <x v="20"/>
    <x v="4"/>
    <x v="2"/>
    <x v="109"/>
    <n v="3"/>
    <n v="451"/>
    <n v="1434000"/>
    <n v="0"/>
    <n v="500000"/>
    <n v="0"/>
    <m/>
    <n v="0"/>
    <m/>
    <n v="500000"/>
    <n v="0"/>
    <n v="525000"/>
    <n v="0"/>
    <n v="0"/>
    <n v="525000"/>
    <n v="315480"/>
    <n v="321428.57142857142"/>
    <n v="333000"/>
    <n v="0"/>
    <n v="0"/>
    <n v="969908.57142857136"/>
    <n v="-55091.428571428638"/>
    <n v="-184520"/>
    <n v="-0.5848865221250158"/>
    <n v="129428.57142857136"/>
    <n v="0.19777341191879494"/>
    <m/>
  </r>
  <r>
    <x v="0"/>
    <x v="0"/>
    <x v="9"/>
    <x v="0"/>
    <x v="1"/>
    <x v="3"/>
    <x v="20"/>
    <x v="5"/>
    <x v="3"/>
    <x v="108"/>
    <n v="44"/>
    <n v="1985"/>
    <n v="21910000"/>
    <n v="1135450"/>
    <n v="2600000"/>
    <n v="0"/>
    <m/>
    <n v="0"/>
    <m/>
    <n v="3735450"/>
    <n v="200000"/>
    <n v="2520000"/>
    <n v="0"/>
    <n v="0"/>
    <n v="2720000"/>
    <n v="5696600"/>
    <n v="1800000"/>
    <n v="0"/>
    <n v="0"/>
    <n v="25000"/>
    <n v="7521600"/>
    <n v="1066150"/>
    <n v="1786150"/>
    <n v="0.31217666387024606"/>
    <n v="-720000"/>
    <n v="-0.4"/>
    <m/>
  </r>
  <r>
    <x v="0"/>
    <x v="0"/>
    <x v="10"/>
    <x v="0"/>
    <x v="1"/>
    <x v="4"/>
    <x v="20"/>
    <x v="5"/>
    <x v="3"/>
    <x v="108"/>
    <n v="18"/>
    <n v="1152"/>
    <n v="8956000"/>
    <n v="447800"/>
    <n v="925000"/>
    <n v="0"/>
    <m/>
    <n v="0"/>
    <m/>
    <n v="1372800"/>
    <n v="200000"/>
    <n v="980000"/>
    <n v="0"/>
    <n v="0"/>
    <n v="1180000"/>
    <n v="2328560"/>
    <n v="700000"/>
    <n v="0"/>
    <n v="0"/>
    <n v="125000"/>
    <n v="3153560"/>
    <n v="600760"/>
    <n v="880760"/>
    <n v="0.35897226886646344"/>
    <n v="-280000"/>
    <n v="-0.4"/>
    <m/>
  </r>
  <r>
    <x v="0"/>
    <x v="14"/>
    <x v="18"/>
    <x v="0"/>
    <x v="1"/>
    <x v="3"/>
    <x v="20"/>
    <x v="5"/>
    <x v="3"/>
    <x v="108"/>
    <n v="2"/>
    <n v="59"/>
    <n v="639000"/>
    <n v="30000"/>
    <n v="75000"/>
    <n v="0"/>
    <m/>
    <n v="0"/>
    <m/>
    <n v="105000"/>
    <n v="0"/>
    <n v="105000"/>
    <n v="0"/>
    <n v="0"/>
    <n v="105000"/>
    <n v="191700"/>
    <n v="75000"/>
    <n v="0"/>
    <n v="0"/>
    <n v="0"/>
    <n v="266700"/>
    <n v="56700"/>
    <n v="86700"/>
    <n v="0.45226917057902971"/>
    <n v="-30000"/>
    <n v="-0.4"/>
    <m/>
  </r>
  <r>
    <x v="0"/>
    <x v="4"/>
    <x v="11"/>
    <x v="0"/>
    <x v="1"/>
    <x v="5"/>
    <x v="20"/>
    <x v="5"/>
    <x v="3"/>
    <x v="108"/>
    <n v="3"/>
    <n v="44"/>
    <n v="144000"/>
    <n v="28800"/>
    <n v="90000"/>
    <n v="0"/>
    <m/>
    <n v="0"/>
    <m/>
    <n v="118800"/>
    <n v="100000"/>
    <n v="0"/>
    <n v="0"/>
    <n v="0"/>
    <n v="100000"/>
    <n v="144000"/>
    <n v="0"/>
    <n v="0"/>
    <n v="0"/>
    <n v="0"/>
    <n v="144000"/>
    <n v="-74800"/>
    <n v="-74800"/>
    <n v="-0.51944444444444449"/>
    <n v="0"/>
    <n v="0"/>
    <m/>
  </r>
  <r>
    <x v="0"/>
    <x v="0"/>
    <x v="9"/>
    <x v="0"/>
    <x v="1"/>
    <x v="3"/>
    <x v="20"/>
    <x v="4"/>
    <x v="2"/>
    <x v="109"/>
    <n v="44"/>
    <n v="5928"/>
    <n v="50488000"/>
    <n v="3944900"/>
    <n v="5675000"/>
    <n v="0"/>
    <m/>
    <n v="0"/>
    <m/>
    <n v="9619900"/>
    <n v="500000"/>
    <n v="5320000"/>
    <n v="0"/>
    <n v="0"/>
    <n v="5820000"/>
    <n v="13126880"/>
    <n v="4325000"/>
    <n v="0"/>
    <n v="0"/>
    <n v="0"/>
    <n v="17451880"/>
    <n v="2011980"/>
    <n v="3006980"/>
    <n v="0.22907042648367321"/>
    <n v="-995000"/>
    <n v="-0.23005780346820809"/>
    <m/>
  </r>
  <r>
    <x v="0"/>
    <x v="0"/>
    <x v="10"/>
    <x v="0"/>
    <x v="1"/>
    <x v="4"/>
    <x v="20"/>
    <x v="4"/>
    <x v="2"/>
    <x v="109"/>
    <n v="21"/>
    <n v="2386"/>
    <n v="22644000"/>
    <n v="1709180"/>
    <n v="2550000"/>
    <n v="0"/>
    <m/>
    <n v="0"/>
    <m/>
    <n v="4259180"/>
    <n v="500000"/>
    <n v="2695000"/>
    <n v="0"/>
    <n v="0"/>
    <n v="3195000"/>
    <n v="5887440"/>
    <n v="2175000"/>
    <n v="0"/>
    <n v="0"/>
    <n v="0"/>
    <n v="8062440"/>
    <n v="608260"/>
    <n v="1128260"/>
    <n v="0.19163847105023576"/>
    <n v="-520000"/>
    <n v="-0.23908045977011494"/>
    <m/>
  </r>
  <r>
    <x v="0"/>
    <x v="14"/>
    <x v="18"/>
    <x v="0"/>
    <x v="1"/>
    <x v="3"/>
    <x v="20"/>
    <x v="4"/>
    <x v="2"/>
    <x v="109"/>
    <n v="4"/>
    <n v="303"/>
    <n v="3276000"/>
    <n v="163800"/>
    <n v="375000"/>
    <n v="0"/>
    <m/>
    <n v="0"/>
    <m/>
    <n v="538800"/>
    <n v="0"/>
    <n v="375000"/>
    <n v="0"/>
    <n v="0"/>
    <n v="375000"/>
    <n v="982800"/>
    <n v="425000"/>
    <n v="0"/>
    <n v="0"/>
    <n v="0"/>
    <n v="1407800"/>
    <n v="494000"/>
    <n v="444000"/>
    <n v="0.45177045177045178"/>
    <n v="50000"/>
    <n v="0.11764705882352941"/>
    <m/>
  </r>
  <r>
    <x v="0"/>
    <x v="0"/>
    <x v="0"/>
    <x v="0"/>
    <x v="0"/>
    <x v="2"/>
    <x v="19"/>
    <x v="4"/>
    <x v="1"/>
    <x v="27"/>
    <n v="252"/>
    <n v="76453"/>
    <n v="671586000"/>
    <n v="78013080"/>
    <n v="68520000"/>
    <n v="0"/>
    <m/>
    <n v="0"/>
    <m/>
    <n v="146533080"/>
    <n v="3925000"/>
    <n v="61740000"/>
    <n v="0"/>
    <n v="284181.78494623699"/>
    <n v="65949181.78494624"/>
    <n v="174612360"/>
    <n v="38875000"/>
    <n v="0"/>
    <n v="550000"/>
    <n v="0"/>
    <n v="214037360"/>
    <n v="1555098.215053767"/>
    <n v="23870098.215053763"/>
    <n v="0.13670337091288248"/>
    <n v="-22865000"/>
    <n v="-0.58816720257234723"/>
    <m/>
  </r>
  <r>
    <x v="0"/>
    <x v="0"/>
    <x v="1"/>
    <x v="0"/>
    <x v="0"/>
    <x v="2"/>
    <x v="19"/>
    <x v="4"/>
    <x v="1"/>
    <x v="27"/>
    <n v="21"/>
    <n v="6591"/>
    <n v="57774000"/>
    <n v="6485355"/>
    <n v="6435000"/>
    <n v="0"/>
    <m/>
    <n v="0"/>
    <m/>
    <n v="12920355"/>
    <n v="375000"/>
    <n v="5145000"/>
    <m/>
    <n v="411870.96774193551"/>
    <n v="5931870.9677419355"/>
    <n v="15021240"/>
    <n v="3200000"/>
    <n v="0"/>
    <n v="0"/>
    <n v="0"/>
    <n v="18221240"/>
    <n v="-630985.96774193645"/>
    <n v="1314014.0322580645"/>
    <n v="8.7477067955645776E-2"/>
    <n v="-1945000"/>
    <n v="-0.60781249999999998"/>
    <m/>
  </r>
  <r>
    <x v="0"/>
    <x v="12"/>
    <x v="16"/>
    <x v="1"/>
    <x v="0"/>
    <x v="2"/>
    <x v="19"/>
    <x v="4"/>
    <x v="1"/>
    <x v="27"/>
    <n v="16"/>
    <n v="1137"/>
    <n v="10712000"/>
    <n v="0"/>
    <n v="0"/>
    <n v="0"/>
    <m/>
    <n v="0"/>
    <m/>
    <n v="0"/>
    <n v="0"/>
    <n v="0"/>
    <n v="0"/>
    <n v="0"/>
    <n v="0"/>
    <n v="749840.00000000012"/>
    <n v="0"/>
    <n v="0"/>
    <n v="0"/>
    <n v="0"/>
    <n v="749840.00000000012"/>
    <n v="749840.00000000012"/>
    <n v="749840.00000000012"/>
    <n v="1"/>
    <n v="0"/>
    <n v="0"/>
    <m/>
  </r>
  <r>
    <x v="0"/>
    <x v="15"/>
    <x v="20"/>
    <x v="1"/>
    <x v="0"/>
    <x v="2"/>
    <x v="19"/>
    <x v="4"/>
    <x v="1"/>
    <x v="27"/>
    <n v="4"/>
    <n v="514"/>
    <n v="2118002"/>
    <n v="0"/>
    <n v="750000"/>
    <n v="0"/>
    <m/>
    <n v="0"/>
    <m/>
    <n v="750000"/>
    <n v="0"/>
    <n v="980000"/>
    <n v="0"/>
    <n v="0"/>
    <n v="980000"/>
    <n v="465960.44"/>
    <n v="475000"/>
    <n v="499500"/>
    <n v="0"/>
    <n v="0"/>
    <n v="1440460.44"/>
    <n v="-289539.56000000006"/>
    <n v="-284039.56"/>
    <n v="-0.60957870157389327"/>
    <n v="-5500"/>
    <n v="-5.643919958953309E-3"/>
    <m/>
  </r>
  <r>
    <x v="0"/>
    <x v="0"/>
    <x v="9"/>
    <x v="0"/>
    <x v="1"/>
    <x v="3"/>
    <x v="19"/>
    <x v="4"/>
    <x v="1"/>
    <x v="27"/>
    <n v="37"/>
    <n v="7162"/>
    <n v="65736000"/>
    <n v="6509200"/>
    <n v="7050000"/>
    <n v="0"/>
    <m/>
    <n v="0"/>
    <m/>
    <n v="13559200"/>
    <n v="700000"/>
    <n v="6720000"/>
    <n v="0"/>
    <n v="0"/>
    <n v="7420000"/>
    <n v="17091360"/>
    <n v="5300000"/>
    <n v="0"/>
    <n v="0"/>
    <n v="75000"/>
    <n v="22466360"/>
    <n v="1487160"/>
    <n v="2907160"/>
    <n v="0.1693521515335808"/>
    <n v="-1420000"/>
    <n v="-0.26792452830188679"/>
    <m/>
  </r>
  <r>
    <x v="0"/>
    <x v="0"/>
    <x v="10"/>
    <x v="0"/>
    <x v="1"/>
    <x v="4"/>
    <x v="19"/>
    <x v="4"/>
    <x v="1"/>
    <x v="27"/>
    <n v="19"/>
    <n v="2939"/>
    <n v="26608000"/>
    <n v="2403180"/>
    <n v="3200000"/>
    <n v="0"/>
    <m/>
    <n v="0"/>
    <m/>
    <n v="5603180"/>
    <n v="700000"/>
    <n v="2905000"/>
    <n v="0"/>
    <n v="0"/>
    <n v="3605000"/>
    <n v="6918080"/>
    <n v="2400000"/>
    <n v="0"/>
    <n v="0"/>
    <n v="0"/>
    <n v="9318080"/>
    <n v="109900"/>
    <n v="614900"/>
    <n v="8.8883042693926634E-2"/>
    <n v="-505000"/>
    <n v="-0.21041666666666667"/>
    <m/>
  </r>
  <r>
    <x v="0"/>
    <x v="0"/>
    <x v="21"/>
    <x v="0"/>
    <x v="1"/>
    <x v="3"/>
    <x v="19"/>
    <x v="4"/>
    <x v="1"/>
    <x v="27"/>
    <n v="1"/>
    <n v="99"/>
    <n v="200000"/>
    <n v="0"/>
    <n v="0"/>
    <n v="0"/>
    <m/>
    <n v="0"/>
    <m/>
    <n v="0"/>
    <n v="0"/>
    <n v="0"/>
    <n v="0"/>
    <n v="0"/>
    <n v="0"/>
    <n v="14000.000000000002"/>
    <n v="0"/>
    <n v="0"/>
    <n v="0"/>
    <n v="0"/>
    <n v="14000.000000000002"/>
    <n v="14000.000000000002"/>
    <n v="14000.000000000002"/>
    <n v="1"/>
    <n v="0"/>
    <n v="0"/>
    <m/>
  </r>
  <r>
    <x v="0"/>
    <x v="14"/>
    <x v="18"/>
    <x v="0"/>
    <x v="1"/>
    <x v="3"/>
    <x v="19"/>
    <x v="4"/>
    <x v="1"/>
    <x v="27"/>
    <n v="5"/>
    <n v="547"/>
    <n v="5917000"/>
    <n v="387010"/>
    <n v="872500"/>
    <n v="0"/>
    <m/>
    <n v="0"/>
    <m/>
    <n v="1259510"/>
    <n v="0"/>
    <n v="1050000"/>
    <n v="0"/>
    <n v="0"/>
    <n v="1050000"/>
    <n v="1775100"/>
    <n v="800000"/>
    <n v="0"/>
    <n v="0"/>
    <n v="25000"/>
    <n v="2600100"/>
    <n v="290590"/>
    <n v="540590"/>
    <n v="0.30031109382812066"/>
    <n v="-250000"/>
    <n v="-0.3125"/>
    <m/>
  </r>
  <r>
    <x v="0"/>
    <x v="0"/>
    <x v="9"/>
    <x v="0"/>
    <x v="1"/>
    <x v="3"/>
    <x v="18"/>
    <x v="4"/>
    <x v="0"/>
    <x v="26"/>
    <n v="31"/>
    <n v="5935"/>
    <n v="54558000"/>
    <n v="5179760"/>
    <n v="5825000"/>
    <n v="0"/>
    <m/>
    <n v="0"/>
    <m/>
    <n v="11004760"/>
    <n v="825000"/>
    <n v="5530000"/>
    <n v="0"/>
    <n v="0"/>
    <n v="6355000"/>
    <n v="14185080"/>
    <n v="4525000"/>
    <n v="0"/>
    <n v="0"/>
    <n v="0"/>
    <n v="18710080"/>
    <n v="1350320"/>
    <n v="2355320"/>
    <n v="0.16604206673490737"/>
    <n v="-1005000"/>
    <n v="-0.22209944751381216"/>
    <m/>
  </r>
  <r>
    <x v="0"/>
    <x v="0"/>
    <x v="10"/>
    <x v="0"/>
    <x v="1"/>
    <x v="3"/>
    <x v="18"/>
    <x v="4"/>
    <x v="0"/>
    <x v="26"/>
    <n v="16"/>
    <n v="2771"/>
    <n v="24884000"/>
    <n v="2264580"/>
    <n v="3025000"/>
    <n v="0"/>
    <m/>
    <n v="0"/>
    <m/>
    <n v="5289580"/>
    <n v="700000"/>
    <n v="2905000"/>
    <n v="0"/>
    <n v="0"/>
    <n v="3605000"/>
    <n v="6469840"/>
    <n v="2300000"/>
    <n v="0"/>
    <n v="0"/>
    <n v="0"/>
    <n v="8769840"/>
    <n v="-124740"/>
    <n v="480260"/>
    <n v="7.4230583754776008E-2"/>
    <n v="-605000"/>
    <n v="-0.26304347826086955"/>
    <m/>
  </r>
  <r>
    <x v="0"/>
    <x v="0"/>
    <x v="21"/>
    <x v="0"/>
    <x v="1"/>
    <x v="3"/>
    <x v="18"/>
    <x v="4"/>
    <x v="0"/>
    <x v="26"/>
    <n v="1"/>
    <n v="206"/>
    <n v="396300"/>
    <n v="0"/>
    <n v="0"/>
    <n v="0"/>
    <m/>
    <n v="0"/>
    <m/>
    <n v="0"/>
    <n v="125000"/>
    <n v="0"/>
    <n v="0"/>
    <n v="0"/>
    <n v="125000"/>
    <n v="27741.000000000004"/>
    <n v="0"/>
    <n v="0"/>
    <n v="0"/>
    <n v="0"/>
    <n v="27741.000000000004"/>
    <n v="-97259"/>
    <n v="-97259"/>
    <n v="-3.5059658988500773"/>
    <n v="0"/>
    <n v="0"/>
    <m/>
  </r>
  <r>
    <x v="0"/>
    <x v="14"/>
    <x v="18"/>
    <x v="0"/>
    <x v="1"/>
    <x v="3"/>
    <x v="18"/>
    <x v="4"/>
    <x v="0"/>
    <x v="26"/>
    <n v="5"/>
    <n v="408"/>
    <n v="4209000"/>
    <n v="210450"/>
    <n v="650000"/>
    <n v="0"/>
    <m/>
    <n v="0"/>
    <m/>
    <n v="860450"/>
    <n v="250000"/>
    <n v="910000"/>
    <n v="0"/>
    <n v="0"/>
    <n v="1160000"/>
    <n v="1262700"/>
    <n v="700000"/>
    <n v="0"/>
    <n v="0"/>
    <n v="0"/>
    <n v="1962700"/>
    <n v="-57750"/>
    <n v="152250"/>
    <n v="0.12057495842242813"/>
    <n v="-210000"/>
    <n v="-0.3"/>
    <m/>
  </r>
  <r>
    <x v="0"/>
    <x v="0"/>
    <x v="0"/>
    <x v="0"/>
    <x v="0"/>
    <x v="2"/>
    <x v="18"/>
    <x v="4"/>
    <x v="0"/>
    <x v="26"/>
    <n v="243"/>
    <n v="72075"/>
    <n v="633136000"/>
    <n v="72228470"/>
    <n v="65775000"/>
    <n v="0"/>
    <m/>
    <n v="0"/>
    <m/>
    <n v="138003470"/>
    <n v="2875000"/>
    <n v="59535000"/>
    <n v="0"/>
    <n v="284181.78494623664"/>
    <n v="62694181.784946233"/>
    <n v="164615360"/>
    <n v="38175000"/>
    <n v="0"/>
    <n v="1925000"/>
    <n v="0"/>
    <n v="204715360"/>
    <n v="4017708.215053767"/>
    <n v="23452708.215053763"/>
    <n v="0.14246974410561544"/>
    <n v="-21360000"/>
    <n v="-0.55952848722986248"/>
    <m/>
  </r>
  <r>
    <x v="0"/>
    <x v="0"/>
    <x v="1"/>
    <x v="0"/>
    <x v="0"/>
    <x v="2"/>
    <x v="18"/>
    <x v="4"/>
    <x v="0"/>
    <x v="26"/>
    <n v="22"/>
    <n v="6907"/>
    <n v="60574000"/>
    <n v="6929930"/>
    <n v="6160000"/>
    <n v="0"/>
    <m/>
    <n v="0"/>
    <m/>
    <n v="13089930"/>
    <n v="375000"/>
    <n v="5390000"/>
    <n v="0"/>
    <n v="286021.50537634408"/>
    <n v="6051021.5053763445"/>
    <n v="15749240"/>
    <n v="3500000"/>
    <n v="0"/>
    <n v="200000"/>
    <n v="0"/>
    <n v="19449240"/>
    <n v="308288.49462365359"/>
    <n v="1998288.4946236559"/>
    <n v="0.12688158251595988"/>
    <n v="-1890000"/>
    <n v="-0.54"/>
    <m/>
  </r>
  <r>
    <x v="0"/>
    <x v="12"/>
    <x v="16"/>
    <x v="1"/>
    <x v="0"/>
    <x v="2"/>
    <x v="18"/>
    <x v="4"/>
    <x v="0"/>
    <x v="26"/>
    <n v="12"/>
    <n v="1137"/>
    <n v="10731000"/>
    <n v="0"/>
    <n v="0"/>
    <n v="0"/>
    <m/>
    <n v="0"/>
    <m/>
    <n v="0"/>
    <n v="0"/>
    <n v="0"/>
    <n v="0"/>
    <n v="0"/>
    <n v="0"/>
    <n v="751170.00000000012"/>
    <n v="0"/>
    <n v="0"/>
    <n v="0"/>
    <n v="0"/>
    <n v="751170.00000000012"/>
    <n v="751170.00000000012"/>
    <n v="751170.00000000012"/>
    <n v="1"/>
    <n v="0"/>
    <n v="0"/>
    <m/>
  </r>
  <r>
    <x v="0"/>
    <x v="15"/>
    <x v="20"/>
    <x v="1"/>
    <x v="0"/>
    <x v="2"/>
    <x v="18"/>
    <x v="4"/>
    <x v="0"/>
    <x v="26"/>
    <n v="4"/>
    <n v="783"/>
    <n v="3210000"/>
    <n v="109300"/>
    <n v="1000000"/>
    <n v="0"/>
    <m/>
    <n v="0"/>
    <m/>
    <n v="1109300"/>
    <n v="0"/>
    <n v="980000"/>
    <n v="0"/>
    <n v="0"/>
    <n v="980000"/>
    <n v="706200"/>
    <n v="600000"/>
    <n v="666000"/>
    <n v="0"/>
    <n v="0"/>
    <n v="1972200"/>
    <n v="-117100"/>
    <n v="-403100"/>
    <n v="-0.57080147267063153"/>
    <n v="286000"/>
    <n v="0.2259083728278041"/>
    <m/>
  </r>
  <r>
    <x v="0"/>
    <x v="0"/>
    <x v="9"/>
    <x v="0"/>
    <x v="1"/>
    <x v="3"/>
    <x v="17"/>
    <x v="4"/>
    <x v="4"/>
    <x v="24"/>
    <n v="32"/>
    <n v="4904"/>
    <n v="45036000"/>
    <n v="4286860"/>
    <n v="5325000"/>
    <n v="0"/>
    <m/>
    <n v="0"/>
    <m/>
    <n v="9611860"/>
    <n v="875000"/>
    <n v="5250000"/>
    <n v="0"/>
    <n v="0"/>
    <n v="6125000"/>
    <n v="11709360"/>
    <n v="4250000"/>
    <n v="0"/>
    <n v="0"/>
    <n v="0"/>
    <n v="15959360"/>
    <n v="222500"/>
    <n v="1222500"/>
    <n v="0.10440365656192994"/>
    <n v="-1000000"/>
    <n v="-0.23529411764705882"/>
    <m/>
  </r>
  <r>
    <x v="0"/>
    <x v="0"/>
    <x v="10"/>
    <x v="0"/>
    <x v="1"/>
    <x v="4"/>
    <x v="17"/>
    <x v="4"/>
    <x v="4"/>
    <x v="24"/>
    <n v="18"/>
    <n v="2424"/>
    <n v="21458000"/>
    <n v="1793280"/>
    <n v="2700000"/>
    <n v="0"/>
    <m/>
    <n v="0"/>
    <m/>
    <n v="4493280"/>
    <n v="700000"/>
    <n v="2905000"/>
    <n v="0"/>
    <n v="0"/>
    <n v="3605000"/>
    <n v="5579080"/>
    <n v="2325000"/>
    <n v="0"/>
    <n v="0"/>
    <n v="0"/>
    <n v="7904080"/>
    <n v="-194200"/>
    <n v="385800"/>
    <n v="6.9151186217082383E-2"/>
    <n v="-580000"/>
    <n v="-0.24946236559139784"/>
    <m/>
  </r>
  <r>
    <x v="0"/>
    <x v="0"/>
    <x v="21"/>
    <x v="0"/>
    <x v="1"/>
    <x v="3"/>
    <x v="17"/>
    <x v="4"/>
    <x v="4"/>
    <x v="24"/>
    <n v="1"/>
    <n v="223"/>
    <n v="403900"/>
    <n v="0"/>
    <n v="0"/>
    <n v="0"/>
    <m/>
    <n v="0"/>
    <m/>
    <n v="0"/>
    <n v="175000"/>
    <n v="0"/>
    <n v="0"/>
    <n v="0"/>
    <n v="175000"/>
    <n v="28273.000000000004"/>
    <n v="0"/>
    <n v="0"/>
    <n v="0"/>
    <n v="0"/>
    <n v="28273.000000000004"/>
    <n v="-146727"/>
    <n v="-146727"/>
    <n v="-5.1896509036890315"/>
    <n v="0"/>
    <n v="0"/>
    <m/>
  </r>
  <r>
    <x v="0"/>
    <x v="14"/>
    <x v="18"/>
    <x v="0"/>
    <x v="1"/>
    <x v="3"/>
    <x v="17"/>
    <x v="4"/>
    <x v="4"/>
    <x v="24"/>
    <n v="5"/>
    <n v="225"/>
    <n v="2411000"/>
    <n v="120550"/>
    <n v="475000"/>
    <n v="0"/>
    <m/>
    <n v="0"/>
    <m/>
    <n v="595550"/>
    <n v="350000"/>
    <n v="665000"/>
    <n v="0"/>
    <n v="0"/>
    <n v="1015000"/>
    <n v="723300"/>
    <n v="475000"/>
    <n v="0"/>
    <n v="0"/>
    <n v="0"/>
    <n v="1198300"/>
    <n v="-412250"/>
    <n v="-222250"/>
    <n v="-0.3072722245264759"/>
    <n v="-190000"/>
    <n v="-0.4"/>
    <m/>
  </r>
  <r>
    <x v="0"/>
    <x v="0"/>
    <x v="0"/>
    <x v="0"/>
    <x v="0"/>
    <x v="2"/>
    <x v="17"/>
    <x v="4"/>
    <x v="4"/>
    <x v="24"/>
    <n v="246"/>
    <n v="63314"/>
    <n v="562600000"/>
    <n v="59504265"/>
    <n v="67275000"/>
    <n v="0"/>
    <n v="600000"/>
    <n v="3800000"/>
    <m/>
    <n v="131179265"/>
    <n v="2975000"/>
    <n v="60270000"/>
    <n v="0"/>
    <n v="284182"/>
    <n v="63529182"/>
    <n v="146276000"/>
    <n v="38500000"/>
    <n v="0"/>
    <n v="1925000"/>
    <n v="0"/>
    <n v="186701000"/>
    <n v="-8007447"/>
    <n v="11837553"/>
    <n v="8.0926146462851054E-2"/>
    <n v="-21770000"/>
    <n v="-0.56545454545454543"/>
    <m/>
  </r>
  <r>
    <x v="0"/>
    <x v="0"/>
    <x v="1"/>
    <x v="0"/>
    <x v="0"/>
    <x v="2"/>
    <x v="17"/>
    <x v="4"/>
    <x v="4"/>
    <x v="24"/>
    <n v="20"/>
    <n v="4832"/>
    <n v="42184000"/>
    <n v="4173145"/>
    <n v="5800000"/>
    <n v="0"/>
    <m/>
    <n v="400000"/>
    <m/>
    <n v="10373145"/>
    <n v="1750000"/>
    <n v="4900000"/>
    <n v="0"/>
    <n v="286022"/>
    <n v="6936022"/>
    <n v="10967840"/>
    <n v="3325000"/>
    <n v="0"/>
    <n v="150000"/>
    <n v="0"/>
    <n v="14442840"/>
    <n v="-2866327"/>
    <n v="-1441327"/>
    <n v="-0.13141393382835637"/>
    <n v="-1575000"/>
    <n v="-0.47368421052631576"/>
    <m/>
  </r>
  <r>
    <x v="0"/>
    <x v="12"/>
    <x v="16"/>
    <x v="1"/>
    <x v="0"/>
    <x v="2"/>
    <x v="17"/>
    <x v="4"/>
    <x v="4"/>
    <x v="24"/>
    <n v="12"/>
    <n v="790"/>
    <n v="7494000"/>
    <n v="0"/>
    <n v="0"/>
    <n v="0"/>
    <m/>
    <n v="0"/>
    <m/>
    <n v="0"/>
    <n v="0"/>
    <n v="0"/>
    <n v="0"/>
    <n v="0"/>
    <n v="0"/>
    <n v="524580"/>
    <n v="0"/>
    <n v="0"/>
    <n v="0"/>
    <n v="0"/>
    <n v="524580"/>
    <n v="524580"/>
    <n v="524580"/>
    <n v="1"/>
    <n v="0"/>
    <n v="0"/>
    <m/>
  </r>
  <r>
    <x v="0"/>
    <x v="15"/>
    <x v="20"/>
    <x v="1"/>
    <x v="0"/>
    <x v="2"/>
    <x v="17"/>
    <x v="4"/>
    <x v="4"/>
    <x v="24"/>
    <n v="5"/>
    <n v="695"/>
    <n v="2876000"/>
    <n v="1200000"/>
    <n v="0"/>
    <n v="0"/>
    <m/>
    <n v="0"/>
    <m/>
    <n v="1200000"/>
    <n v="0"/>
    <n v="1225010"/>
    <n v="0"/>
    <n v="0"/>
    <n v="1225010"/>
    <n v="632720"/>
    <n v="650000"/>
    <n v="799200"/>
    <n v="0"/>
    <n v="0"/>
    <n v="2081920"/>
    <n v="-343090"/>
    <n v="-567280"/>
    <n v="-0.89657352383360733"/>
    <n v="224190"/>
    <n v="0.1546991443555065"/>
    <m/>
  </r>
  <r>
    <x v="0"/>
    <x v="0"/>
    <x v="9"/>
    <x v="0"/>
    <x v="1"/>
    <x v="3"/>
    <x v="16"/>
    <x v="4"/>
    <x v="3"/>
    <x v="110"/>
    <n v="28"/>
    <n v="3138"/>
    <n v="28632000"/>
    <n v="2613740"/>
    <n v="3875000"/>
    <n v="0"/>
    <m/>
    <n v="0"/>
    <m/>
    <n v="6488740"/>
    <n v="625000"/>
    <n v="3745000"/>
    <n v="0"/>
    <n v="0"/>
    <n v="4370000"/>
    <n v="7444320"/>
    <n v="2675000"/>
    <n v="0"/>
    <n v="0"/>
    <n v="0"/>
    <n v="10119320"/>
    <n v="-739420"/>
    <n v="330580"/>
    <n v="4.4407010982870164E-2"/>
    <n v="-1070000"/>
    <n v="-0.4"/>
    <m/>
  </r>
  <r>
    <x v="0"/>
    <x v="0"/>
    <x v="10"/>
    <x v="0"/>
    <x v="1"/>
    <x v="4"/>
    <x v="16"/>
    <x v="4"/>
    <x v="3"/>
    <x v="110"/>
    <n v="14"/>
    <n v="1523"/>
    <n v="13634000"/>
    <n v="1092780"/>
    <n v="1575000"/>
    <n v="0"/>
    <m/>
    <n v="0"/>
    <m/>
    <n v="2667780"/>
    <n v="500000"/>
    <n v="1820000"/>
    <n v="0"/>
    <n v="0"/>
    <n v="2320000"/>
    <n v="3544840"/>
    <n v="1300000"/>
    <n v="0"/>
    <n v="0"/>
    <n v="50000"/>
    <n v="4894840"/>
    <n v="-92940"/>
    <n v="427060"/>
    <n v="0.11879805498993001"/>
    <n v="-520000"/>
    <n v="-0.4"/>
    <m/>
  </r>
  <r>
    <x v="0"/>
    <x v="0"/>
    <x v="21"/>
    <x v="0"/>
    <x v="1"/>
    <x v="3"/>
    <x v="16"/>
    <x v="4"/>
    <x v="3"/>
    <x v="110"/>
    <n v="4"/>
    <n v="303"/>
    <n v="647200"/>
    <n v="0"/>
    <n v="0"/>
    <n v="0"/>
    <m/>
    <n v="0"/>
    <m/>
    <n v="0"/>
    <n v="125000"/>
    <n v="0"/>
    <n v="0"/>
    <n v="0"/>
    <n v="0"/>
    <n v="45304.000000000007"/>
    <n v="0"/>
    <n v="0"/>
    <n v="0"/>
    <n v="0"/>
    <n v="45304.000000000007"/>
    <n v="45304.000000000007"/>
    <n v="-79696"/>
    <n v="-1.7591382659367822"/>
    <n v="0"/>
    <n v="0"/>
    <m/>
  </r>
  <r>
    <x v="0"/>
    <x v="14"/>
    <x v="18"/>
    <x v="0"/>
    <x v="1"/>
    <x v="3"/>
    <x v="16"/>
    <x v="4"/>
    <x v="3"/>
    <x v="110"/>
    <n v="2"/>
    <n v="201"/>
    <n v="2083000"/>
    <n v="162830"/>
    <n v="252500"/>
    <n v="0"/>
    <m/>
    <n v="0"/>
    <m/>
    <n v="415330"/>
    <n v="250000"/>
    <n v="280000"/>
    <n v="0"/>
    <n v="0"/>
    <n v="530000"/>
    <n v="624900"/>
    <n v="250000"/>
    <n v="0"/>
    <n v="0"/>
    <n v="0"/>
    <n v="874900"/>
    <n v="-70430"/>
    <n v="-40430"/>
    <n v="-6.4698351736277804E-2"/>
    <n v="-30000"/>
    <n v="-0.12"/>
    <m/>
  </r>
  <r>
    <x v="0"/>
    <x v="0"/>
    <x v="9"/>
    <x v="0"/>
    <x v="1"/>
    <x v="3"/>
    <x v="16"/>
    <x v="3"/>
    <x v="2"/>
    <x v="111"/>
    <n v="23"/>
    <n v="1465"/>
    <n v="13380000"/>
    <n v="1218480"/>
    <n v="1500000"/>
    <n v="0"/>
    <m/>
    <n v="0"/>
    <m/>
    <n v="2718480"/>
    <n v="250000"/>
    <n v="1400000"/>
    <n v="0"/>
    <n v="0"/>
    <n v="1650000"/>
    <n v="3478800"/>
    <n v="1000000"/>
    <n v="0"/>
    <n v="0"/>
    <n v="0"/>
    <n v="4478800"/>
    <n v="110320"/>
    <n v="510320"/>
    <n v="0.14669426238932964"/>
    <n v="-400000"/>
    <n v="-0.4"/>
    <m/>
  </r>
  <r>
    <x v="0"/>
    <x v="0"/>
    <x v="10"/>
    <x v="0"/>
    <x v="1"/>
    <x v="4"/>
    <x v="16"/>
    <x v="3"/>
    <x v="2"/>
    <x v="111"/>
    <n v="13"/>
    <n v="769"/>
    <n v="6880000"/>
    <n v="725000"/>
    <n v="567360"/>
    <n v="0"/>
    <m/>
    <n v="0"/>
    <m/>
    <n v="1292360"/>
    <n v="200000"/>
    <n v="735000"/>
    <n v="0"/>
    <n v="0"/>
    <n v="935000"/>
    <n v="1788800"/>
    <n v="525000"/>
    <n v="0"/>
    <n v="0"/>
    <n v="50000"/>
    <n v="2363800"/>
    <n v="136440"/>
    <n v="346440"/>
    <n v="0.18840548183597999"/>
    <n v="-210000"/>
    <n v="-0.4"/>
    <m/>
  </r>
  <r>
    <x v="0"/>
    <x v="0"/>
    <x v="21"/>
    <x v="0"/>
    <x v="1"/>
    <x v="3"/>
    <x v="16"/>
    <x v="3"/>
    <x v="2"/>
    <x v="111"/>
    <n v="4"/>
    <n v="296"/>
    <n v="443600"/>
    <n v="0"/>
    <n v="0"/>
    <n v="0"/>
    <m/>
    <n v="0"/>
    <m/>
    <n v="0"/>
    <n v="50000"/>
    <n v="0"/>
    <n v="0"/>
    <n v="0"/>
    <n v="50000"/>
    <n v="31052.000000000004"/>
    <n v="0"/>
    <n v="0"/>
    <n v="0"/>
    <n v="0"/>
    <n v="31052.000000000004"/>
    <n v="-18947.999999999996"/>
    <n v="-18947.999999999996"/>
    <n v="-0.6102022414015198"/>
    <n v="0"/>
    <n v="0"/>
    <m/>
  </r>
  <r>
    <x v="0"/>
    <x v="14"/>
    <x v="18"/>
    <x v="0"/>
    <x v="1"/>
    <x v="3"/>
    <x v="16"/>
    <x v="3"/>
    <x v="2"/>
    <x v="111"/>
    <n v="2"/>
    <n v="66"/>
    <n v="745000"/>
    <n v="67050"/>
    <n v="85000"/>
    <n v="0"/>
    <m/>
    <n v="0"/>
    <m/>
    <n v="152050"/>
    <n v="100000"/>
    <n v="70000"/>
    <n v="0"/>
    <n v="0"/>
    <n v="170000"/>
    <n v="223500"/>
    <n v="100000"/>
    <n v="0"/>
    <n v="0"/>
    <n v="0"/>
    <n v="323500"/>
    <n v="1450"/>
    <n v="-28550"/>
    <n v="-0.12774049217002237"/>
    <n v="30000"/>
    <n v="0.3"/>
    <m/>
  </r>
  <r>
    <x v="0"/>
    <x v="0"/>
    <x v="0"/>
    <x v="0"/>
    <x v="0"/>
    <x v="2"/>
    <x v="16"/>
    <x v="4"/>
    <x v="3"/>
    <x v="110"/>
    <n v="239"/>
    <n v="41096"/>
    <n v="358570000"/>
    <n v="42569889.285714284"/>
    <n v="47232142.857142858"/>
    <n v="0"/>
    <m/>
    <n v="0"/>
    <m/>
    <n v="89802032.142857134"/>
    <n v="2142857.1428571427"/>
    <n v="42700000"/>
    <n v="0"/>
    <n v="202421.98924731187"/>
    <n v="45045279.132104456"/>
    <n v="93228200"/>
    <n v="27142857.142857142"/>
    <n v="0"/>
    <n v="1535714.2857142857"/>
    <n v="0"/>
    <n v="121906771.42857142"/>
    <n v="-12940539.846390173"/>
    <n v="1080888.7250384111"/>
    <n v="1.1594010450039913E-2"/>
    <n v="-15557142.857142858"/>
    <n v="-0.5731578947368422"/>
    <m/>
  </r>
  <r>
    <x v="0"/>
    <x v="0"/>
    <x v="1"/>
    <x v="0"/>
    <x v="0"/>
    <x v="2"/>
    <x v="16"/>
    <x v="4"/>
    <x v="3"/>
    <x v="110"/>
    <n v="18"/>
    <n v="3162"/>
    <n v="27644000"/>
    <n v="2967714.2857142859"/>
    <n v="3960714.2857142859"/>
    <n v="0"/>
    <m/>
    <n v="0"/>
    <m/>
    <n v="6928428.5714285718"/>
    <n v="642857.14285714284"/>
    <n v="3325000"/>
    <n v="0"/>
    <n v="204301.07526881719"/>
    <n v="4172158.2181259599"/>
    <n v="7187440"/>
    <n v="2000000"/>
    <n v="0"/>
    <n v="89285.71428571429"/>
    <n v="0"/>
    <n v="9276725.7142857146"/>
    <n v="-1823861.0752688181"/>
    <n v="-588146.78955453192"/>
    <n v="-8.1829801647670369E-2"/>
    <n v="-1325000"/>
    <n v="-0.66249999999999998"/>
    <m/>
  </r>
  <r>
    <x v="0"/>
    <x v="12"/>
    <x v="16"/>
    <x v="1"/>
    <x v="0"/>
    <x v="2"/>
    <x v="16"/>
    <x v="4"/>
    <x v="3"/>
    <x v="110"/>
    <n v="12"/>
    <n v="633"/>
    <n v="6075000"/>
    <n v="0"/>
    <n v="0"/>
    <n v="0"/>
    <m/>
    <n v="0"/>
    <m/>
    <n v="0"/>
    <n v="0"/>
    <n v="0"/>
    <n v="0"/>
    <n v="0"/>
    <n v="0"/>
    <n v="425250.00000000006"/>
    <n v="0"/>
    <n v="0"/>
    <n v="0"/>
    <n v="0"/>
    <n v="425250.00000000006"/>
    <n v="425250.00000000006"/>
    <n v="425250.00000000006"/>
    <n v="1"/>
    <n v="0"/>
    <n v="0"/>
    <m/>
  </r>
  <r>
    <x v="0"/>
    <x v="15"/>
    <x v="20"/>
    <x v="1"/>
    <x v="0"/>
    <x v="2"/>
    <x v="16"/>
    <x v="4"/>
    <x v="3"/>
    <x v="110"/>
    <n v="4"/>
    <n v="384"/>
    <n v="1502000"/>
    <n v="0"/>
    <n v="678571.42857142852"/>
    <n v="0"/>
    <m/>
    <n v="0"/>
    <m/>
    <n v="678571.42857142852"/>
    <n v="0"/>
    <n v="700000"/>
    <n v="0"/>
    <n v="0"/>
    <n v="700000"/>
    <n v="330440"/>
    <n v="392857.14285714284"/>
    <n v="451928.57142857142"/>
    <m/>
    <n v="0"/>
    <n v="1175225.7142857143"/>
    <n v="-203345.71428571432"/>
    <n v="-348131.42857142852"/>
    <n v="-1.053539004271361"/>
    <n v="144785.71428571432"/>
    <n v="0.17138750317071111"/>
    <m/>
  </r>
  <r>
    <x v="0"/>
    <x v="0"/>
    <x v="0"/>
    <x v="0"/>
    <x v="0"/>
    <x v="2"/>
    <x v="16"/>
    <x v="3"/>
    <x v="2"/>
    <x v="111"/>
    <n v="227"/>
    <n v="23051"/>
    <n v="202062000"/>
    <n v="17027955.714285713"/>
    <n v="18892857.142857142"/>
    <n v="0"/>
    <m/>
    <n v="0"/>
    <m/>
    <n v="35920812.857142851"/>
    <n v="857142.85714285716"/>
    <n v="17080000"/>
    <n v="0"/>
    <n v="83667.755555555559"/>
    <n v="18020810.612698413"/>
    <n v="52536120"/>
    <n v="10857142.857142856"/>
    <n v="0"/>
    <n v="614285.71428571432"/>
    <n v="0"/>
    <n v="64007548.571428575"/>
    <n v="10065925.10158731"/>
    <n v="15674496.530158738"/>
    <n v="0.29835656934997745"/>
    <n v="-6222857.1428571437"/>
    <n v="-0.5731578947368422"/>
    <m/>
  </r>
  <r>
    <x v="0"/>
    <x v="0"/>
    <x v="1"/>
    <x v="0"/>
    <x v="0"/>
    <x v="2"/>
    <x v="16"/>
    <x v="3"/>
    <x v="2"/>
    <x v="111"/>
    <n v="19"/>
    <n v="1657"/>
    <n v="14524000"/>
    <n v="1187085.7142857143"/>
    <n v="1584285.7142857143"/>
    <n v="0"/>
    <m/>
    <n v="0"/>
    <m/>
    <n v="2771371.4285714286"/>
    <n v="257142.85714285713"/>
    <n v="1330000"/>
    <n v="0"/>
    <n v="84444.444444444438"/>
    <n v="1671587.3015873015"/>
    <n v="3776240"/>
    <n v="800000"/>
    <n v="0"/>
    <n v="35714.285714285717"/>
    <n v="0"/>
    <n v="4611954.2857142854"/>
    <n v="168995.55555555504"/>
    <n v="663281.26984126982"/>
    <n v="0.17564595201609798"/>
    <n v="-530000"/>
    <n v="-0.66249999999999998"/>
    <m/>
  </r>
  <r>
    <x v="0"/>
    <x v="12"/>
    <x v="16"/>
    <x v="1"/>
    <x v="0"/>
    <x v="2"/>
    <x v="16"/>
    <x v="3"/>
    <x v="2"/>
    <x v="111"/>
    <n v="12"/>
    <n v="206"/>
    <n v="2005000"/>
    <n v="0"/>
    <n v="0"/>
    <n v="0"/>
    <m/>
    <n v="0"/>
    <m/>
    <n v="0"/>
    <n v="0"/>
    <n v="0"/>
    <n v="0"/>
    <n v="0"/>
    <n v="0"/>
    <n v="140350"/>
    <n v="0"/>
    <n v="0"/>
    <n v="0"/>
    <n v="0"/>
    <n v="140350"/>
    <n v="140350"/>
    <n v="140350"/>
    <n v="1"/>
    <n v="0"/>
    <n v="0"/>
    <m/>
  </r>
  <r>
    <x v="0"/>
    <x v="15"/>
    <x v="20"/>
    <x v="1"/>
    <x v="0"/>
    <x v="2"/>
    <x v="16"/>
    <x v="3"/>
    <x v="2"/>
    <x v="111"/>
    <n v="3"/>
    <n v="116"/>
    <n v="448000"/>
    <n v="0"/>
    <n v="271428.57142857142"/>
    <n v="0"/>
    <m/>
    <n v="0"/>
    <m/>
    <n v="271428.57142857142"/>
    <n v="0"/>
    <n v="280000"/>
    <n v="0"/>
    <n v="0"/>
    <n v="280000"/>
    <n v="98560"/>
    <n v="157142.85714285713"/>
    <n v="180771.42857142858"/>
    <m/>
    <n v="0"/>
    <n v="436474.28571428568"/>
    <n v="-114954.28571428568"/>
    <n v="-172868.57142857142"/>
    <n v="-1.7539424860853432"/>
    <n v="57914.285714285681"/>
    <n v="0.171387503170711"/>
    <m/>
  </r>
  <r>
    <x v="0"/>
    <x v="0"/>
    <x v="9"/>
    <x v="0"/>
    <x v="1"/>
    <x v="3"/>
    <x v="15"/>
    <x v="3"/>
    <x v="2"/>
    <x v="22"/>
    <n v="26"/>
    <n v="4067"/>
    <n v="37076000"/>
    <n v="3189940"/>
    <n v="4500000"/>
    <n v="0"/>
    <m/>
    <n v="0"/>
    <m/>
    <n v="7689940"/>
    <n v="875000"/>
    <n v="4480000"/>
    <n v="0"/>
    <n v="0"/>
    <n v="5355000"/>
    <n v="9639760"/>
    <n v="3650000"/>
    <n v="0"/>
    <n v="0"/>
    <n v="0"/>
    <n v="13289760"/>
    <n v="244820"/>
    <n v="1074820"/>
    <n v="0.11149862652182212"/>
    <n v="-830000"/>
    <n v="-0.22739726027397261"/>
    <m/>
  </r>
  <r>
    <x v="0"/>
    <x v="0"/>
    <x v="10"/>
    <x v="0"/>
    <x v="1"/>
    <x v="4"/>
    <x v="15"/>
    <x v="3"/>
    <x v="2"/>
    <x v="22"/>
    <n v="12"/>
    <n v="2110"/>
    <n v="18918000"/>
    <n v="1530140"/>
    <n v="2350000"/>
    <n v="0"/>
    <m/>
    <n v="0"/>
    <m/>
    <n v="3880140"/>
    <n v="300000"/>
    <n v="2415000"/>
    <n v="0"/>
    <n v="0"/>
    <n v="2715000"/>
    <n v="4918680"/>
    <n v="1875000"/>
    <n v="0"/>
    <n v="0"/>
    <n v="0"/>
    <n v="6793680"/>
    <n v="198540"/>
    <n v="738540"/>
    <n v="0.15015004025470249"/>
    <n v="-540000"/>
    <n v="-0.28799999999999998"/>
    <m/>
  </r>
  <r>
    <x v="0"/>
    <x v="0"/>
    <x v="21"/>
    <x v="0"/>
    <x v="1"/>
    <x v="3"/>
    <x v="15"/>
    <x v="3"/>
    <x v="2"/>
    <x v="22"/>
    <n v="6"/>
    <n v="751"/>
    <n v="1500000"/>
    <n v="0"/>
    <n v="0"/>
    <n v="0"/>
    <m/>
    <n v="0"/>
    <m/>
    <n v="0"/>
    <n v="175000"/>
    <n v="0"/>
    <n v="0"/>
    <n v="0"/>
    <n v="175000"/>
    <n v="105000.00000000001"/>
    <n v="0"/>
    <n v="0"/>
    <n v="0"/>
    <n v="0"/>
    <n v="105000.00000000001"/>
    <n v="-69999.999999999985"/>
    <n v="-69999.999999999985"/>
    <n v="-0.66666666666666641"/>
    <n v="0"/>
    <n v="0"/>
    <m/>
  </r>
  <r>
    <x v="0"/>
    <x v="14"/>
    <x v="18"/>
    <x v="0"/>
    <x v="1"/>
    <x v="3"/>
    <x v="15"/>
    <x v="3"/>
    <x v="2"/>
    <x v="22"/>
    <n v="2"/>
    <n v="123"/>
    <n v="1377000"/>
    <n v="68850"/>
    <n v="250000"/>
    <n v="0"/>
    <m/>
    <n v="0"/>
    <m/>
    <n v="318850"/>
    <n v="350000"/>
    <n v="350000"/>
    <n v="0"/>
    <n v="0"/>
    <n v="700000"/>
    <n v="413100"/>
    <n v="350000"/>
    <n v="0"/>
    <n v="0"/>
    <n v="0"/>
    <n v="763100"/>
    <n v="-255750"/>
    <n v="-255750"/>
    <n v="-0.6190994916485113"/>
    <n v="0"/>
    <n v="0"/>
    <m/>
  </r>
  <r>
    <x v="0"/>
    <x v="0"/>
    <x v="0"/>
    <x v="0"/>
    <x v="0"/>
    <x v="2"/>
    <x v="15"/>
    <x v="3"/>
    <x v="2"/>
    <x v="22"/>
    <n v="251"/>
    <n v="71271"/>
    <n v="623834000"/>
    <n v="70104870"/>
    <n v="67205000"/>
    <n v="0"/>
    <m/>
    <n v="0"/>
    <m/>
    <n v="137309870"/>
    <n v="1750000"/>
    <n v="61495000"/>
    <n v="0"/>
    <n v="292837.14444444445"/>
    <n v="63537837.144444443"/>
    <n v="162196840"/>
    <n v="39800000"/>
    <n v="0"/>
    <n v="2525000"/>
    <n v="0"/>
    <n v="204521840"/>
    <n v="3674132.8555555642"/>
    <n v="22844132.855555557"/>
    <n v="0.14084203400975973"/>
    <n v="-21695000"/>
    <n v="-0.54510050251256281"/>
    <m/>
  </r>
  <r>
    <x v="0"/>
    <x v="0"/>
    <x v="1"/>
    <x v="0"/>
    <x v="0"/>
    <x v="2"/>
    <x v="15"/>
    <x v="3"/>
    <x v="2"/>
    <x v="22"/>
    <n v="21"/>
    <n v="6290"/>
    <n v="55538000"/>
    <n v="6458250"/>
    <n v="6410000"/>
    <n v="0"/>
    <m/>
    <n v="0"/>
    <m/>
    <n v="12868250"/>
    <n v="900000"/>
    <n v="5145000"/>
    <n v="0"/>
    <n v="295555.5555555555"/>
    <n v="6340555.555555556"/>
    <n v="14439880"/>
    <n v="2850000"/>
    <n v="0"/>
    <n v="200000"/>
    <n v="0"/>
    <n v="17489880"/>
    <n v="-1718925.555555556"/>
    <n v="376074.4444444445"/>
    <n v="2.6044153029280332E-2"/>
    <n v="-2295000"/>
    <n v="-0.80526315789473679"/>
    <m/>
  </r>
  <r>
    <x v="0"/>
    <x v="12"/>
    <x v="16"/>
    <x v="1"/>
    <x v="0"/>
    <x v="2"/>
    <x v="15"/>
    <x v="3"/>
    <x v="2"/>
    <x v="22"/>
    <n v="14"/>
    <n v="851"/>
    <n v="8196000"/>
    <n v="0"/>
    <n v="0"/>
    <n v="0"/>
    <m/>
    <n v="0"/>
    <m/>
    <n v="0"/>
    <n v="0"/>
    <n v="0"/>
    <n v="0"/>
    <n v="0"/>
    <n v="0"/>
    <n v="573720"/>
    <n v="0"/>
    <n v="0"/>
    <n v="0"/>
    <n v="0"/>
    <n v="573720"/>
    <n v="573720"/>
    <n v="573720"/>
    <n v="1"/>
    <n v="0"/>
    <n v="0"/>
    <m/>
  </r>
  <r>
    <x v="0"/>
    <x v="15"/>
    <x v="20"/>
    <x v="1"/>
    <x v="0"/>
    <x v="2"/>
    <x v="15"/>
    <x v="3"/>
    <x v="2"/>
    <x v="22"/>
    <n v="3"/>
    <n v="532"/>
    <n v="2086006"/>
    <n v="0"/>
    <n v="850000"/>
    <n v="0"/>
    <m/>
    <n v="0"/>
    <m/>
    <n v="850000"/>
    <n v="0"/>
    <n v="735000"/>
    <n v="0"/>
    <n v="0"/>
    <n v="735000"/>
    <n v="458921.32"/>
    <n v="475000"/>
    <n v="566100"/>
    <n v="0"/>
    <n v="0"/>
    <n v="1500021.32"/>
    <n v="-84978.679999999935"/>
    <n v="-391078.68"/>
    <n v="-0.85216934353801643"/>
    <n v="306100"/>
    <n v="0.29401594467390263"/>
    <m/>
  </r>
  <r>
    <x v="0"/>
    <x v="0"/>
    <x v="0"/>
    <x v="0"/>
    <x v="0"/>
    <x v="2"/>
    <x v="14"/>
    <x v="3"/>
    <x v="1"/>
    <x v="21"/>
    <n v="244"/>
    <n v="69778"/>
    <n v="612044000"/>
    <n v="68781420"/>
    <n v="66045000"/>
    <n v="0"/>
    <m/>
    <n v="0"/>
    <m/>
    <n v="134826420"/>
    <n v="3500000"/>
    <n v="59780000"/>
    <n v="0"/>
    <n v="292837.14444444445"/>
    <n v="63572837.144444443"/>
    <n v="159131440"/>
    <n v="38500000"/>
    <n v="0"/>
    <n v="2550000"/>
    <n v="0"/>
    <n v="200181440"/>
    <n v="1782182.8555555642"/>
    <n v="20512182.855555557"/>
    <n v="0.12890088128125754"/>
    <n v="-21280000"/>
    <n v="-0.55272727272727273"/>
    <m/>
  </r>
  <r>
    <x v="0"/>
    <x v="0"/>
    <x v="1"/>
    <x v="0"/>
    <x v="0"/>
    <x v="2"/>
    <x v="14"/>
    <x v="3"/>
    <x v="1"/>
    <x v="21"/>
    <n v="26"/>
    <n v="6128"/>
    <n v="53588000"/>
    <n v="5693455"/>
    <n v="7035000"/>
    <n v="0"/>
    <m/>
    <n v="0"/>
    <m/>
    <n v="12728455"/>
    <n v="900000"/>
    <n v="6370000"/>
    <n v="0"/>
    <n v="295555.5555555555"/>
    <n v="7565555.555555556"/>
    <n v="13932880"/>
    <n v="3750000"/>
    <n v="0"/>
    <n v="300000"/>
    <n v="0"/>
    <n v="17982880"/>
    <n v="-2311130.555555556"/>
    <n v="8869.4444444444962"/>
    <n v="6.3658371021960256E-4"/>
    <n v="-2620000"/>
    <n v="-0.69866666666666666"/>
    <m/>
  </r>
  <r>
    <x v="0"/>
    <x v="12"/>
    <x v="16"/>
    <x v="1"/>
    <x v="0"/>
    <x v="2"/>
    <x v="14"/>
    <x v="3"/>
    <x v="1"/>
    <x v="21"/>
    <n v="10"/>
    <n v="656"/>
    <n v="6250000"/>
    <n v="0"/>
    <n v="0"/>
    <n v="0"/>
    <m/>
    <n v="0"/>
    <m/>
    <n v="0"/>
    <n v="0"/>
    <n v="0"/>
    <n v="0"/>
    <n v="0"/>
    <n v="0"/>
    <n v="437500.00000000006"/>
    <n v="0"/>
    <n v="0"/>
    <n v="0"/>
    <n v="0"/>
    <n v="437500.00000000006"/>
    <n v="437500.00000000006"/>
    <n v="437500.00000000006"/>
    <n v="1"/>
    <n v="0"/>
    <n v="0"/>
    <m/>
  </r>
  <r>
    <x v="0"/>
    <x v="15"/>
    <x v="20"/>
    <x v="1"/>
    <x v="0"/>
    <x v="2"/>
    <x v="14"/>
    <x v="3"/>
    <x v="1"/>
    <x v="21"/>
    <n v="4"/>
    <n v="359"/>
    <n v="1348004"/>
    <n v="0"/>
    <n v="800000"/>
    <n v="0"/>
    <m/>
    <n v="0"/>
    <m/>
    <n v="800000"/>
    <n v="0"/>
    <n v="980000"/>
    <n v="0"/>
    <n v="0"/>
    <n v="980000"/>
    <n v="296560.88"/>
    <n v="550000"/>
    <n v="532800"/>
    <m/>
    <n v="0"/>
    <n v="1379360.88"/>
    <n v="-400639.12000000011"/>
    <n v="-503439.12"/>
    <n v="-1.6975911320468162"/>
    <n v="102800"/>
    <n v="9.4939046915404501E-2"/>
    <m/>
  </r>
  <r>
    <x v="0"/>
    <x v="0"/>
    <x v="9"/>
    <x v="0"/>
    <x v="1"/>
    <x v="3"/>
    <x v="14"/>
    <x v="3"/>
    <x v="1"/>
    <x v="21"/>
    <n v="23"/>
    <n v="3910"/>
    <n v="35652000"/>
    <n v="3354160"/>
    <n v="4150000"/>
    <n v="0"/>
    <m/>
    <n v="0"/>
    <m/>
    <n v="7504160"/>
    <n v="816666.66666666663"/>
    <n v="4025000"/>
    <n v="0"/>
    <n v="0"/>
    <n v="4841666.666666667"/>
    <n v="9269520"/>
    <n v="3325000"/>
    <n v="0"/>
    <n v="0"/>
    <n v="0"/>
    <n v="12594520"/>
    <n v="248693.33333333209"/>
    <n v="948693.33333333337"/>
    <n v="0.10234546484967219"/>
    <n v="-700000"/>
    <n v="-0.21052631578947367"/>
    <m/>
  </r>
  <r>
    <x v="0"/>
    <x v="0"/>
    <x v="10"/>
    <x v="0"/>
    <x v="1"/>
    <x v="4"/>
    <x v="14"/>
    <x v="3"/>
    <x v="1"/>
    <x v="21"/>
    <n v="10"/>
    <n v="1905"/>
    <n v="16970000"/>
    <n v="1635920"/>
    <n v="1825000"/>
    <n v="0"/>
    <m/>
    <n v="0"/>
    <m/>
    <n v="3460920"/>
    <n v="0"/>
    <n v="1715000"/>
    <n v="0"/>
    <n v="0"/>
    <n v="1715000"/>
    <n v="4412200"/>
    <n v="1425000"/>
    <n v="0"/>
    <n v="0"/>
    <n v="0"/>
    <n v="5837200"/>
    <n v="661280"/>
    <n v="951280"/>
    <n v="0.21560219391686686"/>
    <n v="-290000"/>
    <n v="-0.20350877192982456"/>
    <m/>
  </r>
  <r>
    <x v="0"/>
    <x v="0"/>
    <x v="21"/>
    <x v="0"/>
    <x v="1"/>
    <x v="3"/>
    <x v="14"/>
    <x v="3"/>
    <x v="1"/>
    <x v="21"/>
    <n v="6"/>
    <n v="873"/>
    <n v="1803200"/>
    <n v="0"/>
    <n v="0"/>
    <n v="0"/>
    <m/>
    <n v="0"/>
    <m/>
    <n v="0"/>
    <n v="116666.66666666667"/>
    <n v="0"/>
    <n v="0"/>
    <n v="0"/>
    <n v="116666.66666666667"/>
    <n v="126224.00000000001"/>
    <n v="0"/>
    <n v="0"/>
    <n v="0"/>
    <n v="0"/>
    <n v="126224.00000000001"/>
    <n v="9557.333333333343"/>
    <n v="9557.333333333343"/>
    <n v="7.5717243419106836E-2"/>
    <n v="0"/>
    <n v="0"/>
    <m/>
  </r>
  <r>
    <x v="0"/>
    <x v="14"/>
    <x v="18"/>
    <x v="0"/>
    <x v="1"/>
    <x v="3"/>
    <x v="14"/>
    <x v="3"/>
    <x v="1"/>
    <x v="21"/>
    <n v="4"/>
    <n v="137"/>
    <n v="1429000"/>
    <n v="69800"/>
    <n v="275000"/>
    <n v="0"/>
    <m/>
    <n v="0"/>
    <m/>
    <n v="344800"/>
    <n v="233333.33333333334"/>
    <n v="385000"/>
    <n v="0"/>
    <n v="0"/>
    <n v="618333.33333333337"/>
    <n v="428700"/>
    <n v="275000"/>
    <n v="0"/>
    <n v="0"/>
    <n v="0"/>
    <n v="703700"/>
    <n v="-259433.33333333337"/>
    <n v="-149433.33333333334"/>
    <n v="-0.34857320581603302"/>
    <n v="-110000"/>
    <n v="-0.4"/>
    <m/>
  </r>
  <r>
    <x v="0"/>
    <x v="16"/>
    <x v="22"/>
    <x v="0"/>
    <x v="1"/>
    <x v="3"/>
    <x v="14"/>
    <x v="3"/>
    <x v="1"/>
    <x v="21"/>
    <n v="1"/>
    <n v="49"/>
    <n v="462000"/>
    <n v="0"/>
    <n v="0"/>
    <n v="0"/>
    <m/>
    <n v="0"/>
    <m/>
    <n v="0"/>
    <n v="233333.33333333334"/>
    <n v="0"/>
    <n v="0"/>
    <n v="0"/>
    <n v="233333.33333333334"/>
    <n v="46200"/>
    <n v="0"/>
    <n v="0"/>
    <n v="0"/>
    <n v="0"/>
    <n v="46200"/>
    <n v="-187133.33333333334"/>
    <n v="-187133.33333333334"/>
    <n v="-4.0505050505050511"/>
    <n v="0"/>
    <n v="0"/>
    <m/>
  </r>
  <r>
    <x v="0"/>
    <x v="0"/>
    <x v="0"/>
    <x v="0"/>
    <x v="0"/>
    <x v="2"/>
    <x v="13"/>
    <x v="3"/>
    <x v="0"/>
    <x v="20"/>
    <n v="240"/>
    <n v="61072"/>
    <n v="534252000"/>
    <n v="56719915"/>
    <n v="64780000"/>
    <n v="0"/>
    <m/>
    <n v="0"/>
    <m/>
    <n v="121499915"/>
    <n v="2575000"/>
    <n v="58800000"/>
    <n v="0"/>
    <n v="292837"/>
    <n v="61667837"/>
    <n v="138905520"/>
    <n v="38075000"/>
    <n v="0"/>
    <n v="2600000"/>
    <n v="0"/>
    <n v="179580520"/>
    <n v="-3587232"/>
    <n v="14537768"/>
    <n v="0.10465939726513389"/>
    <n v="-20725000"/>
    <n v="-0.54432042022324356"/>
    <m/>
  </r>
  <r>
    <x v="0"/>
    <x v="0"/>
    <x v="1"/>
    <x v="0"/>
    <x v="0"/>
    <x v="2"/>
    <x v="13"/>
    <x v="3"/>
    <x v="0"/>
    <x v="20"/>
    <n v="26"/>
    <n v="5846"/>
    <n v="51134000"/>
    <n v="4805805"/>
    <n v="7780000"/>
    <n v="0"/>
    <m/>
    <n v="0"/>
    <m/>
    <n v="12585805"/>
    <n v="900000"/>
    <n v="6370000"/>
    <n v="0"/>
    <n v="295556"/>
    <n v="7565556"/>
    <n v="13294840"/>
    <n v="3650000"/>
    <n v="0"/>
    <n v="325000"/>
    <n v="0"/>
    <n v="17269840"/>
    <n v="-2881521"/>
    <n v="-486521"/>
    <n v="-3.6594723968095891E-2"/>
    <n v="-2720000"/>
    <n v="-0.74520547945205484"/>
    <m/>
  </r>
  <r>
    <x v="0"/>
    <x v="12"/>
    <x v="16"/>
    <x v="1"/>
    <x v="0"/>
    <x v="2"/>
    <x v="13"/>
    <x v="3"/>
    <x v="0"/>
    <x v="20"/>
    <n v="11"/>
    <n v="618"/>
    <n v="5988000"/>
    <n v="0"/>
    <n v="0"/>
    <n v="0"/>
    <m/>
    <n v="0"/>
    <m/>
    <n v="0"/>
    <n v="0"/>
    <n v="0"/>
    <n v="0"/>
    <n v="0"/>
    <n v="0"/>
    <n v="419160.00000000006"/>
    <n v="0"/>
    <n v="0"/>
    <n v="0"/>
    <n v="0"/>
    <n v="419160.00000000006"/>
    <n v="419160.00000000006"/>
    <n v="419160.00000000006"/>
    <n v="1"/>
    <n v="0"/>
    <n v="0"/>
    <m/>
  </r>
  <r>
    <x v="0"/>
    <x v="15"/>
    <x v="20"/>
    <x v="1"/>
    <x v="0"/>
    <x v="2"/>
    <x v="13"/>
    <x v="3"/>
    <x v="0"/>
    <x v="20"/>
    <n v="2"/>
    <n v="77"/>
    <n v="244000"/>
    <n v="0"/>
    <n v="150000"/>
    <n v="0"/>
    <m/>
    <n v="0"/>
    <m/>
    <n v="150000"/>
    <n v="0"/>
    <n v="140000"/>
    <n v="0"/>
    <n v="0"/>
    <n v="140000"/>
    <n v="53680"/>
    <n v="100000"/>
    <n v="99900"/>
    <n v="0"/>
    <n v="0"/>
    <n v="253580"/>
    <n v="-36420"/>
    <n v="-96320"/>
    <n v="-1.7943368107302533"/>
    <n v="59900"/>
    <n v="0.29964982491245623"/>
    <m/>
  </r>
  <r>
    <x v="0"/>
    <x v="0"/>
    <x v="9"/>
    <x v="0"/>
    <x v="1"/>
    <x v="3"/>
    <x v="13"/>
    <x v="3"/>
    <x v="0"/>
    <x v="20"/>
    <n v="22"/>
    <n v="3678"/>
    <n v="33788000"/>
    <n v="3170080"/>
    <n v="3850000"/>
    <n v="0"/>
    <m/>
    <n v="0"/>
    <m/>
    <n v="7020080"/>
    <n v="716666.66666666663"/>
    <n v="3535000"/>
    <n v="0"/>
    <n v="0"/>
    <n v="4251666.666666667"/>
    <n v="8784880"/>
    <n v="2925000"/>
    <n v="0"/>
    <n v="80000"/>
    <n v="0"/>
    <n v="11789880"/>
    <n v="518133.33333333209"/>
    <n v="1048133.3333333334"/>
    <n v="0.11931105869782323"/>
    <n v="-610000"/>
    <n v="-0.20854700854700856"/>
    <m/>
  </r>
  <r>
    <x v="0"/>
    <x v="0"/>
    <x v="10"/>
    <x v="0"/>
    <x v="1"/>
    <x v="4"/>
    <x v="13"/>
    <x v="3"/>
    <x v="0"/>
    <x v="20"/>
    <n v="16"/>
    <n v="2222"/>
    <n v="19946000"/>
    <n v="1669480"/>
    <n v="3000000"/>
    <n v="0"/>
    <m/>
    <n v="0"/>
    <m/>
    <n v="4669480"/>
    <n v="0"/>
    <n v="2415000"/>
    <n v="0"/>
    <n v="0"/>
    <n v="2415000"/>
    <n v="5185960"/>
    <n v="2000000"/>
    <n v="0"/>
    <n v="0"/>
    <n v="0"/>
    <n v="7185960"/>
    <n v="101480"/>
    <n v="516480"/>
    <n v="9.9591975256268853E-2"/>
    <n v="-415000"/>
    <n v="-0.20749999999999999"/>
    <m/>
  </r>
  <r>
    <x v="0"/>
    <x v="0"/>
    <x v="21"/>
    <x v="0"/>
    <x v="1"/>
    <x v="3"/>
    <x v="13"/>
    <x v="3"/>
    <x v="0"/>
    <x v="20"/>
    <n v="5"/>
    <n v="877"/>
    <n v="1493400"/>
    <n v="0"/>
    <n v="0"/>
    <n v="0"/>
    <m/>
    <n v="0"/>
    <m/>
    <n v="0"/>
    <n v="116666.66666666667"/>
    <n v="0"/>
    <n v="0"/>
    <n v="0"/>
    <n v="116666.66666666667"/>
    <n v="104538.00000000001"/>
    <n v="0"/>
    <n v="0"/>
    <n v="0"/>
    <n v="0"/>
    <n v="104538.00000000001"/>
    <n v="-12128.666666666657"/>
    <n v="-12128.666666666657"/>
    <n v="-0.1160216061782955"/>
    <n v="0"/>
    <n v="0"/>
    <m/>
  </r>
  <r>
    <x v="0"/>
    <x v="14"/>
    <x v="18"/>
    <x v="0"/>
    <x v="1"/>
    <x v="3"/>
    <x v="13"/>
    <x v="3"/>
    <x v="0"/>
    <x v="20"/>
    <n v="2"/>
    <n v="74"/>
    <n v="774000"/>
    <n v="38700"/>
    <n v="200000"/>
    <n v="0"/>
    <m/>
    <n v="0"/>
    <m/>
    <n v="238700"/>
    <n v="233333.33333333334"/>
    <n v="280000"/>
    <n v="0"/>
    <n v="0"/>
    <n v="513333.33333333337"/>
    <n v="232200"/>
    <n v="200000"/>
    <n v="0"/>
    <n v="0"/>
    <n v="0"/>
    <n v="432200"/>
    <n v="-319833.33333333337"/>
    <n v="-239833.33333333334"/>
    <n v="-1.0328739592305485"/>
    <n v="-80000"/>
    <n v="-0.4"/>
    <m/>
  </r>
  <r>
    <x v="0"/>
    <x v="16"/>
    <x v="22"/>
    <x v="0"/>
    <x v="1"/>
    <x v="3"/>
    <x v="13"/>
    <x v="3"/>
    <x v="0"/>
    <x v="20"/>
    <n v="3"/>
    <n v="92"/>
    <n v="896000"/>
    <n v="0"/>
    <n v="0"/>
    <n v="0"/>
    <m/>
    <n v="0"/>
    <m/>
    <n v="0"/>
    <n v="233333.33333333334"/>
    <n v="0"/>
    <n v="0"/>
    <n v="0"/>
    <n v="233333.33333333334"/>
    <n v="89600"/>
    <n v="0"/>
    <n v="0"/>
    <n v="0"/>
    <n v="0"/>
    <n v="89600"/>
    <n v="-143733.33333333334"/>
    <n v="-143733.33333333334"/>
    <n v="-1.6041666666666667"/>
    <n v="0"/>
    <n v="0"/>
    <m/>
  </r>
  <r>
    <x v="0"/>
    <x v="0"/>
    <x v="0"/>
    <x v="0"/>
    <x v="0"/>
    <x v="2"/>
    <x v="12"/>
    <x v="3"/>
    <x v="4"/>
    <x v="19"/>
    <n v="241"/>
    <n v="73899"/>
    <n v="646924000"/>
    <n v="74930805"/>
    <n v="68080000"/>
    <n v="0"/>
    <n v="1400000"/>
    <n v="3600000"/>
    <n v="440000"/>
    <n v="148010805"/>
    <n v="3300000"/>
    <n v="59045000"/>
    <n v="0"/>
    <n v="292837.14444444445"/>
    <n v="62637837.144444443"/>
    <n v="168200240"/>
    <n v="38025000"/>
    <n v="0"/>
    <n v="2725000"/>
    <n v="0"/>
    <n v="208950240"/>
    <n v="-1698402.1444444358"/>
    <n v="16596597.855555555"/>
    <n v="9.8671665721496923E-2"/>
    <n v="-21020000"/>
    <n v="-0.55279421433267584"/>
    <m/>
  </r>
  <r>
    <x v="0"/>
    <x v="0"/>
    <x v="1"/>
    <x v="0"/>
    <x v="0"/>
    <x v="2"/>
    <x v="12"/>
    <x v="3"/>
    <x v="4"/>
    <x v="19"/>
    <n v="25"/>
    <n v="6813"/>
    <n v="59476000"/>
    <n v="6293825"/>
    <n v="8185000"/>
    <n v="0"/>
    <n v="100000"/>
    <n v="200000"/>
    <m/>
    <n v="14778825"/>
    <n v="900000"/>
    <n v="6125000"/>
    <n v="0"/>
    <n v="295555.5555555555"/>
    <n v="7320555.555555556"/>
    <n v="15463760"/>
    <n v="3675000"/>
    <n v="0"/>
    <n v="250000"/>
    <n v="0"/>
    <n v="19388760"/>
    <n v="-2710620.555555556"/>
    <n v="-510620.5555555555"/>
    <n v="-3.3020465627735786E-2"/>
    <n v="-2450000"/>
    <n v="-0.66666666666666663"/>
    <m/>
  </r>
  <r>
    <x v="0"/>
    <x v="12"/>
    <x v="16"/>
    <x v="1"/>
    <x v="0"/>
    <x v="2"/>
    <x v="12"/>
    <x v="3"/>
    <x v="4"/>
    <x v="19"/>
    <n v="15"/>
    <n v="759"/>
    <n v="7318000"/>
    <n v="0"/>
    <n v="0"/>
    <n v="0"/>
    <m/>
    <n v="0"/>
    <m/>
    <n v="0"/>
    <n v="0"/>
    <n v="0"/>
    <n v="0"/>
    <n v="0"/>
    <n v="0"/>
    <n v="512260.00000000006"/>
    <n v="0"/>
    <n v="0"/>
    <n v="0"/>
    <n v="0"/>
    <n v="512260.00000000006"/>
    <n v="512260.00000000006"/>
    <n v="512260.00000000006"/>
    <n v="1"/>
    <n v="0"/>
    <n v="0"/>
    <m/>
  </r>
  <r>
    <x v="0"/>
    <x v="0"/>
    <x v="9"/>
    <x v="0"/>
    <x v="1"/>
    <x v="3"/>
    <x v="12"/>
    <x v="3"/>
    <x v="4"/>
    <x v="19"/>
    <n v="18"/>
    <n v="3668"/>
    <n v="33644000"/>
    <n v="3386760"/>
    <n v="4050000"/>
    <n v="0"/>
    <m/>
    <n v="0"/>
    <m/>
    <n v="7436760"/>
    <n v="816666.66666666663"/>
    <n v="3535000"/>
    <n v="0"/>
    <n v="0"/>
    <n v="4351666.666666667"/>
    <n v="8747440"/>
    <n v="2555000"/>
    <n v="0"/>
    <n v="0"/>
    <n v="0"/>
    <n v="11302440"/>
    <n v="-485986.66666666791"/>
    <n v="494013.33333333337"/>
    <n v="5.647518969359417E-2"/>
    <n v="-980000"/>
    <n v="-0.38356164383561642"/>
    <m/>
  </r>
  <r>
    <x v="0"/>
    <x v="0"/>
    <x v="10"/>
    <x v="0"/>
    <x v="1"/>
    <x v="4"/>
    <x v="12"/>
    <x v="3"/>
    <x v="4"/>
    <x v="19"/>
    <n v="14"/>
    <n v="1918"/>
    <n v="17866000"/>
    <n v="1664600"/>
    <n v="2700000"/>
    <n v="0"/>
    <m/>
    <n v="0"/>
    <m/>
    <n v="4364600"/>
    <n v="0"/>
    <n v="2275000"/>
    <n v="0"/>
    <n v="0"/>
    <n v="2275000"/>
    <n v="4645160"/>
    <n v="1440000"/>
    <n v="0"/>
    <n v="0"/>
    <n v="0"/>
    <n v="6085160"/>
    <n v="-554440"/>
    <n v="280560"/>
    <n v="6.039835011065281E-2"/>
    <n v="-835000"/>
    <n v="-0.57986111111111116"/>
    <m/>
  </r>
  <r>
    <x v="0"/>
    <x v="0"/>
    <x v="21"/>
    <x v="0"/>
    <x v="1"/>
    <x v="3"/>
    <x v="12"/>
    <x v="3"/>
    <x v="4"/>
    <x v="19"/>
    <n v="5"/>
    <n v="1155"/>
    <n v="1987100"/>
    <n v="0"/>
    <n v="0"/>
    <n v="0"/>
    <m/>
    <n v="0"/>
    <m/>
    <n v="0"/>
    <n v="116666.66666666667"/>
    <n v="0"/>
    <n v="0"/>
    <n v="0"/>
    <n v="116666.66666666667"/>
    <n v="139097"/>
    <n v="0"/>
    <n v="0"/>
    <n v="0"/>
    <n v="0"/>
    <n v="139097"/>
    <n v="22430.333333333328"/>
    <n v="22430.333333333328"/>
    <n v="0.16125677285155918"/>
    <n v="0"/>
    <n v="0"/>
    <m/>
  </r>
  <r>
    <x v="0"/>
    <x v="14"/>
    <x v="18"/>
    <x v="0"/>
    <x v="1"/>
    <x v="3"/>
    <x v="12"/>
    <x v="3"/>
    <x v="4"/>
    <x v="19"/>
    <n v="3"/>
    <n v="157"/>
    <n v="1715000"/>
    <n v="85750"/>
    <n v="300000"/>
    <n v="0"/>
    <m/>
    <n v="0"/>
    <m/>
    <n v="385750"/>
    <n v="233333.33333333334"/>
    <n v="420000"/>
    <n v="0"/>
    <n v="0"/>
    <n v="653333.33333333337"/>
    <n v="514500"/>
    <n v="300000"/>
    <n v="0"/>
    <n v="0"/>
    <n v="0"/>
    <n v="814500"/>
    <n v="-224583.33333333337"/>
    <n v="-104583.33333333334"/>
    <n v="-0.20327178490443798"/>
    <n v="-120000"/>
    <n v="-0.4"/>
    <m/>
  </r>
  <r>
    <x v="0"/>
    <x v="16"/>
    <x v="22"/>
    <x v="0"/>
    <x v="1"/>
    <x v="3"/>
    <x v="12"/>
    <x v="3"/>
    <x v="4"/>
    <x v="19"/>
    <n v="1"/>
    <n v="109"/>
    <n v="1052000"/>
    <n v="0"/>
    <n v="0"/>
    <n v="0"/>
    <m/>
    <n v="0"/>
    <m/>
    <n v="0"/>
    <n v="233333.33333333334"/>
    <n v="0"/>
    <n v="0"/>
    <n v="0"/>
    <n v="233333.33333333334"/>
    <n v="105200"/>
    <n v="0"/>
    <n v="0"/>
    <n v="0"/>
    <n v="0"/>
    <n v="105200"/>
    <n v="-128133.33333333334"/>
    <n v="-128133.33333333334"/>
    <n v="-1.2179974651457541"/>
    <n v="0"/>
    <n v="0"/>
    <m/>
  </r>
  <r>
    <x v="0"/>
    <x v="0"/>
    <x v="9"/>
    <x v="0"/>
    <x v="1"/>
    <x v="3"/>
    <x v="11"/>
    <x v="2"/>
    <x v="2"/>
    <x v="112"/>
    <n v="23"/>
    <n v="4050"/>
    <n v="37274000"/>
    <n v="3703000"/>
    <n v="4600000"/>
    <n v="0"/>
    <n v="0"/>
    <n v="0"/>
    <m/>
    <n v="8303000"/>
    <n v="816666.66666666663"/>
    <n v="4025000"/>
    <n v="0"/>
    <n v="0"/>
    <n v="4841666.666666667"/>
    <n v="9691240"/>
    <n v="3175000"/>
    <n v="0"/>
    <n v="0"/>
    <n v="0"/>
    <n v="12866240"/>
    <n v="-278426.66666666791"/>
    <n v="571573.33333333337"/>
    <n v="5.8978348831866034E-2"/>
    <n v="-850000"/>
    <n v="-0.26771653543307089"/>
    <m/>
  </r>
  <r>
    <x v="0"/>
    <x v="0"/>
    <x v="10"/>
    <x v="0"/>
    <x v="1"/>
    <x v="4"/>
    <x v="11"/>
    <x v="2"/>
    <x v="2"/>
    <x v="112"/>
    <n v="13"/>
    <n v="2264"/>
    <n v="20284000"/>
    <n v="1877540"/>
    <n v="2725000"/>
    <n v="0"/>
    <n v="0"/>
    <n v="0"/>
    <m/>
    <n v="4602540"/>
    <n v="0"/>
    <n v="2660000"/>
    <n v="0"/>
    <n v="0"/>
    <n v="2660000"/>
    <n v="5273840"/>
    <n v="2200000"/>
    <n v="0"/>
    <n v="0"/>
    <n v="0"/>
    <n v="7473840"/>
    <n v="211300"/>
    <n v="671300"/>
    <n v="0.12728865494592176"/>
    <n v="-460000"/>
    <n v="-0.20909090909090908"/>
    <m/>
  </r>
  <r>
    <x v="0"/>
    <x v="0"/>
    <x v="21"/>
    <x v="0"/>
    <x v="1"/>
    <x v="3"/>
    <x v="11"/>
    <x v="2"/>
    <x v="2"/>
    <x v="112"/>
    <n v="5"/>
    <n v="1452"/>
    <n v="3006180"/>
    <n v="0"/>
    <n v="0"/>
    <n v="0"/>
    <n v="0"/>
    <n v="0"/>
    <m/>
    <n v="0"/>
    <n v="116666.66666666667"/>
    <n v="0"/>
    <n v="0"/>
    <n v="0"/>
    <n v="116666.66666666667"/>
    <n v="210432.6"/>
    <n v="0"/>
    <n v="0"/>
    <n v="0"/>
    <n v="0"/>
    <n v="210432.6"/>
    <n v="93765.933333333334"/>
    <n v="93765.933333333334"/>
    <n v="0.44558653617991384"/>
    <n v="0"/>
    <n v="0"/>
    <m/>
  </r>
  <r>
    <x v="0"/>
    <x v="14"/>
    <x v="18"/>
    <x v="0"/>
    <x v="1"/>
    <x v="3"/>
    <x v="11"/>
    <x v="2"/>
    <x v="2"/>
    <x v="112"/>
    <n v="3"/>
    <n v="155"/>
    <n v="1617000"/>
    <n v="118320"/>
    <n v="285000"/>
    <n v="0"/>
    <n v="0"/>
    <n v="0"/>
    <m/>
    <n v="403320"/>
    <n v="233333.33333333334"/>
    <n v="350000"/>
    <n v="0"/>
    <n v="0"/>
    <n v="583333.33333333337"/>
    <n v="485100"/>
    <n v="250000"/>
    <n v="0"/>
    <n v="0"/>
    <n v="0"/>
    <n v="735100"/>
    <n v="-251553.33333333337"/>
    <n v="-151553.33333333334"/>
    <n v="-0.31241668384525528"/>
    <n v="-100000"/>
    <n v="-0.4"/>
    <m/>
  </r>
  <r>
    <x v="0"/>
    <x v="16"/>
    <x v="22"/>
    <x v="0"/>
    <x v="1"/>
    <x v="3"/>
    <x v="11"/>
    <x v="2"/>
    <x v="2"/>
    <x v="112"/>
    <n v="1"/>
    <n v="212"/>
    <n v="2057000"/>
    <n v="0"/>
    <n v="0"/>
    <n v="0"/>
    <n v="0"/>
    <n v="0"/>
    <m/>
    <n v="0"/>
    <n v="233333.33333333334"/>
    <n v="0"/>
    <n v="0"/>
    <n v="0"/>
    <n v="233333.33333333334"/>
    <n v="205700"/>
    <n v="0"/>
    <n v="0"/>
    <n v="0"/>
    <n v="0"/>
    <n v="205700"/>
    <n v="-27633.333333333343"/>
    <n v="-27633.333333333343"/>
    <n v="-0.13433803273375472"/>
    <n v="0"/>
    <n v="0"/>
    <m/>
  </r>
  <r>
    <x v="0"/>
    <x v="0"/>
    <x v="0"/>
    <x v="0"/>
    <x v="0"/>
    <x v="2"/>
    <x v="11"/>
    <x v="2"/>
    <x v="2"/>
    <x v="112"/>
    <n v="237"/>
    <n v="63518"/>
    <n v="558502000"/>
    <n v="60364760"/>
    <n v="64300000"/>
    <n v="0"/>
    <n v="0"/>
    <n v="0"/>
    <m/>
    <n v="124664760"/>
    <n v="4350000"/>
    <n v="58065000"/>
    <n v="0"/>
    <n v="289348.17784946243"/>
    <n v="62704348.177849464"/>
    <n v="145210520"/>
    <n v="37725000"/>
    <n v="0"/>
    <n v="2600000"/>
    <n v="0"/>
    <n v="185535520"/>
    <n v="-1833588.1778494716"/>
    <n v="15906411.822150538"/>
    <n v="0.10954035439133844"/>
    <n v="-20340000"/>
    <n v="-0.53916500994035788"/>
    <m/>
  </r>
  <r>
    <x v="0"/>
    <x v="0"/>
    <x v="1"/>
    <x v="0"/>
    <x v="0"/>
    <x v="2"/>
    <x v="11"/>
    <x v="2"/>
    <x v="2"/>
    <x v="112"/>
    <n v="23"/>
    <n v="5385"/>
    <n v="47248000"/>
    <n v="4722885"/>
    <n v="6160000"/>
    <n v="0"/>
    <n v="0"/>
    <n v="0"/>
    <m/>
    <n v="10882885"/>
    <n v="1050000"/>
    <n v="5635000"/>
    <n v="0"/>
    <n v="286021.50537634408"/>
    <n v="6971021.5053763445"/>
    <n v="12284480"/>
    <n v="3725000"/>
    <n v="0"/>
    <n v="175000"/>
    <n v="0"/>
    <n v="16184480"/>
    <n v="-1669426.5053763464"/>
    <n v="65573.494623655919"/>
    <n v="5.33791374349227E-3"/>
    <n v="-1910000"/>
    <n v="-0.51275167785234899"/>
    <m/>
  </r>
  <r>
    <x v="0"/>
    <x v="12"/>
    <x v="16"/>
    <x v="1"/>
    <x v="0"/>
    <x v="2"/>
    <x v="11"/>
    <x v="2"/>
    <x v="2"/>
    <x v="112"/>
    <n v="11"/>
    <n v="703"/>
    <n v="6692000"/>
    <n v="0"/>
    <n v="0"/>
    <n v="0"/>
    <n v="0"/>
    <n v="0"/>
    <m/>
    <n v="0"/>
    <n v="0"/>
    <n v="0"/>
    <n v="0"/>
    <n v="0"/>
    <n v="0"/>
    <n v="468440.00000000006"/>
    <n v="0"/>
    <n v="0"/>
    <n v="0"/>
    <n v="0"/>
    <n v="468440.00000000006"/>
    <n v="468440.00000000006"/>
    <n v="468440.00000000006"/>
    <n v="1"/>
    <n v="0"/>
    <n v="0"/>
    <m/>
  </r>
  <r>
    <x v="0"/>
    <x v="0"/>
    <x v="9"/>
    <x v="0"/>
    <x v="1"/>
    <x v="3"/>
    <x v="10"/>
    <x v="2"/>
    <x v="1"/>
    <x v="113"/>
    <n v="24"/>
    <n v="3411"/>
    <n v="31390000"/>
    <n v="2690260"/>
    <n v="4650000"/>
    <n v="0"/>
    <n v="0"/>
    <n v="0"/>
    <m/>
    <n v="7340260"/>
    <n v="816666.66666666663"/>
    <n v="3955000"/>
    <n v="0"/>
    <n v="0"/>
    <n v="4771666.666666667"/>
    <n v="8161400"/>
    <n v="2655000"/>
    <n v="0"/>
    <n v="0"/>
    <n v="0"/>
    <n v="10816400"/>
    <n v="-1295526.6666666679"/>
    <n v="4473.3333333333721"/>
    <n v="5.4810857614298678E-4"/>
    <n v="-1300000"/>
    <n v="-0.4896421845574388"/>
    <m/>
  </r>
  <r>
    <x v="0"/>
    <x v="0"/>
    <x v="10"/>
    <x v="0"/>
    <x v="1"/>
    <x v="4"/>
    <x v="10"/>
    <x v="2"/>
    <x v="1"/>
    <x v="113"/>
    <n v="14"/>
    <n v="2350"/>
    <n v="21022000"/>
    <n v="1775640"/>
    <n v="2550000"/>
    <n v="0"/>
    <n v="0"/>
    <n v="0"/>
    <m/>
    <n v="4325640"/>
    <n v="0"/>
    <n v="2590000"/>
    <n v="0"/>
    <n v="0"/>
    <n v="2590000"/>
    <n v="5465720"/>
    <n v="1970000"/>
    <n v="0"/>
    <n v="0"/>
    <n v="0"/>
    <n v="7435720"/>
    <n v="520080"/>
    <n v="1140080"/>
    <n v="0.20858734073461502"/>
    <n v="-620000"/>
    <n v="-0.31472081218274112"/>
    <m/>
  </r>
  <r>
    <x v="0"/>
    <x v="0"/>
    <x v="21"/>
    <x v="0"/>
    <x v="1"/>
    <x v="3"/>
    <x v="10"/>
    <x v="2"/>
    <x v="1"/>
    <x v="113"/>
    <n v="8"/>
    <n v="1379"/>
    <n v="2475200"/>
    <n v="0"/>
    <n v="0"/>
    <n v="0"/>
    <n v="0"/>
    <n v="0"/>
    <m/>
    <n v="0"/>
    <n v="116666.66666666667"/>
    <n v="0"/>
    <n v="0"/>
    <n v="0"/>
    <n v="116666.66666666667"/>
    <n v="173264.00000000003"/>
    <n v="0"/>
    <n v="0"/>
    <n v="0"/>
    <n v="0"/>
    <n v="173264.00000000003"/>
    <n v="56597.333333333358"/>
    <n v="56597.333333333358"/>
    <n v="0.32665373841844436"/>
    <n v="0"/>
    <n v="0"/>
    <m/>
  </r>
  <r>
    <x v="0"/>
    <x v="14"/>
    <x v="18"/>
    <x v="0"/>
    <x v="1"/>
    <x v="3"/>
    <x v="10"/>
    <x v="2"/>
    <x v="1"/>
    <x v="113"/>
    <n v="2"/>
    <n v="115"/>
    <n v="1235000"/>
    <n v="61750"/>
    <n v="225000"/>
    <n v="0"/>
    <n v="0"/>
    <n v="0"/>
    <m/>
    <n v="286750"/>
    <n v="233333.33333333334"/>
    <n v="315000"/>
    <n v="0"/>
    <n v="0"/>
    <n v="548333.33333333337"/>
    <n v="370500"/>
    <n v="225000"/>
    <n v="0"/>
    <n v="0"/>
    <n v="0"/>
    <n v="595500"/>
    <n v="-239583.33333333337"/>
    <n v="-149583.33333333334"/>
    <n v="-0.40373369320737745"/>
    <n v="-90000"/>
    <n v="-0.4"/>
    <m/>
  </r>
  <r>
    <x v="0"/>
    <x v="16"/>
    <x v="22"/>
    <x v="0"/>
    <x v="1"/>
    <x v="3"/>
    <x v="10"/>
    <x v="2"/>
    <x v="1"/>
    <x v="113"/>
    <n v="1"/>
    <n v="144"/>
    <n v="1391000"/>
    <n v="0"/>
    <n v="0"/>
    <n v="0"/>
    <n v="0"/>
    <n v="0"/>
    <m/>
    <n v="0"/>
    <n v="233333.33333333334"/>
    <n v="0"/>
    <n v="0"/>
    <n v="0"/>
    <n v="233333.33333333334"/>
    <n v="139100"/>
    <n v="0"/>
    <n v="0"/>
    <n v="0"/>
    <n v="0"/>
    <n v="139100"/>
    <n v="-94233.333333333343"/>
    <n v="-94233.333333333343"/>
    <n v="-0.67745027558111681"/>
    <n v="0"/>
    <n v="0"/>
    <m/>
  </r>
  <r>
    <x v="0"/>
    <x v="0"/>
    <x v="0"/>
    <x v="0"/>
    <x v="0"/>
    <x v="2"/>
    <x v="10"/>
    <x v="2"/>
    <x v="1"/>
    <x v="113"/>
    <n v="226"/>
    <n v="67086"/>
    <n v="589426000"/>
    <n v="66355070"/>
    <n v="64165000"/>
    <n v="0"/>
    <n v="0"/>
    <n v="0"/>
    <m/>
    <n v="130520070"/>
    <n v="4350000"/>
    <n v="55370000"/>
    <m/>
    <n v="289348.17784946243"/>
    <n v="60009348.177849464"/>
    <n v="153250760"/>
    <n v="37950000"/>
    <n v="0"/>
    <n v="2175000"/>
    <n v="0"/>
    <n v="193375760"/>
    <n v="2846341.8221505284"/>
    <n v="18091341.822150536"/>
    <n v="0.11805058468976294"/>
    <n v="-17420000"/>
    <n v="-0.45902503293807639"/>
    <m/>
  </r>
  <r>
    <x v="0"/>
    <x v="0"/>
    <x v="1"/>
    <x v="0"/>
    <x v="0"/>
    <x v="2"/>
    <x v="10"/>
    <x v="2"/>
    <x v="1"/>
    <x v="113"/>
    <n v="20"/>
    <n v="6349"/>
    <n v="55980000"/>
    <n v="6358065"/>
    <n v="6415000"/>
    <n v="0"/>
    <n v="0"/>
    <n v="0"/>
    <m/>
    <n v="12773065"/>
    <n v="600000"/>
    <n v="4900000"/>
    <m/>
    <n v="286021.50537634408"/>
    <n v="5786021.5053763445"/>
    <n v="14554800"/>
    <n v="3025000"/>
    <n v="0"/>
    <n v="75000"/>
    <n v="0"/>
    <n v="17654800"/>
    <n v="-904286.50537634641"/>
    <n v="895713.49462365592"/>
    <n v="6.1540762815267533E-2"/>
    <n v="-1875000"/>
    <n v="-0.6198347107438017"/>
    <m/>
  </r>
  <r>
    <x v="0"/>
    <x v="12"/>
    <x v="16"/>
    <x v="1"/>
    <x v="0"/>
    <x v="2"/>
    <x v="10"/>
    <x v="2"/>
    <x v="1"/>
    <x v="113"/>
    <n v="12"/>
    <n v="704"/>
    <n v="6732000"/>
    <n v="0"/>
    <n v="0"/>
    <n v="0"/>
    <n v="0"/>
    <n v="0"/>
    <m/>
    <n v="0"/>
    <n v="0"/>
    <n v="0"/>
    <n v="0"/>
    <n v="0"/>
    <n v="0"/>
    <n v="471240.00000000006"/>
    <n v="0"/>
    <n v="0"/>
    <n v="0"/>
    <n v="0"/>
    <n v="471240.00000000006"/>
    <n v="471240.00000000006"/>
    <n v="471240.00000000006"/>
    <n v="1"/>
    <n v="0"/>
    <n v="0"/>
    <m/>
  </r>
  <r>
    <x v="0"/>
    <x v="0"/>
    <x v="9"/>
    <x v="0"/>
    <x v="1"/>
    <x v="3"/>
    <x v="9"/>
    <x v="2"/>
    <x v="0"/>
    <x v="114"/>
    <n v="20"/>
    <n v="3113"/>
    <n v="28476000"/>
    <n v="2550660"/>
    <n v="3575000"/>
    <n v="0"/>
    <n v="0"/>
    <n v="0"/>
    <m/>
    <n v="6125660"/>
    <n v="816666.66666666663"/>
    <n v="3430000"/>
    <n v="0"/>
    <n v="0"/>
    <n v="4246666.666666667"/>
    <n v="7403760"/>
    <n v="2350000"/>
    <n v="0"/>
    <n v="0"/>
    <n v="0"/>
    <n v="9753760"/>
    <n v="-618566.66666666791"/>
    <n v="461433.33333333337"/>
    <n v="6.2324188430383128E-2"/>
    <n v="-1080000"/>
    <n v="-0.45957446808510638"/>
    <m/>
  </r>
  <r>
    <x v="0"/>
    <x v="0"/>
    <x v="10"/>
    <x v="0"/>
    <x v="1"/>
    <x v="4"/>
    <x v="9"/>
    <x v="2"/>
    <x v="0"/>
    <x v="114"/>
    <n v="18"/>
    <n v="2705"/>
    <n v="24200000"/>
    <n v="2083380"/>
    <n v="3300000"/>
    <n v="0"/>
    <n v="0"/>
    <n v="0"/>
    <m/>
    <n v="5383380"/>
    <n v="0"/>
    <n v="3045000"/>
    <n v="0"/>
    <n v="0"/>
    <n v="3045000"/>
    <n v="6292000"/>
    <n v="2195000"/>
    <n v="0"/>
    <n v="0"/>
    <n v="0"/>
    <n v="8487000"/>
    <n v="58620"/>
    <n v="908620"/>
    <n v="0.14440877304513669"/>
    <n v="-850000"/>
    <n v="-0.38724373576309795"/>
    <m/>
  </r>
  <r>
    <x v="0"/>
    <x v="0"/>
    <x v="21"/>
    <x v="0"/>
    <x v="1"/>
    <x v="3"/>
    <x v="9"/>
    <x v="2"/>
    <x v="0"/>
    <x v="114"/>
    <n v="11"/>
    <n v="1209"/>
    <n v="2464200"/>
    <n v="0"/>
    <n v="0"/>
    <n v="0"/>
    <n v="0"/>
    <n v="0"/>
    <m/>
    <n v="0"/>
    <n v="116666.66666666667"/>
    <n v="0"/>
    <n v="0"/>
    <n v="0"/>
    <n v="116666.66666666667"/>
    <n v="246420"/>
    <n v="0"/>
    <n v="0"/>
    <n v="0"/>
    <n v="0"/>
    <n v="246420"/>
    <n v="129753.33333333333"/>
    <n v="129753.33333333333"/>
    <n v="0.52655358060763469"/>
    <n v="0"/>
    <n v="0"/>
    <m/>
  </r>
  <r>
    <x v="0"/>
    <x v="14"/>
    <x v="18"/>
    <x v="0"/>
    <x v="1"/>
    <x v="3"/>
    <x v="9"/>
    <x v="2"/>
    <x v="0"/>
    <x v="114"/>
    <n v="2"/>
    <n v="110"/>
    <n v="1196000"/>
    <n v="59800"/>
    <n v="225000"/>
    <n v="0"/>
    <n v="0"/>
    <n v="0"/>
    <m/>
    <n v="284800"/>
    <n v="233333.33333333334"/>
    <n v="315000"/>
    <n v="0"/>
    <n v="0"/>
    <n v="548333.33333333337"/>
    <n v="358800"/>
    <n v="225000"/>
    <n v="0"/>
    <n v="0"/>
    <n v="0"/>
    <n v="583800"/>
    <n v="-249333.33333333337"/>
    <n v="-159333.33333333334"/>
    <n v="-0.44407283537718323"/>
    <n v="-90000"/>
    <n v="-0.4"/>
    <m/>
  </r>
  <r>
    <x v="0"/>
    <x v="16"/>
    <x v="22"/>
    <x v="0"/>
    <x v="1"/>
    <x v="3"/>
    <x v="9"/>
    <x v="2"/>
    <x v="0"/>
    <x v="114"/>
    <n v="1"/>
    <n v="136"/>
    <n v="1317000"/>
    <n v="0"/>
    <n v="0"/>
    <n v="0"/>
    <n v="0"/>
    <n v="0"/>
    <m/>
    <n v="0"/>
    <n v="233333.33333333334"/>
    <n v="0"/>
    <n v="0"/>
    <n v="0"/>
    <n v="233333.33333333334"/>
    <n v="131700"/>
    <n v="0"/>
    <n v="0"/>
    <n v="0"/>
    <n v="0"/>
    <n v="131700"/>
    <n v="-101633.33333333334"/>
    <n v="-101633.33333333334"/>
    <n v="-0.7717033662363959"/>
    <n v="0"/>
    <n v="0"/>
    <m/>
  </r>
  <r>
    <x v="0"/>
    <x v="0"/>
    <x v="0"/>
    <x v="0"/>
    <x v="0"/>
    <x v="2"/>
    <x v="9"/>
    <x v="2"/>
    <x v="0"/>
    <x v="114"/>
    <n v="222"/>
    <n v="55698"/>
    <n v="488470000"/>
    <n v="50225215"/>
    <n v="60680000"/>
    <n v="0"/>
    <n v="0"/>
    <n v="0"/>
    <m/>
    <n v="110905215"/>
    <n v="3825000"/>
    <n v="54390000"/>
    <n v="0"/>
    <n v="289348.17784946243"/>
    <n v="58504348.177849464"/>
    <n v="127002200"/>
    <n v="34250000"/>
    <n v="0"/>
    <n v="2025000"/>
    <n v="0"/>
    <n v="163277200"/>
    <n v="-6132363.1778494716"/>
    <n v="11982636.822150538"/>
    <n v="9.4349836633936562E-2"/>
    <n v="-20140000"/>
    <n v="-0.588029197080292"/>
    <m/>
  </r>
  <r>
    <x v="0"/>
    <x v="0"/>
    <x v="1"/>
    <x v="0"/>
    <x v="0"/>
    <x v="2"/>
    <x v="9"/>
    <x v="2"/>
    <x v="0"/>
    <x v="114"/>
    <n v="21"/>
    <n v="6189"/>
    <n v="54366000"/>
    <n v="6109005"/>
    <n v="6605000"/>
    <n v="0"/>
    <n v="0"/>
    <n v="0"/>
    <m/>
    <n v="12714005"/>
    <n v="900000"/>
    <n v="5145000"/>
    <n v="0"/>
    <n v="286021.50537634408"/>
    <n v="6331021.5053763445"/>
    <n v="14135160"/>
    <n v="3100000"/>
    <n v="0"/>
    <n v="100000"/>
    <n v="0"/>
    <n v="17335160"/>
    <n v="-1709866.5053763464"/>
    <n v="235133.49462365592"/>
    <n v="1.6634653914328237E-2"/>
    <n v="-2045000"/>
    <n v="-0.6596774193548387"/>
    <m/>
  </r>
  <r>
    <x v="0"/>
    <x v="12"/>
    <x v="16"/>
    <x v="1"/>
    <x v="0"/>
    <x v="2"/>
    <x v="9"/>
    <x v="2"/>
    <x v="0"/>
    <x v="114"/>
    <n v="11"/>
    <n v="530"/>
    <n v="5085000"/>
    <n v="0"/>
    <n v="0"/>
    <n v="0"/>
    <n v="0"/>
    <n v="0"/>
    <m/>
    <n v="0"/>
    <n v="0"/>
    <n v="0"/>
    <n v="0"/>
    <n v="0"/>
    <n v="0"/>
    <n v="355950.00000000006"/>
    <n v="0"/>
    <n v="0"/>
    <n v="0"/>
    <n v="0"/>
    <n v="355950.00000000006"/>
    <n v="355950.00000000006"/>
    <n v="355950.00000000006"/>
    <n v="1"/>
    <n v="0"/>
    <n v="0"/>
    <m/>
  </r>
  <r>
    <x v="0"/>
    <x v="0"/>
    <x v="9"/>
    <x v="0"/>
    <x v="1"/>
    <x v="3"/>
    <x v="8"/>
    <x v="2"/>
    <x v="4"/>
    <x v="115"/>
    <n v="18"/>
    <n v="2939"/>
    <n v="26768000"/>
    <n v="2465220"/>
    <n v="3375000"/>
    <n v="0"/>
    <n v="0"/>
    <n v="0"/>
    <m/>
    <n v="5840220"/>
    <n v="876666.66666666663"/>
    <n v="3360000"/>
    <n v="0"/>
    <n v="0"/>
    <n v="4236666.666666667"/>
    <n v="6959680"/>
    <n v="2590000"/>
    <n v="0"/>
    <n v="0"/>
    <n v="0"/>
    <n v="9549680"/>
    <n v="-527206.66666666791"/>
    <n v="242793.33333333337"/>
    <n v="3.4885703557251679E-2"/>
    <n v="-770000"/>
    <n v="-0.29729729729729731"/>
    <m/>
  </r>
  <r>
    <x v="0"/>
    <x v="0"/>
    <x v="10"/>
    <x v="0"/>
    <x v="1"/>
    <x v="4"/>
    <x v="8"/>
    <x v="2"/>
    <x v="4"/>
    <x v="115"/>
    <n v="16"/>
    <n v="2080"/>
    <n v="18630000"/>
    <n v="1386340"/>
    <n v="2500000"/>
    <n v="0"/>
    <n v="0"/>
    <n v="0"/>
    <m/>
    <n v="3886340"/>
    <n v="0"/>
    <n v="2695000"/>
    <n v="0"/>
    <n v="0"/>
    <n v="2695000"/>
    <n v="4843800"/>
    <n v="2090000"/>
    <n v="0"/>
    <n v="0"/>
    <n v="0"/>
    <n v="6933800"/>
    <n v="352460"/>
    <n v="957460"/>
    <n v="0.19766712085552665"/>
    <n v="-605000"/>
    <n v="-0.28947368421052633"/>
    <m/>
  </r>
  <r>
    <x v="0"/>
    <x v="0"/>
    <x v="21"/>
    <x v="0"/>
    <x v="1"/>
    <x v="3"/>
    <x v="8"/>
    <x v="2"/>
    <x v="4"/>
    <x v="115"/>
    <n v="12"/>
    <n v="1299"/>
    <n v="2785600"/>
    <n v="0"/>
    <n v="0"/>
    <n v="0"/>
    <n v="0"/>
    <n v="0"/>
    <m/>
    <n v="0"/>
    <n v="116666.66666666667"/>
    <n v="0"/>
    <n v="0"/>
    <n v="0"/>
    <n v="116666.66666666667"/>
    <n v="194992.00000000003"/>
    <n v="0"/>
    <n v="0"/>
    <n v="0"/>
    <n v="0"/>
    <n v="194992.00000000003"/>
    <n v="78325.333333333358"/>
    <n v="78325.333333333358"/>
    <n v="0.40168485544706112"/>
    <n v="0"/>
    <n v="0"/>
    <m/>
  </r>
  <r>
    <x v="0"/>
    <x v="14"/>
    <x v="18"/>
    <x v="0"/>
    <x v="1"/>
    <x v="3"/>
    <x v="8"/>
    <x v="2"/>
    <x v="4"/>
    <x v="115"/>
    <n v="1"/>
    <n v="8"/>
    <n v="77000"/>
    <n v="0"/>
    <n v="25000"/>
    <n v="0"/>
    <n v="0"/>
    <n v="0"/>
    <m/>
    <n v="25000"/>
    <n v="233333.33333333334"/>
    <n v="35000"/>
    <n v="0"/>
    <n v="0"/>
    <n v="268333.33333333337"/>
    <n v="23100"/>
    <n v="25000"/>
    <n v="0"/>
    <n v="0"/>
    <n v="0"/>
    <n v="48100"/>
    <n v="-245233.33333333337"/>
    <n v="-235233.33333333334"/>
    <n v="-10.183261183261184"/>
    <n v="-10000"/>
    <n v="-0.4"/>
    <m/>
  </r>
  <r>
    <x v="0"/>
    <x v="16"/>
    <x v="22"/>
    <x v="0"/>
    <x v="1"/>
    <x v="3"/>
    <x v="8"/>
    <x v="2"/>
    <x v="4"/>
    <x v="115"/>
    <n v="1"/>
    <n v="107"/>
    <n v="1015000"/>
    <n v="0"/>
    <n v="0"/>
    <n v="0"/>
    <n v="0"/>
    <n v="0"/>
    <m/>
    <n v="0"/>
    <n v="233333.33333333334"/>
    <n v="0"/>
    <n v="0"/>
    <n v="0"/>
    <n v="233333.33333333334"/>
    <n v="101500"/>
    <n v="0"/>
    <n v="0"/>
    <n v="0"/>
    <n v="0"/>
    <n v="101500"/>
    <n v="-131833.33333333334"/>
    <n v="-131833.33333333334"/>
    <n v="-1.2988505747126438"/>
    <n v="0"/>
    <n v="0"/>
    <m/>
  </r>
  <r>
    <x v="0"/>
    <x v="0"/>
    <x v="0"/>
    <x v="0"/>
    <x v="0"/>
    <x v="2"/>
    <x v="8"/>
    <x v="2"/>
    <x v="4"/>
    <x v="115"/>
    <n v="226"/>
    <n v="63381"/>
    <n v="555702000"/>
    <n v="61322310"/>
    <n v="63070000"/>
    <n v="0"/>
    <n v="2200000"/>
    <n v="1200000"/>
    <n v="424210"/>
    <n v="127792310"/>
    <n v="3625000"/>
    <n v="55370000"/>
    <m/>
    <n v="289348.17784946243"/>
    <n v="59284348.177849464"/>
    <n v="144482520"/>
    <n v="34975000"/>
    <n v="0"/>
    <n v="2025000"/>
    <n v="0"/>
    <n v="181482520"/>
    <n v="-5594138.1778494716"/>
    <n v="12775861.822150538"/>
    <n v="8.842496533248824E-2"/>
    <n v="-20395000"/>
    <n v="-0.58313080771979986"/>
    <m/>
  </r>
  <r>
    <x v="0"/>
    <x v="0"/>
    <x v="1"/>
    <x v="0"/>
    <x v="0"/>
    <x v="2"/>
    <x v="8"/>
    <x v="2"/>
    <x v="4"/>
    <x v="115"/>
    <n v="23"/>
    <n v="6463"/>
    <n v="56926000"/>
    <n v="6254690"/>
    <n v="6955000"/>
    <n v="0"/>
    <n v="200000"/>
    <n v="200000"/>
    <m/>
    <n v="13609690"/>
    <n v="900000"/>
    <n v="5635000"/>
    <m/>
    <n v="286021.50537634408"/>
    <n v="6821021.5053763445"/>
    <n v="14800760"/>
    <n v="3375000"/>
    <n v="0"/>
    <n v="150000"/>
    <n v="0"/>
    <n v="18325760"/>
    <n v="-2104951.5053763464"/>
    <n v="5048.494623655919"/>
    <n v="3.4109698580720983E-4"/>
    <n v="-2260000"/>
    <n v="-0.66962962962962957"/>
    <m/>
  </r>
  <r>
    <x v="0"/>
    <x v="12"/>
    <x v="16"/>
    <x v="1"/>
    <x v="0"/>
    <x v="2"/>
    <x v="8"/>
    <x v="2"/>
    <x v="4"/>
    <x v="115"/>
    <n v="11"/>
    <n v="545"/>
    <n v="5231000"/>
    <n v="0"/>
    <n v="0"/>
    <n v="0"/>
    <n v="0"/>
    <n v="0"/>
    <m/>
    <n v="0"/>
    <n v="0"/>
    <n v="0"/>
    <n v="0"/>
    <n v="0"/>
    <n v="0"/>
    <n v="366170.00000000006"/>
    <n v="0"/>
    <n v="0"/>
    <n v="0"/>
    <n v="0"/>
    <n v="366170.00000000006"/>
    <n v="366170.00000000006"/>
    <n v="366170.00000000006"/>
    <n v="1"/>
    <n v="0"/>
    <n v="0"/>
    <m/>
  </r>
  <r>
    <x v="0"/>
    <x v="17"/>
    <x v="23"/>
    <x v="1"/>
    <x v="0"/>
    <x v="2"/>
    <x v="9"/>
    <x v="2"/>
    <x v="0"/>
    <x v="114"/>
    <n v="3"/>
    <n v="56"/>
    <n v="516000"/>
    <n v="15480"/>
    <n v="200000"/>
    <n v="0"/>
    <n v="0"/>
    <n v="0"/>
    <m/>
    <n v="215480"/>
    <n v="0"/>
    <n v="0"/>
    <n v="0"/>
    <n v="0"/>
    <n v="0"/>
    <n v="154800"/>
    <n v="0"/>
    <n v="0"/>
    <n v="0"/>
    <n v="0"/>
    <n v="154800"/>
    <n v="-60680"/>
    <n v="-60680"/>
    <n v="-0.39198966408268732"/>
    <n v="0"/>
    <n v="0"/>
    <m/>
  </r>
  <r>
    <x v="0"/>
    <x v="17"/>
    <x v="23"/>
    <x v="1"/>
    <x v="0"/>
    <x v="2"/>
    <x v="8"/>
    <x v="2"/>
    <x v="4"/>
    <x v="115"/>
    <n v="3"/>
    <n v="143"/>
    <n v="1224000"/>
    <n v="36720"/>
    <n v="650000"/>
    <m/>
    <m/>
    <m/>
    <m/>
    <n v="686720"/>
    <n v="0"/>
    <n v="0"/>
    <n v="0"/>
    <n v="0"/>
    <n v="0"/>
    <n v="367200"/>
    <n v="0"/>
    <n v="0"/>
    <n v="0"/>
    <n v="0"/>
    <n v="367200"/>
    <n v="-319520"/>
    <n v="-319520"/>
    <n v="-0.87015250544662315"/>
    <n v="0"/>
    <n v="0"/>
    <m/>
  </r>
  <r>
    <x v="0"/>
    <x v="0"/>
    <x v="9"/>
    <x v="0"/>
    <x v="1"/>
    <x v="3"/>
    <x v="54"/>
    <x v="2"/>
    <x v="3"/>
    <x v="116"/>
    <n v="18"/>
    <n v="1706"/>
    <n v="15574000"/>
    <n v="1579160"/>
    <n v="1625000"/>
    <n v="0"/>
    <n v="0"/>
    <n v="0"/>
    <m/>
    <n v="3204160"/>
    <n v="375000"/>
    <n v="1715000"/>
    <n v="0"/>
    <n v="0"/>
    <n v="2090000"/>
    <n v="4049240"/>
    <n v="1225000"/>
    <n v="0"/>
    <n v="0"/>
    <n v="0"/>
    <n v="5274240"/>
    <n v="-19920"/>
    <n v="470080"/>
    <n v="0.11609092076537819"/>
    <n v="-490000"/>
    <n v="-0.4"/>
    <m/>
  </r>
  <r>
    <x v="0"/>
    <x v="0"/>
    <x v="10"/>
    <x v="0"/>
    <x v="1"/>
    <x v="4"/>
    <x v="54"/>
    <x v="2"/>
    <x v="3"/>
    <x v="116"/>
    <n v="13"/>
    <n v="901"/>
    <n v="8120000"/>
    <n v="722400"/>
    <n v="925000"/>
    <n v="0"/>
    <n v="0"/>
    <n v="0"/>
    <m/>
    <n v="1647400"/>
    <n v="0"/>
    <n v="1015000"/>
    <n v="0"/>
    <n v="0"/>
    <n v="1015000"/>
    <n v="2111200"/>
    <n v="1015000"/>
    <n v="0"/>
    <n v="0"/>
    <n v="0"/>
    <n v="3126200"/>
    <n v="463800"/>
    <n v="463800"/>
    <n v="0.21968548692686624"/>
    <n v="0"/>
    <n v="0"/>
    <m/>
  </r>
  <r>
    <x v="0"/>
    <x v="0"/>
    <x v="21"/>
    <x v="0"/>
    <x v="1"/>
    <x v="3"/>
    <x v="54"/>
    <x v="2"/>
    <x v="3"/>
    <x v="116"/>
    <n v="7"/>
    <n v="536"/>
    <n v="1120200"/>
    <n v="0"/>
    <n v="0"/>
    <n v="0"/>
    <n v="0"/>
    <n v="0"/>
    <m/>
    <n v="0"/>
    <n v="75000"/>
    <n v="0"/>
    <n v="0"/>
    <n v="0"/>
    <n v="75000"/>
    <n v="112020"/>
    <n v="0"/>
    <n v="0"/>
    <n v="0"/>
    <n v="0"/>
    <n v="112020"/>
    <n v="37020"/>
    <n v="37020"/>
    <n v="0.33047670058918049"/>
    <n v="0"/>
    <n v="0"/>
    <m/>
  </r>
  <r>
    <x v="0"/>
    <x v="16"/>
    <x v="22"/>
    <x v="0"/>
    <x v="1"/>
    <x v="3"/>
    <x v="54"/>
    <x v="2"/>
    <x v="3"/>
    <x v="116"/>
    <n v="1"/>
    <n v="56"/>
    <n v="532000"/>
    <n v="0"/>
    <n v="0"/>
    <n v="0"/>
    <n v="0"/>
    <n v="0"/>
    <m/>
    <n v="0"/>
    <n v="150000"/>
    <n v="0"/>
    <n v="0"/>
    <n v="0"/>
    <n v="150000"/>
    <n v="53200"/>
    <n v="0"/>
    <n v="0"/>
    <n v="0"/>
    <n v="0"/>
    <n v="53200"/>
    <n v="-96800"/>
    <n v="-96800"/>
    <n v="-1.8195488721804511"/>
    <n v="0"/>
    <n v="0"/>
    <m/>
  </r>
  <r>
    <x v="2"/>
    <x v="0"/>
    <x v="9"/>
    <x v="0"/>
    <x v="1"/>
    <x v="3"/>
    <x v="54"/>
    <x v="1"/>
    <x v="2"/>
    <x v="14"/>
    <n v="18"/>
    <n v="1727"/>
    <n v="15786000"/>
    <n v="1631320"/>
    <n v="1725000"/>
    <n v="0"/>
    <n v="0"/>
    <n v="0"/>
    <m/>
    <n v="3356320"/>
    <n v="400000"/>
    <n v="1785000"/>
    <n v="0"/>
    <n v="0"/>
    <n v="2185000"/>
    <n v="4104360"/>
    <n v="1550000"/>
    <n v="0"/>
    <n v="0"/>
    <n v="0"/>
    <n v="5654360"/>
    <n v="113040"/>
    <n v="348040"/>
    <n v="8.4797629837538621E-2"/>
    <n v="-235000"/>
    <n v="-0.15161290322580645"/>
    <m/>
  </r>
  <r>
    <x v="2"/>
    <x v="0"/>
    <x v="10"/>
    <x v="0"/>
    <x v="1"/>
    <x v="4"/>
    <x v="54"/>
    <x v="1"/>
    <x v="2"/>
    <x v="14"/>
    <n v="11"/>
    <n v="1307"/>
    <n v="11654000"/>
    <n v="1048400"/>
    <n v="1325000"/>
    <n v="0"/>
    <n v="0"/>
    <n v="0"/>
    <m/>
    <n v="2373400"/>
    <n v="0"/>
    <n v="1295000"/>
    <n v="0"/>
    <n v="0"/>
    <n v="1295000"/>
    <n v="3030040"/>
    <n v="1225000"/>
    <n v="0"/>
    <n v="0"/>
    <n v="0"/>
    <n v="4255040"/>
    <n v="586640"/>
    <n v="656640"/>
    <n v="0.21671001042890523"/>
    <n v="-70000"/>
    <n v="-5.7142857142857141E-2"/>
    <m/>
  </r>
  <r>
    <x v="2"/>
    <x v="0"/>
    <x v="21"/>
    <x v="0"/>
    <x v="1"/>
    <x v="3"/>
    <x v="54"/>
    <x v="1"/>
    <x v="2"/>
    <x v="14"/>
    <n v="5"/>
    <n v="654"/>
    <n v="1196900"/>
    <n v="0"/>
    <n v="0"/>
    <n v="0"/>
    <n v="0"/>
    <n v="0"/>
    <m/>
    <n v="0"/>
    <n v="100000"/>
    <n v="0"/>
    <n v="0"/>
    <n v="0"/>
    <n v="100000"/>
    <n v="119690"/>
    <n v="0"/>
    <n v="0"/>
    <n v="0"/>
    <n v="0"/>
    <n v="119690"/>
    <n v="19690"/>
    <n v="19690"/>
    <n v="0.16450831314228423"/>
    <n v="0"/>
    <n v="0"/>
    <m/>
  </r>
  <r>
    <x v="2"/>
    <x v="16"/>
    <x v="22"/>
    <x v="0"/>
    <x v="1"/>
    <x v="3"/>
    <x v="54"/>
    <x v="1"/>
    <x v="2"/>
    <x v="14"/>
    <n v="1"/>
    <n v="88"/>
    <n v="841000"/>
    <n v="0"/>
    <n v="0"/>
    <n v="0"/>
    <n v="0"/>
    <n v="0"/>
    <m/>
    <n v="0"/>
    <n v="200000"/>
    <n v="0"/>
    <n v="0"/>
    <n v="0"/>
    <n v="200000"/>
    <n v="84100"/>
    <n v="0"/>
    <n v="0"/>
    <n v="0"/>
    <n v="0"/>
    <n v="84100"/>
    <n v="-115900"/>
    <n v="-115900"/>
    <n v="-1.3781212841854935"/>
    <n v="0"/>
    <n v="0"/>
    <m/>
  </r>
  <r>
    <x v="0"/>
    <x v="0"/>
    <x v="0"/>
    <x v="0"/>
    <x v="0"/>
    <x v="2"/>
    <x v="54"/>
    <x v="2"/>
    <x v="3"/>
    <x v="116"/>
    <n v="215"/>
    <n v="25858"/>
    <n v="226562000"/>
    <n v="25025580"/>
    <n v="25992857.142857142"/>
    <n v="0"/>
    <n v="0"/>
    <n v="0"/>
    <m/>
    <n v="51018437.142857142"/>
    <n v="1553571.4285714286"/>
    <n v="23205000"/>
    <n v="0"/>
    <n v="124006.36193548371"/>
    <n v="24882577.790506914"/>
    <n v="58906120"/>
    <n v="14946428.571428571"/>
    <n v="0"/>
    <n v="739285.7142857142"/>
    <n v="0"/>
    <n v="74591834.285714284"/>
    <n v="-1309180.6476497799"/>
    <n v="6210105.0666359458"/>
    <n v="0.10542376694706672"/>
    <n v="-8258571.4285714291"/>
    <n v="-0.55254480286738361"/>
    <m/>
  </r>
  <r>
    <x v="0"/>
    <x v="0"/>
    <x v="1"/>
    <x v="0"/>
    <x v="0"/>
    <x v="2"/>
    <x v="54"/>
    <x v="2"/>
    <x v="3"/>
    <x v="116"/>
    <n v="24"/>
    <n v="2906"/>
    <n v="25546000"/>
    <n v="3088731.4285714286"/>
    <n v="3180000"/>
    <n v="0"/>
    <n v="0"/>
    <n v="0"/>
    <m/>
    <n v="6268731.4285714291"/>
    <n v="385714.28571428574"/>
    <n v="2520000"/>
    <n v="0"/>
    <n v="122580.64516129029"/>
    <n v="3028294.9308755761"/>
    <n v="6641960"/>
    <n v="1521428.5714285714"/>
    <n v="0"/>
    <n v="75000"/>
    <n v="0"/>
    <n v="8238388.5714285709"/>
    <n v="-1058637.7880184352"/>
    <n v="-135066.35944700515"/>
    <n v="-2.0335316600371751E-2"/>
    <n v="-998571.42857142864"/>
    <n v="-0.65633802816901421"/>
    <m/>
  </r>
  <r>
    <x v="0"/>
    <x v="12"/>
    <x v="16"/>
    <x v="1"/>
    <x v="0"/>
    <x v="2"/>
    <x v="54"/>
    <x v="2"/>
    <x v="3"/>
    <x v="116"/>
    <n v="10"/>
    <n v="224"/>
    <n v="2169000"/>
    <n v="0"/>
    <n v="0"/>
    <n v="0"/>
    <n v="0"/>
    <n v="0"/>
    <m/>
    <n v="0"/>
    <n v="0"/>
    <n v="0"/>
    <n v="0"/>
    <n v="0"/>
    <n v="0"/>
    <n v="151830"/>
    <m/>
    <n v="0"/>
    <m/>
    <n v="0"/>
    <n v="151830"/>
    <n v="151830"/>
    <n v="151830"/>
    <n v="1"/>
    <n v="0"/>
    <n v="0"/>
    <m/>
  </r>
  <r>
    <x v="0"/>
    <x v="17"/>
    <x v="23"/>
    <x v="1"/>
    <x v="0"/>
    <x v="2"/>
    <x v="54"/>
    <x v="2"/>
    <x v="3"/>
    <x v="116"/>
    <n v="1"/>
    <n v="29"/>
    <n v="240000"/>
    <n v="0"/>
    <n v="0"/>
    <n v="0"/>
    <n v="0"/>
    <n v="0"/>
    <m/>
    <n v="0"/>
    <n v="0"/>
    <n v="0"/>
    <n v="0"/>
    <n v="0"/>
    <n v="0"/>
    <n v="72000"/>
    <m/>
    <n v="0"/>
    <m/>
    <n v="0"/>
    <n v="72000"/>
    <n v="72000"/>
    <n v="72000"/>
    <n v="1"/>
    <n v="0"/>
    <n v="0"/>
    <m/>
  </r>
  <r>
    <x v="2"/>
    <x v="0"/>
    <x v="0"/>
    <x v="0"/>
    <x v="0"/>
    <x v="2"/>
    <x v="54"/>
    <x v="1"/>
    <x v="2"/>
    <x v="14"/>
    <n v="210"/>
    <n v="35547"/>
    <n v="311960000"/>
    <n v="33367440"/>
    <n v="34657142.857142858"/>
    <n v="0"/>
    <n v="0"/>
    <n v="0"/>
    <m/>
    <n v="68024582.857142866"/>
    <n v="2071428.5714285714"/>
    <n v="30940000"/>
    <m/>
    <n v="165341.81591397829"/>
    <n v="33176770.38734255"/>
    <n v="81109600"/>
    <n v="19928571.428571429"/>
    <n v="0"/>
    <n v="985714.28571428568"/>
    <n v="0"/>
    <n v="102023885.71428572"/>
    <n v="822532.46980030835"/>
    <n v="10848246.755514584"/>
    <n v="0.13374799968825618"/>
    <n v="-11011428.571428571"/>
    <n v="-0.5525448028673835"/>
    <m/>
  </r>
  <r>
    <x v="2"/>
    <x v="0"/>
    <x v="1"/>
    <x v="0"/>
    <x v="0"/>
    <x v="2"/>
    <x v="54"/>
    <x v="1"/>
    <x v="2"/>
    <x v="14"/>
    <n v="23"/>
    <n v="4269"/>
    <n v="37748000"/>
    <n v="4118308.5714285714"/>
    <n v="4240000"/>
    <n v="0"/>
    <n v="0"/>
    <n v="0"/>
    <m/>
    <n v="8358308.5714285709"/>
    <n v="514285.71428571426"/>
    <n v="3360000"/>
    <m/>
    <n v="163440.86021505372"/>
    <n v="4037726.574500768"/>
    <n v="9814480"/>
    <n v="2028571.4285714286"/>
    <n v="0"/>
    <n v="100000"/>
    <n v="0"/>
    <n v="11943051.428571429"/>
    <n v="-452983.71735790931"/>
    <n v="778444.85407066112"/>
    <n v="7.9315955004305994E-2"/>
    <n v="-1331428.5714285714"/>
    <n v="-0.65633802816901399"/>
    <m/>
  </r>
  <r>
    <x v="2"/>
    <x v="12"/>
    <x v="16"/>
    <x v="1"/>
    <x v="0"/>
    <x v="2"/>
    <x v="54"/>
    <x v="1"/>
    <x v="2"/>
    <x v="14"/>
    <n v="10"/>
    <n v="168"/>
    <n v="1598000"/>
    <n v="0"/>
    <n v="0"/>
    <n v="0"/>
    <n v="0"/>
    <n v="0"/>
    <m/>
    <n v="0"/>
    <n v="0"/>
    <n v="0"/>
    <n v="0"/>
    <n v="0"/>
    <n v="0"/>
    <n v="111860.00000000001"/>
    <n v="0"/>
    <n v="0"/>
    <n v="0"/>
    <n v="0"/>
    <n v="111860.00000000001"/>
    <n v="111860.00000000001"/>
    <n v="111860.00000000001"/>
    <n v="1"/>
    <n v="0"/>
    <n v="0"/>
    <m/>
  </r>
  <r>
    <x v="2"/>
    <x v="17"/>
    <x v="23"/>
    <x v="1"/>
    <x v="0"/>
    <x v="2"/>
    <x v="54"/>
    <x v="1"/>
    <x v="2"/>
    <x v="14"/>
    <n v="2"/>
    <n v="32"/>
    <n v="240000"/>
    <n v="0"/>
    <n v="0"/>
    <n v="0"/>
    <n v="0"/>
    <n v="0"/>
    <m/>
    <n v="0"/>
    <n v="0"/>
    <n v="0"/>
    <n v="0"/>
    <n v="0"/>
    <n v="0"/>
    <n v="72000"/>
    <n v="0"/>
    <n v="0"/>
    <n v="0"/>
    <n v="0"/>
    <n v="72000"/>
    <n v="72000"/>
    <n v="72000"/>
    <n v="1"/>
    <n v="0"/>
    <n v="0"/>
    <m/>
  </r>
  <r>
    <x v="2"/>
    <x v="0"/>
    <x v="9"/>
    <x v="0"/>
    <x v="1"/>
    <x v="3"/>
    <x v="55"/>
    <x v="1"/>
    <x v="1"/>
    <x v="11"/>
    <n v="17"/>
    <n v="2484"/>
    <n v="22642000"/>
    <n v="2189600"/>
    <n v="2750000"/>
    <n v="0"/>
    <n v="0"/>
    <n v="0"/>
    <m/>
    <n v="4939600"/>
    <n v="775000"/>
    <n v="2730000"/>
    <n v="0"/>
    <n v="0"/>
    <n v="3505000"/>
    <n v="5886920"/>
    <n v="2160000"/>
    <n v="0"/>
    <n v="0"/>
    <n v="0"/>
    <n v="8046920"/>
    <n v="-397680"/>
    <n v="172320"/>
    <n v="2.9271673472715785E-2"/>
    <n v="-570000"/>
    <n v="-0.2638888888888889"/>
    <m/>
  </r>
  <r>
    <x v="2"/>
    <x v="0"/>
    <x v="10"/>
    <x v="0"/>
    <x v="1"/>
    <x v="4"/>
    <x v="55"/>
    <x v="1"/>
    <x v="1"/>
    <x v="11"/>
    <n v="11"/>
    <n v="1879"/>
    <n v="17048000"/>
    <n v="1458200"/>
    <n v="1850000"/>
    <n v="0"/>
    <n v="0"/>
    <n v="0"/>
    <m/>
    <n v="3308200"/>
    <n v="0"/>
    <n v="2030000"/>
    <n v="0"/>
    <n v="0"/>
    <n v="2030000"/>
    <n v="4432480"/>
    <n v="1660000"/>
    <n v="0"/>
    <n v="0"/>
    <n v="0"/>
    <n v="6092480"/>
    <n v="754280"/>
    <n v="1124280"/>
    <n v="0.25364581453272211"/>
    <n v="-370000"/>
    <n v="-0.22289156626506024"/>
    <m/>
  </r>
  <r>
    <x v="2"/>
    <x v="0"/>
    <x v="21"/>
    <x v="0"/>
    <x v="1"/>
    <x v="3"/>
    <x v="55"/>
    <x v="1"/>
    <x v="1"/>
    <x v="11"/>
    <n v="9"/>
    <n v="1535"/>
    <n v="2898320"/>
    <n v="0"/>
    <n v="0"/>
    <n v="0"/>
    <n v="0"/>
    <n v="0"/>
    <m/>
    <n v="0"/>
    <n v="175000"/>
    <n v="0"/>
    <n v="0"/>
    <n v="0"/>
    <n v="175000"/>
    <n v="289832"/>
    <n v="0"/>
    <n v="0"/>
    <n v="0"/>
    <n v="0"/>
    <n v="289832"/>
    <n v="114832"/>
    <n v="114832"/>
    <n v="0.39620193767423889"/>
    <n v="0"/>
    <n v="0"/>
    <m/>
  </r>
  <r>
    <x v="2"/>
    <x v="16"/>
    <x v="22"/>
    <x v="0"/>
    <x v="1"/>
    <x v="3"/>
    <x v="55"/>
    <x v="1"/>
    <x v="1"/>
    <x v="11"/>
    <n v="1"/>
    <n v="124"/>
    <n v="1165000"/>
    <n v="0"/>
    <n v="0"/>
    <n v="0"/>
    <n v="0"/>
    <n v="0"/>
    <m/>
    <n v="0"/>
    <n v="350000"/>
    <n v="0"/>
    <n v="0"/>
    <n v="0"/>
    <n v="350000"/>
    <n v="116500"/>
    <n v="0"/>
    <n v="0"/>
    <n v="0"/>
    <n v="0"/>
    <n v="116500"/>
    <n v="-233500"/>
    <n v="-233500"/>
    <n v="-2.0042918454935621"/>
    <n v="0"/>
    <n v="0"/>
    <m/>
  </r>
  <r>
    <x v="2"/>
    <x v="0"/>
    <x v="0"/>
    <x v="0"/>
    <x v="0"/>
    <x v="2"/>
    <x v="55"/>
    <x v="1"/>
    <x v="1"/>
    <x v="11"/>
    <n v="227"/>
    <n v="62602"/>
    <n v="549566000"/>
    <n v="59552235"/>
    <n v="62350000"/>
    <n v="0"/>
    <n v="0"/>
    <n v="0"/>
    <m/>
    <n v="121902235"/>
    <n v="3450000"/>
    <n v="55615000"/>
    <n v="0"/>
    <n v="289348.17784946243"/>
    <n v="59354348.177849464"/>
    <n v="142887160"/>
    <n v="34475000"/>
    <n v="0"/>
    <n v="1825000"/>
    <n v="0"/>
    <n v="179187160"/>
    <n v="-2069423.1778494716"/>
    <n v="17245576.822150536"/>
    <n v="0.12069367759951655"/>
    <n v="-21140000"/>
    <n v="-0.6131979695431472"/>
    <m/>
  </r>
  <r>
    <x v="2"/>
    <x v="0"/>
    <x v="1"/>
    <x v="0"/>
    <x v="0"/>
    <x v="2"/>
    <x v="55"/>
    <x v="1"/>
    <x v="1"/>
    <x v="11"/>
    <n v="27"/>
    <n v="7382"/>
    <n v="65004000"/>
    <n v="7043340"/>
    <n v="7815000"/>
    <n v="0"/>
    <n v="0"/>
    <n v="0"/>
    <m/>
    <n v="14858340"/>
    <n v="900000"/>
    <n v="6615000"/>
    <n v="0"/>
    <n v="286021.50537634408"/>
    <n v="7801021.5053763445"/>
    <n v="16901040"/>
    <n v="3975000"/>
    <n v="0"/>
    <n v="250000"/>
    <n v="0"/>
    <n v="21126040"/>
    <n v="-1533321.5053763464"/>
    <n v="856678.49462365592"/>
    <n v="5.068791592846688E-2"/>
    <n v="-2640000"/>
    <n v="-0.66415094339622638"/>
    <m/>
  </r>
  <r>
    <x v="2"/>
    <x v="12"/>
    <x v="16"/>
    <x v="1"/>
    <x v="0"/>
    <x v="2"/>
    <x v="55"/>
    <x v="1"/>
    <x v="1"/>
    <x v="11"/>
    <n v="9"/>
    <n v="374"/>
    <n v="3570000"/>
    <n v="0"/>
    <n v="0"/>
    <n v="0"/>
    <n v="0"/>
    <n v="0"/>
    <m/>
    <n v="0"/>
    <n v="0"/>
    <n v="0"/>
    <n v="0"/>
    <n v="0"/>
    <n v="0"/>
    <n v="249900.00000000003"/>
    <n v="0"/>
    <n v="0"/>
    <n v="0"/>
    <n v="0"/>
    <n v="249900.00000000003"/>
    <n v="249900.00000000003"/>
    <n v="249900.00000000003"/>
    <n v="1"/>
    <n v="0"/>
    <n v="0"/>
    <m/>
  </r>
  <r>
    <x v="2"/>
    <x v="0"/>
    <x v="9"/>
    <x v="0"/>
    <x v="1"/>
    <x v="3"/>
    <x v="56"/>
    <x v="1"/>
    <x v="0"/>
    <x v="117"/>
    <n v="17"/>
    <n v="2144"/>
    <n v="23356000"/>
    <n v="2250160"/>
    <n v="3500000"/>
    <n v="0"/>
    <n v="0"/>
    <n v="0"/>
    <m/>
    <n v="5750160"/>
    <n v="775000"/>
    <n v="3465000"/>
    <n v="0"/>
    <n v="0"/>
    <n v="4240000"/>
    <n v="6072560"/>
    <n v="2090000"/>
    <n v="0"/>
    <n v="0"/>
    <n v="0"/>
    <n v="8162560"/>
    <n v="-1827600"/>
    <n v="-452600"/>
    <n v="-7.4531993096815838E-2"/>
    <n v="-1375000"/>
    <n v="-0.65789473684210531"/>
    <m/>
  </r>
  <r>
    <x v="2"/>
    <x v="0"/>
    <x v="10"/>
    <x v="0"/>
    <x v="1"/>
    <x v="4"/>
    <x v="56"/>
    <x v="1"/>
    <x v="0"/>
    <x v="117"/>
    <n v="15"/>
    <n v="1851"/>
    <n v="18076000"/>
    <n v="1470720"/>
    <n v="2425000"/>
    <n v="0"/>
    <n v="0"/>
    <n v="0"/>
    <m/>
    <n v="3895720"/>
    <n v="0"/>
    <n v="2450000"/>
    <n v="0"/>
    <n v="0"/>
    <n v="2450000"/>
    <n v="4699760"/>
    <n v="1450000"/>
    <n v="0"/>
    <n v="0"/>
    <n v="0"/>
    <n v="6149760"/>
    <n v="-195960"/>
    <n v="804040"/>
    <n v="0.17108107648050114"/>
    <n v="-1000000"/>
    <n v="-0.68965517241379315"/>
    <m/>
  </r>
  <r>
    <x v="2"/>
    <x v="0"/>
    <x v="21"/>
    <x v="0"/>
    <x v="1"/>
    <x v="3"/>
    <x v="56"/>
    <x v="1"/>
    <x v="0"/>
    <x v="117"/>
    <n v="8"/>
    <n v="1542"/>
    <n v="3060320"/>
    <n v="0"/>
    <n v="0"/>
    <n v="0"/>
    <n v="0"/>
    <n v="0"/>
    <m/>
    <n v="0"/>
    <n v="175000"/>
    <n v="0"/>
    <n v="0"/>
    <n v="0"/>
    <n v="175000"/>
    <n v="306032"/>
    <n v="0"/>
    <n v="0"/>
    <n v="0"/>
    <n v="0"/>
    <n v="306032"/>
    <n v="131032"/>
    <n v="131032"/>
    <n v="0.42816437496732368"/>
    <n v="0"/>
    <n v="0"/>
    <m/>
  </r>
  <r>
    <x v="2"/>
    <x v="16"/>
    <x v="22"/>
    <x v="0"/>
    <x v="1"/>
    <x v="3"/>
    <x v="56"/>
    <x v="1"/>
    <x v="0"/>
    <x v="117"/>
    <n v="1"/>
    <n v="79"/>
    <n v="754000"/>
    <n v="0"/>
    <n v="0"/>
    <n v="0"/>
    <n v="0"/>
    <n v="0"/>
    <m/>
    <n v="0"/>
    <n v="350000"/>
    <n v="0"/>
    <n v="0"/>
    <n v="0"/>
    <n v="350000"/>
    <n v="75400"/>
    <n v="0"/>
    <n v="0"/>
    <n v="0"/>
    <n v="0"/>
    <n v="75400"/>
    <n v="-274600"/>
    <n v="-274600"/>
    <n v="-3.6419098143236073"/>
    <n v="0"/>
    <n v="0"/>
    <m/>
  </r>
  <r>
    <x v="2"/>
    <x v="0"/>
    <x v="0"/>
    <x v="0"/>
    <x v="0"/>
    <x v="2"/>
    <x v="56"/>
    <x v="1"/>
    <x v="0"/>
    <x v="117"/>
    <n v="226"/>
    <n v="48356"/>
    <n v="424110000"/>
    <n v="39374455"/>
    <n v="57120000"/>
    <n v="0"/>
    <n v="0"/>
    <n v="0"/>
    <m/>
    <n v="96494455"/>
    <n v="4425000"/>
    <n v="55370000"/>
    <n v="0"/>
    <n v="289348.17784946243"/>
    <n v="60084348.177849464"/>
    <n v="110268600"/>
    <n v="35200000"/>
    <n v="0"/>
    <n v="1625000"/>
    <n v="0"/>
    <n v="147093600"/>
    <n v="-9485203.1778494716"/>
    <n v="9059796.8221505377"/>
    <n v="8.2161166661683729E-2"/>
    <n v="-20170000"/>
    <n v="-0.57301136363636362"/>
    <m/>
  </r>
  <r>
    <x v="2"/>
    <x v="0"/>
    <x v="1"/>
    <x v="0"/>
    <x v="0"/>
    <x v="2"/>
    <x v="56"/>
    <x v="1"/>
    <x v="0"/>
    <x v="117"/>
    <n v="30"/>
    <n v="8023"/>
    <n v="70496000"/>
    <n v="7628000"/>
    <n v="8890000"/>
    <n v="0"/>
    <n v="0"/>
    <n v="0"/>
    <m/>
    <n v="16518000"/>
    <n v="900000"/>
    <n v="7350000"/>
    <n v="0"/>
    <n v="286021.50537634408"/>
    <n v="8536021.5053763445"/>
    <n v="18328960"/>
    <n v="4525000"/>
    <n v="0"/>
    <n v="250000"/>
    <n v="0"/>
    <n v="23103960"/>
    <n v="-1950061.5053763464"/>
    <n v="624938.49462365592"/>
    <n v="3.4095687623501604E-2"/>
    <n v="-2825000"/>
    <n v="-0.62430939226519333"/>
    <m/>
  </r>
  <r>
    <x v="2"/>
    <x v="12"/>
    <x v="16"/>
    <x v="1"/>
    <x v="0"/>
    <x v="2"/>
    <x v="56"/>
    <x v="1"/>
    <x v="0"/>
    <x v="117"/>
    <n v="9"/>
    <n v="320"/>
    <n v="3084000"/>
    <n v="0"/>
    <n v="0"/>
    <n v="0"/>
    <n v="0"/>
    <n v="0"/>
    <m/>
    <n v="0"/>
    <n v="0"/>
    <n v="0"/>
    <n v="0"/>
    <n v="0"/>
    <n v="0"/>
    <n v="215880.00000000003"/>
    <n v="0"/>
    <n v="0"/>
    <n v="0"/>
    <n v="0"/>
    <n v="215880.00000000003"/>
    <n v="215880.00000000003"/>
    <n v="215880.00000000003"/>
    <n v="1"/>
    <n v="0"/>
    <n v="0"/>
    <m/>
  </r>
  <r>
    <x v="2"/>
    <x v="0"/>
    <x v="9"/>
    <x v="0"/>
    <x v="1"/>
    <x v="3"/>
    <x v="57"/>
    <x v="1"/>
    <x v="4"/>
    <x v="7"/>
    <n v="21"/>
    <n v="2663"/>
    <n v="24502000"/>
    <n v="1972080"/>
    <n v="3825000"/>
    <n v="0"/>
    <n v="0"/>
    <n v="0"/>
    <m/>
    <n v="5797080"/>
    <n v="775000"/>
    <n v="3780000"/>
    <n v="0"/>
    <n v="0"/>
    <n v="4555000"/>
    <n v="6370520"/>
    <n v="3300000"/>
    <n v="0"/>
    <n v="0"/>
    <n v="0"/>
    <n v="9670520"/>
    <n v="-681560"/>
    <n v="-201560"/>
    <n v="-3.1639489398039719E-2"/>
    <n v="-480000"/>
    <n v="-0.14545454545454545"/>
    <m/>
  </r>
  <r>
    <x v="2"/>
    <x v="0"/>
    <x v="10"/>
    <x v="0"/>
    <x v="1"/>
    <x v="4"/>
    <x v="57"/>
    <x v="1"/>
    <x v="4"/>
    <x v="7"/>
    <n v="14"/>
    <n v="1946"/>
    <n v="17466000"/>
    <n v="1315000"/>
    <n v="2375000"/>
    <n v="0"/>
    <n v="0"/>
    <n v="0"/>
    <m/>
    <n v="3690000"/>
    <n v="0"/>
    <n v="2450000"/>
    <n v="0"/>
    <n v="0"/>
    <n v="2450000"/>
    <n v="4541160"/>
    <n v="1640000"/>
    <n v="0"/>
    <n v="0"/>
    <n v="0"/>
    <n v="6181160"/>
    <n v="41160"/>
    <n v="851160"/>
    <n v="0.18743228602383533"/>
    <n v="-810000"/>
    <n v="-0.49390243902439024"/>
    <m/>
  </r>
  <r>
    <x v="2"/>
    <x v="0"/>
    <x v="21"/>
    <x v="0"/>
    <x v="1"/>
    <x v="3"/>
    <x v="57"/>
    <x v="1"/>
    <x v="4"/>
    <x v="7"/>
    <n v="11"/>
    <n v="1594"/>
    <n v="3044800"/>
    <n v="0"/>
    <n v="0"/>
    <n v="0"/>
    <n v="0"/>
    <n v="0"/>
    <m/>
    <n v="0"/>
    <n v="175000"/>
    <n v="0"/>
    <n v="0"/>
    <n v="0"/>
    <n v="175000"/>
    <n v="213136.00000000003"/>
    <n v="0"/>
    <n v="0"/>
    <n v="0"/>
    <n v="0"/>
    <n v="213136.00000000003"/>
    <n v="38136.000000000029"/>
    <n v="38136.000000000029"/>
    <n v="0.17892800840777731"/>
    <n v="0"/>
    <n v="0"/>
    <m/>
  </r>
  <r>
    <x v="2"/>
    <x v="16"/>
    <x v="22"/>
    <x v="0"/>
    <x v="1"/>
    <x v="3"/>
    <x v="57"/>
    <x v="1"/>
    <x v="4"/>
    <x v="7"/>
    <n v="1"/>
    <n v="71"/>
    <n v="679000"/>
    <n v="0"/>
    <n v="0"/>
    <n v="0"/>
    <n v="0"/>
    <n v="0"/>
    <m/>
    <n v="0"/>
    <n v="350000"/>
    <n v="0"/>
    <n v="0"/>
    <n v="0"/>
    <n v="350000"/>
    <n v="67900"/>
    <n v="0"/>
    <n v="0"/>
    <n v="0"/>
    <n v="0"/>
    <n v="67900"/>
    <n v="-282100"/>
    <n v="-282100"/>
    <n v="-4.1546391752577323"/>
    <n v="0"/>
    <n v="0"/>
    <m/>
  </r>
  <r>
    <x v="2"/>
    <x v="0"/>
    <x v="0"/>
    <x v="0"/>
    <x v="0"/>
    <x v="2"/>
    <x v="57"/>
    <x v="1"/>
    <x v="4"/>
    <x v="7"/>
    <n v="216"/>
    <n v="45349"/>
    <n v="396904000"/>
    <n v="36014020"/>
    <n v="55590000"/>
    <n v="0"/>
    <n v="600000"/>
    <n v="1200000"/>
    <m/>
    <n v="93404020"/>
    <n v="3825000"/>
    <n v="52920000"/>
    <n v="0"/>
    <n v="289348.17784946243"/>
    <n v="57034348.177849464"/>
    <n v="103195040"/>
    <n v="33750000"/>
    <n v="0"/>
    <n v="1250000"/>
    <n v="0"/>
    <n v="138195040"/>
    <n v="-12243328.177849472"/>
    <n v="5676671.8221505377"/>
    <n v="5.500915375536012E-2"/>
    <n v="-19170000"/>
    <n v="-0.56799999999999995"/>
    <m/>
  </r>
  <r>
    <x v="2"/>
    <x v="0"/>
    <x v="1"/>
    <x v="0"/>
    <x v="0"/>
    <x v="2"/>
    <x v="57"/>
    <x v="1"/>
    <x v="4"/>
    <x v="7"/>
    <n v="34"/>
    <n v="6162"/>
    <n v="54248000"/>
    <n v="4890460"/>
    <n v="8920000"/>
    <n v="0"/>
    <n v="100000"/>
    <n v="200000"/>
    <m/>
    <n v="14110460"/>
    <n v="900000"/>
    <n v="8330000"/>
    <n v="0"/>
    <n v="286021.50537634408"/>
    <n v="9516021.5053763445"/>
    <n v="14104480"/>
    <n v="5050000"/>
    <n v="0"/>
    <n v="300000"/>
    <n v="0"/>
    <n v="19454480"/>
    <n v="-4172001.5053763464"/>
    <n v="-1192001.5053763441"/>
    <n v="-8.451226173360124E-2"/>
    <n v="-3280000"/>
    <n v="-0.64950495049504953"/>
    <m/>
  </r>
  <r>
    <x v="2"/>
    <x v="12"/>
    <x v="16"/>
    <x v="1"/>
    <x v="0"/>
    <x v="2"/>
    <x v="57"/>
    <x v="1"/>
    <x v="4"/>
    <x v="7"/>
    <n v="9"/>
    <n v="276"/>
    <n v="2655000"/>
    <n v="0"/>
    <n v="0"/>
    <n v="0"/>
    <m/>
    <m/>
    <m/>
    <n v="0"/>
    <n v="0"/>
    <n v="0"/>
    <n v="0"/>
    <n v="0"/>
    <n v="0"/>
    <n v="185850.00000000003"/>
    <n v="0"/>
    <n v="0"/>
    <n v="0"/>
    <n v="0"/>
    <n v="185850.00000000003"/>
    <n v="185850.00000000003"/>
    <n v="185850.00000000003"/>
    <n v="1"/>
    <n v="0"/>
    <n v="0"/>
    <m/>
  </r>
  <r>
    <x v="2"/>
    <x v="0"/>
    <x v="9"/>
    <x v="0"/>
    <x v="1"/>
    <x v="3"/>
    <x v="58"/>
    <x v="1"/>
    <x v="3"/>
    <x v="4"/>
    <n v="27"/>
    <n v="2363"/>
    <n v="22456000"/>
    <n v="1743660"/>
    <n v="3800000"/>
    <n v="0"/>
    <n v="0"/>
    <n v="0"/>
    <m/>
    <n v="5543660"/>
    <n v="664285.71428571432"/>
    <n v="3710000"/>
    <n v="0"/>
    <n v="0"/>
    <n v="4374285.7142857146"/>
    <n v="5838560"/>
    <n v="2240000"/>
    <n v="0"/>
    <n v="0"/>
    <n v="0"/>
    <n v="8078560"/>
    <n v="-1839385.7142857146"/>
    <n v="-369385.71428571432"/>
    <n v="-6.3266578451829619E-2"/>
    <n v="-1470000"/>
    <n v="-0.65625"/>
    <m/>
  </r>
  <r>
    <x v="2"/>
    <x v="0"/>
    <x v="10"/>
    <x v="0"/>
    <x v="1"/>
    <x v="4"/>
    <x v="58"/>
    <x v="1"/>
    <x v="3"/>
    <x v="4"/>
    <n v="11"/>
    <n v="1461"/>
    <n v="13180000"/>
    <n v="1875000"/>
    <n v="995640"/>
    <n v="0"/>
    <n v="0"/>
    <n v="0"/>
    <m/>
    <n v="2870640"/>
    <m/>
    <n v="2100000"/>
    <n v="0"/>
    <n v="0"/>
    <n v="2100000"/>
    <n v="3426800"/>
    <n v="1440000"/>
    <n v="0"/>
    <n v="0"/>
    <n v="0"/>
    <n v="4866800"/>
    <n v="-103840"/>
    <n v="556160"/>
    <n v="0.16229718687988795"/>
    <n v="-660000"/>
    <n v="-0.45833333333333331"/>
    <m/>
  </r>
  <r>
    <x v="2"/>
    <x v="0"/>
    <x v="21"/>
    <x v="0"/>
    <x v="1"/>
    <x v="3"/>
    <x v="58"/>
    <x v="1"/>
    <x v="3"/>
    <x v="4"/>
    <n v="9"/>
    <n v="1581"/>
    <n v="2550039"/>
    <n v="0"/>
    <n v="0"/>
    <n v="0"/>
    <n v="0"/>
    <n v="0"/>
    <m/>
    <n v="0"/>
    <n v="150000"/>
    <n v="0"/>
    <n v="0"/>
    <n v="0"/>
    <n v="150000"/>
    <n v="255003.90000000002"/>
    <n v="0"/>
    <n v="0"/>
    <n v="0"/>
    <n v="0"/>
    <n v="255003.90000000002"/>
    <n v="105003.90000000002"/>
    <n v="105003.90000000002"/>
    <n v="0.41177370228455334"/>
    <n v="0"/>
    <n v="0"/>
    <m/>
  </r>
  <r>
    <x v="2"/>
    <x v="16"/>
    <x v="22"/>
    <x v="0"/>
    <x v="1"/>
    <x v="3"/>
    <x v="58"/>
    <x v="1"/>
    <x v="3"/>
    <x v="4"/>
    <n v="1"/>
    <n v="84"/>
    <n v="789000"/>
    <n v="0"/>
    <n v="0"/>
    <n v="0"/>
    <n v="0"/>
    <n v="0"/>
    <m/>
    <n v="0"/>
    <n v="350000"/>
    <n v="0"/>
    <n v="0"/>
    <n v="0"/>
    <n v="350000"/>
    <n v="78900"/>
    <n v="0"/>
    <n v="0"/>
    <n v="0"/>
    <n v="0"/>
    <n v="78900"/>
    <n v="-271100"/>
    <n v="-271100"/>
    <n v="-3.4359949302915083"/>
    <n v="0"/>
    <n v="0"/>
    <m/>
  </r>
  <r>
    <x v="2"/>
    <x v="0"/>
    <x v="9"/>
    <x v="0"/>
    <x v="1"/>
    <x v="3"/>
    <x v="58"/>
    <x v="0"/>
    <x v="2"/>
    <x v="118"/>
    <n v="20"/>
    <n v="547"/>
    <n v="4394000"/>
    <n v="475000"/>
    <n v="358660"/>
    <n v="0"/>
    <n v="0"/>
    <n v="0"/>
    <m/>
    <n v="833660"/>
    <n v="110714.28571428571"/>
    <n v="700000"/>
    <n v="0"/>
    <n v="0"/>
    <n v="810714.28571428568"/>
    <n v="1142440"/>
    <n v="400000"/>
    <n v="0"/>
    <n v="0"/>
    <n v="0"/>
    <n v="1542440"/>
    <n v="-101934.28571428568"/>
    <n v="198065.71428571429"/>
    <n v="0.17337078033482223"/>
    <n v="-300000"/>
    <n v="-0.75"/>
    <m/>
  </r>
  <r>
    <x v="2"/>
    <x v="0"/>
    <x v="10"/>
    <x v="0"/>
    <x v="1"/>
    <x v="4"/>
    <x v="58"/>
    <x v="0"/>
    <x v="2"/>
    <x v="118"/>
    <n v="10"/>
    <n v="274"/>
    <n v="3469020"/>
    <n v="192880"/>
    <n v="350000"/>
    <n v="0"/>
    <n v="0"/>
    <n v="0"/>
    <m/>
    <n v="542880"/>
    <n v="0"/>
    <n v="350000"/>
    <n v="0"/>
    <n v="0"/>
    <n v="350000"/>
    <n v="901945.20000000007"/>
    <n v="240000"/>
    <n v="0"/>
    <n v="0"/>
    <n v="0"/>
    <n v="1141945.2000000002"/>
    <n v="249065.20000000019"/>
    <n v="359065.20000000007"/>
    <n v="0.39810090457823827"/>
    <n v="-110000"/>
    <n v="-0.45833333333333331"/>
    <m/>
  </r>
  <r>
    <x v="2"/>
    <x v="0"/>
    <x v="21"/>
    <x v="0"/>
    <x v="1"/>
    <x v="3"/>
    <x v="58"/>
    <x v="0"/>
    <x v="2"/>
    <x v="118"/>
    <n v="8"/>
    <n v="321"/>
    <n v="585060"/>
    <n v="0"/>
    <n v="0"/>
    <n v="0"/>
    <n v="0"/>
    <n v="0"/>
    <m/>
    <n v="0"/>
    <n v="25000"/>
    <n v="0"/>
    <n v="0"/>
    <n v="0"/>
    <n v="25000"/>
    <n v="58506"/>
    <n v="0"/>
    <n v="0"/>
    <n v="0"/>
    <n v="0"/>
    <n v="58506"/>
    <n v="33506"/>
    <n v="33506"/>
    <n v="0.57269339896762728"/>
    <n v="0"/>
    <n v="0"/>
    <m/>
  </r>
  <r>
    <x v="2"/>
    <x v="0"/>
    <x v="0"/>
    <x v="0"/>
    <x v="0"/>
    <x v="2"/>
    <x v="58"/>
    <x v="1"/>
    <x v="3"/>
    <x v="4"/>
    <n v="213"/>
    <n v="42838"/>
    <n v="374706000"/>
    <n v="38683272.857142858"/>
    <n v="47948571.428571425"/>
    <n v="0"/>
    <n v="0"/>
    <n v="0"/>
    <m/>
    <n v="86631844.285714284"/>
    <n v="3300000"/>
    <n v="44730000"/>
    <n v="0"/>
    <n v="248012.72387096781"/>
    <n v="48278012.72387097"/>
    <n v="97423560"/>
    <n v="28285714.285714284"/>
    <n v="0"/>
    <n v="1050000"/>
    <n v="0"/>
    <n v="126759274.28571428"/>
    <n v="-8150582.7238709778"/>
    <n v="7243702.9904147489"/>
    <n v="7.4352682148083576E-2"/>
    <n v="-16444285.714285716"/>
    <n v="-0.58136363636363653"/>
    <m/>
  </r>
  <r>
    <x v="2"/>
    <x v="0"/>
    <x v="1"/>
    <x v="0"/>
    <x v="0"/>
    <x v="2"/>
    <x v="58"/>
    <x v="1"/>
    <x v="3"/>
    <x v="4"/>
    <n v="29"/>
    <n v="5875"/>
    <n v="51472000"/>
    <n v="5327708.5714285709"/>
    <n v="7217142.8571428573"/>
    <n v="0"/>
    <n v="0"/>
    <n v="0"/>
    <m/>
    <n v="12544851.428571429"/>
    <n v="942857.14285714284"/>
    <n v="6090000"/>
    <n v="0"/>
    <n v="245161.29032258061"/>
    <n v="7278018.4331797231"/>
    <n v="13382720"/>
    <n v="3685714.2857142854"/>
    <n v="0"/>
    <n v="150000"/>
    <n v="0"/>
    <n v="17218434.285714284"/>
    <n v="-2604435.5760368705"/>
    <n v="-350149.86175115255"/>
    <n v="-2.6164326964260819E-2"/>
    <n v="-2404285.7142857146"/>
    <n v="-0.65232558139534891"/>
    <m/>
  </r>
  <r>
    <x v="2"/>
    <x v="12"/>
    <x v="16"/>
    <x v="1"/>
    <x v="0"/>
    <x v="2"/>
    <x v="58"/>
    <x v="1"/>
    <x v="3"/>
    <x v="4"/>
    <n v="8"/>
    <n v="303"/>
    <n v="2904000"/>
    <n v="0"/>
    <n v="0"/>
    <n v="0"/>
    <n v="0"/>
    <n v="0"/>
    <m/>
    <n v="0"/>
    <n v="0"/>
    <n v="0"/>
    <n v="0"/>
    <n v="0"/>
    <n v="0"/>
    <n v="203280.00000000003"/>
    <n v="0"/>
    <n v="0"/>
    <n v="0"/>
    <n v="0"/>
    <n v="203280.00000000003"/>
    <n v="203280.00000000003"/>
    <n v="203280.00000000003"/>
    <n v="1"/>
    <n v="0"/>
    <n v="0"/>
    <m/>
  </r>
  <r>
    <x v="2"/>
    <x v="0"/>
    <x v="0"/>
    <x v="0"/>
    <x v="0"/>
    <x v="2"/>
    <x v="58"/>
    <x v="0"/>
    <x v="2"/>
    <x v="118"/>
    <n v="213"/>
    <n v="8689"/>
    <n v="76216000"/>
    <n v="6447212.1428571427"/>
    <n v="7991428.5714285718"/>
    <n v="0"/>
    <n v="0"/>
    <n v="0"/>
    <m/>
    <n v="14438640.714285715"/>
    <n v="550000"/>
    <n v="7455000"/>
    <n v="0"/>
    <n v="45764.252619047627"/>
    <n v="8050764.2526190476"/>
    <n v="17529680"/>
    <n v="4714285.7142857136"/>
    <n v="0"/>
    <n v="175000"/>
    <n v="0"/>
    <n v="22418965.714285713"/>
    <n v="-70439.252619050443"/>
    <n v="2495275.0330952378"/>
    <n v="0.14234572639633111"/>
    <n v="-2740714.2857142864"/>
    <n v="-0.58136363636363664"/>
    <m/>
  </r>
  <r>
    <x v="2"/>
    <x v="0"/>
    <x v="1"/>
    <x v="0"/>
    <x v="0"/>
    <x v="2"/>
    <x v="58"/>
    <x v="0"/>
    <x v="2"/>
    <x v="118"/>
    <n v="29"/>
    <n v="1201"/>
    <n v="10584000"/>
    <n v="887951.42857142852"/>
    <n v="1202857.142857143"/>
    <n v="0"/>
    <n v="0"/>
    <n v="0"/>
    <m/>
    <n v="2090808.5714285714"/>
    <n v="157142.85714285713"/>
    <n v="1015000"/>
    <n v="0"/>
    <n v="45238.095238095229"/>
    <n v="1217380.9523809522"/>
    <n v="2434320"/>
    <n v="614285.7142857142"/>
    <n v="0"/>
    <n v="25000"/>
    <n v="0"/>
    <n v="3073605.7142857141"/>
    <n v="-234583.80952380924"/>
    <n v="141130.47619047627"/>
    <n v="5.7975318031514456E-2"/>
    <n v="-400714.2857142858"/>
    <n v="-0.65232558139534902"/>
    <m/>
  </r>
  <r>
    <x v="2"/>
    <x v="12"/>
    <x v="16"/>
    <x v="1"/>
    <x v="0"/>
    <x v="2"/>
    <x v="58"/>
    <x v="0"/>
    <x v="2"/>
    <x v="118"/>
    <n v="5"/>
    <n v="58"/>
    <n v="579000"/>
    <n v="0"/>
    <n v="0"/>
    <n v="0"/>
    <n v="0"/>
    <n v="0"/>
    <m/>
    <n v="0"/>
    <n v="0"/>
    <n v="0"/>
    <n v="0"/>
    <n v="0"/>
    <n v="0"/>
    <n v="40530.000000000007"/>
    <n v="0"/>
    <n v="0"/>
    <n v="0"/>
    <n v="0"/>
    <n v="40530.000000000007"/>
    <n v="40530.000000000007"/>
    <n v="40530.000000000007"/>
    <n v="1"/>
    <n v="0"/>
    <n v="0"/>
    <m/>
  </r>
  <r>
    <x v="2"/>
    <x v="0"/>
    <x v="0"/>
    <x v="0"/>
    <x v="0"/>
    <x v="2"/>
    <x v="59"/>
    <x v="0"/>
    <x v="1"/>
    <x v="1"/>
    <n v="201"/>
    <n v="53186"/>
    <n v="466800000"/>
    <n v="48770650"/>
    <n v="56320000"/>
    <n v="0"/>
    <n v="0"/>
    <n v="0"/>
    <n v="0"/>
    <n v="105090650"/>
    <n v="3450000"/>
    <n v="49245000"/>
    <m/>
    <n v="320349.76833333337"/>
    <n v="53015349.768333331"/>
    <n v="121368000"/>
    <n v="31875000"/>
    <n v="0"/>
    <n v="825000"/>
    <n v="0"/>
    <n v="154068000"/>
    <n v="-4037999.7683333158"/>
    <n v="12507000.231666667"/>
    <n v="0.10305022931634918"/>
    <n v="-17370000"/>
    <n v="-0.54494117647058826"/>
    <m/>
  </r>
  <r>
    <x v="2"/>
    <x v="0"/>
    <x v="1"/>
    <x v="0"/>
    <x v="0"/>
    <x v="2"/>
    <x v="59"/>
    <x v="0"/>
    <x v="1"/>
    <x v="1"/>
    <n v="31"/>
    <n v="8276"/>
    <n v="72686000"/>
    <n v="7884560"/>
    <n v="9420000"/>
    <n v="0"/>
    <n v="0"/>
    <n v="0"/>
    <n v="0"/>
    <n v="17304560"/>
    <n v="900000"/>
    <n v="7595000"/>
    <m/>
    <n v="316666.66666666663"/>
    <n v="8811666.666666666"/>
    <n v="18898360"/>
    <n v="4800000"/>
    <n v="0"/>
    <n v="275000"/>
    <n v="0"/>
    <n v="23973360"/>
    <n v="-2142866.6666666642"/>
    <n v="377133.33333333337"/>
    <n v="1.9955876241818517E-2"/>
    <n v="-2795000"/>
    <n v="-0.58229166666666665"/>
    <m/>
  </r>
  <r>
    <x v="2"/>
    <x v="12"/>
    <x v="16"/>
    <x v="1"/>
    <x v="0"/>
    <x v="2"/>
    <x v="59"/>
    <x v="0"/>
    <x v="1"/>
    <x v="1"/>
    <n v="6"/>
    <n v="218"/>
    <n v="2139000"/>
    <n v="0"/>
    <n v="0"/>
    <n v="0"/>
    <n v="0"/>
    <n v="0"/>
    <n v="0"/>
    <n v="0"/>
    <n v="0"/>
    <n v="0"/>
    <n v="0"/>
    <n v="0"/>
    <n v="0"/>
    <n v="149730"/>
    <n v="0"/>
    <n v="0"/>
    <n v="0"/>
    <n v="0"/>
    <n v="149730"/>
    <n v="149730"/>
    <n v="149730"/>
    <n v="1"/>
    <n v="0"/>
    <n v="0"/>
    <m/>
  </r>
  <r>
    <x v="2"/>
    <x v="0"/>
    <x v="9"/>
    <x v="0"/>
    <x v="1"/>
    <x v="3"/>
    <x v="59"/>
    <x v="0"/>
    <x v="1"/>
    <x v="1"/>
    <n v="20"/>
    <n v="2751"/>
    <n v="25200000"/>
    <n v="2523800"/>
    <n v="3575000"/>
    <n v="0"/>
    <n v="0"/>
    <n v="0"/>
    <m/>
    <n v="6098800"/>
    <n v="300000"/>
    <n v="3535000"/>
    <n v="0"/>
    <n v="0"/>
    <n v="3835000"/>
    <n v="6552000"/>
    <n v="2660000"/>
    <n v="0"/>
    <n v="0"/>
    <n v="0"/>
    <n v="9212000"/>
    <n v="-721800"/>
    <n v="153200"/>
    <n v="2.3382173382173382E-2"/>
    <n v="-875000"/>
    <n v="-0.32894736842105265"/>
    <m/>
  </r>
  <r>
    <x v="2"/>
    <x v="0"/>
    <x v="10"/>
    <x v="0"/>
    <x v="1"/>
    <x v="4"/>
    <x v="59"/>
    <x v="0"/>
    <x v="1"/>
    <x v="1"/>
    <n v="11"/>
    <n v="1511"/>
    <n v="13644000"/>
    <n v="1117960"/>
    <n v="1725000"/>
    <n v="0"/>
    <n v="0"/>
    <m/>
    <m/>
    <n v="2842960"/>
    <n v="0"/>
    <n v="2030000"/>
    <n v="0"/>
    <n v="0"/>
    <n v="2030000"/>
    <n v="3547440"/>
    <n v="1725000"/>
    <n v="0"/>
    <n v="0"/>
    <n v="0"/>
    <n v="5272440"/>
    <n v="399480"/>
    <n v="704480"/>
    <n v="0.19858827774395058"/>
    <n v="-305000"/>
    <n v="-0.17681159420289855"/>
    <m/>
  </r>
  <r>
    <x v="2"/>
    <x v="0"/>
    <x v="21"/>
    <x v="0"/>
    <x v="1"/>
    <x v="3"/>
    <x v="59"/>
    <x v="0"/>
    <x v="1"/>
    <x v="1"/>
    <n v="9"/>
    <n v="1852"/>
    <n v="3259720"/>
    <n v="0"/>
    <n v="0"/>
    <n v="0"/>
    <n v="0"/>
    <n v="0"/>
    <n v="0"/>
    <n v="0"/>
    <n v="300000"/>
    <n v="0"/>
    <n v="0"/>
    <n v="0"/>
    <n v="300000"/>
    <n v="325972"/>
    <n v="0"/>
    <n v="0"/>
    <n v="0"/>
    <n v="0"/>
    <n v="325972"/>
    <n v="25972"/>
    <n v="25972"/>
    <n v="7.9675554955640368E-2"/>
    <n v="0"/>
    <n v="0"/>
    <m/>
  </r>
  <r>
    <x v="2"/>
    <x v="16"/>
    <x v="22"/>
    <x v="0"/>
    <x v="1"/>
    <x v="3"/>
    <x v="59"/>
    <x v="0"/>
    <x v="1"/>
    <x v="1"/>
    <n v="1"/>
    <n v="49"/>
    <n v="466000"/>
    <n v="0"/>
    <n v="0"/>
    <n v="0"/>
    <n v="0"/>
    <n v="0"/>
    <n v="0"/>
    <n v="0"/>
    <m/>
    <n v="0"/>
    <n v="0"/>
    <n v="0"/>
    <n v="0"/>
    <n v="46600"/>
    <n v="0"/>
    <n v="0"/>
    <n v="0"/>
    <n v="0"/>
    <n v="46600"/>
    <n v="46600"/>
    <n v="46600"/>
    <n v="1"/>
    <n v="0"/>
    <n v="0"/>
    <m/>
  </r>
  <r>
    <x v="2"/>
    <x v="0"/>
    <x v="9"/>
    <x v="0"/>
    <x v="1"/>
    <x v="3"/>
    <x v="60"/>
    <x v="0"/>
    <x v="0"/>
    <x v="0"/>
    <n v="18"/>
    <n v="2346"/>
    <n v="21520000"/>
    <n v="1907340"/>
    <n v="2925000"/>
    <n v="0"/>
    <n v="0"/>
    <n v="0"/>
    <n v="0"/>
    <n v="4832340"/>
    <n v="350000"/>
    <n v="2975000"/>
    <n v="0"/>
    <n v="0"/>
    <n v="3325000"/>
    <n v="5595200"/>
    <n v="2350000"/>
    <n v="0"/>
    <n v="0"/>
    <n v="0"/>
    <n v="7945200"/>
    <n v="-212140"/>
    <n v="412860"/>
    <n v="7.3788247068916207E-2"/>
    <n v="-625000"/>
    <n v="-0.26595744680851063"/>
    <m/>
  </r>
  <r>
    <x v="2"/>
    <x v="0"/>
    <x v="10"/>
    <x v="0"/>
    <x v="1"/>
    <x v="4"/>
    <x v="60"/>
    <x v="0"/>
    <x v="0"/>
    <x v="0"/>
    <n v="12"/>
    <n v="1759"/>
    <n v="15924000"/>
    <n v="1290720"/>
    <n v="2075000"/>
    <n v="0"/>
    <n v="0"/>
    <n v="0"/>
    <n v="0"/>
    <n v="3365720"/>
    <n v="0"/>
    <n v="2135000"/>
    <n v="0"/>
    <n v="0"/>
    <n v="2135000"/>
    <n v="4140240"/>
    <n v="1605000"/>
    <n v="0"/>
    <n v="0"/>
    <n v="0"/>
    <n v="5745240"/>
    <n v="244520"/>
    <n v="774520"/>
    <n v="0.18707128089192898"/>
    <n v="-530000"/>
    <n v="-0.33021806853582553"/>
    <m/>
  </r>
  <r>
    <x v="2"/>
    <x v="0"/>
    <x v="21"/>
    <x v="0"/>
    <x v="1"/>
    <x v="3"/>
    <x v="60"/>
    <x v="0"/>
    <x v="0"/>
    <x v="0"/>
    <n v="9"/>
    <n v="1469"/>
    <n v="2650700"/>
    <n v="0"/>
    <n v="0"/>
    <n v="0"/>
    <n v="0"/>
    <n v="0"/>
    <n v="0"/>
    <n v="0"/>
    <n v="350000"/>
    <n v="0"/>
    <n v="0"/>
    <n v="0"/>
    <n v="350000"/>
    <n v="185549.00000000003"/>
    <n v="0"/>
    <n v="0"/>
    <n v="0"/>
    <n v="0"/>
    <n v="185549.00000000003"/>
    <n v="-164450.99999999997"/>
    <n v="-164450.99999999997"/>
    <n v="-0.88629418644131708"/>
    <n v="0"/>
    <n v="0"/>
    <m/>
  </r>
  <r>
    <x v="2"/>
    <x v="16"/>
    <x v="22"/>
    <x v="0"/>
    <x v="1"/>
    <x v="3"/>
    <x v="60"/>
    <x v="0"/>
    <x v="0"/>
    <x v="0"/>
    <n v="1"/>
    <n v="17"/>
    <n v="161000"/>
    <n v="0"/>
    <n v="0"/>
    <n v="0"/>
    <n v="0"/>
    <n v="0"/>
    <n v="0"/>
    <n v="0"/>
    <n v="0"/>
    <n v="0"/>
    <n v="0"/>
    <n v="0"/>
    <n v="0"/>
    <n v="16100"/>
    <n v="0"/>
    <n v="0"/>
    <n v="0"/>
    <n v="0"/>
    <n v="16100"/>
    <n v="16100"/>
    <n v="16100"/>
    <n v="1"/>
    <n v="0"/>
    <n v="0"/>
    <m/>
  </r>
  <r>
    <x v="2"/>
    <x v="0"/>
    <x v="0"/>
    <x v="0"/>
    <x v="0"/>
    <x v="2"/>
    <x v="60"/>
    <x v="0"/>
    <x v="0"/>
    <x v="0"/>
    <n v="197"/>
    <n v="53593"/>
    <n v="471142000"/>
    <n v="49625410"/>
    <n v="47295000"/>
    <n v="0"/>
    <n v="0"/>
    <n v="0"/>
    <n v="0"/>
    <n v="96920410"/>
    <n v="3150000"/>
    <n v="48265000"/>
    <n v="0"/>
    <n v="320349.76833333337"/>
    <n v="51735349.768333331"/>
    <n v="122496920"/>
    <n v="31725000"/>
    <n v="0"/>
    <n v="725000"/>
    <n v="0"/>
    <n v="154946920"/>
    <n v="6291160.2316666842"/>
    <n v="22106160.231666666"/>
    <n v="0.18046298822588083"/>
    <n v="-16540000"/>
    <n v="-0.52135539795114261"/>
    <m/>
  </r>
  <r>
    <x v="2"/>
    <x v="0"/>
    <x v="1"/>
    <x v="0"/>
    <x v="0"/>
    <x v="2"/>
    <x v="60"/>
    <x v="0"/>
    <x v="0"/>
    <x v="0"/>
    <n v="29"/>
    <n v="7616"/>
    <n v="67116000"/>
    <n v="7013970"/>
    <n v="7145000"/>
    <n v="0"/>
    <n v="0"/>
    <n v="0"/>
    <n v="0"/>
    <n v="14158970"/>
    <n v="900000"/>
    <n v="7105000"/>
    <n v="0"/>
    <n v="316666.66666666663"/>
    <n v="8321666.666666667"/>
    <n v="17450160"/>
    <n v="4550000"/>
    <n v="0"/>
    <n v="225000"/>
    <n v="0"/>
    <n v="22225160"/>
    <n v="-255476.66666666791"/>
    <n v="2074523.3333333335"/>
    <n v="0.1188827686011666"/>
    <n v="-2555000"/>
    <n v="-0.56153846153846154"/>
    <m/>
  </r>
  <r>
    <x v="2"/>
    <x v="12"/>
    <x v="16"/>
    <x v="1"/>
    <x v="0"/>
    <x v="2"/>
    <x v="60"/>
    <x v="0"/>
    <x v="0"/>
    <x v="0"/>
    <n v="6"/>
    <n v="309"/>
    <n v="2991000"/>
    <n v="0"/>
    <n v="0"/>
    <n v="0"/>
    <n v="0"/>
    <n v="0"/>
    <n v="0"/>
    <n v="0"/>
    <n v="0"/>
    <n v="0"/>
    <n v="0"/>
    <n v="0"/>
    <n v="0"/>
    <n v="209370.00000000003"/>
    <n v="0"/>
    <n v="0"/>
    <n v="0"/>
    <n v="0"/>
    <n v="209370.00000000003"/>
    <n v="209370.00000000003"/>
    <n v="209370.00000000003"/>
    <n v="1"/>
    <n v="0"/>
    <n v="0"/>
    <m/>
  </r>
  <r>
    <x v="2"/>
    <x v="0"/>
    <x v="9"/>
    <x v="0"/>
    <x v="1"/>
    <x v="3"/>
    <x v="61"/>
    <x v="0"/>
    <x v="4"/>
    <x v="42"/>
    <n v="19"/>
    <n v="1617"/>
    <n v="15004000"/>
    <n v="1111400"/>
    <n v="2925000"/>
    <n v="0"/>
    <n v="0"/>
    <n v="0"/>
    <n v="0"/>
    <n v="4036400"/>
    <n v="350000"/>
    <n v="2905000"/>
    <n v="0"/>
    <n v="0"/>
    <n v="3255000"/>
    <n v="3901040"/>
    <n v="2115000"/>
    <n v="0"/>
    <n v="0"/>
    <n v="0"/>
    <n v="6016040"/>
    <n v="-1275360"/>
    <n v="-485360"/>
    <n v="-0.12441810389024466"/>
    <n v="-790000"/>
    <n v="-0.37352245862884159"/>
    <m/>
  </r>
  <r>
    <x v="2"/>
    <x v="0"/>
    <x v="10"/>
    <x v="0"/>
    <x v="1"/>
    <x v="4"/>
    <x v="61"/>
    <x v="0"/>
    <x v="4"/>
    <x v="42"/>
    <n v="11"/>
    <n v="898"/>
    <n v="8102000"/>
    <n v="484240"/>
    <n v="1275000"/>
    <n v="0"/>
    <n v="0"/>
    <n v="0"/>
    <n v="0"/>
    <n v="1759240"/>
    <n v="0"/>
    <n v="1400000"/>
    <n v="0"/>
    <n v="0"/>
    <n v="1400000"/>
    <n v="2106520"/>
    <n v="1140000"/>
    <n v="0"/>
    <n v="0"/>
    <n v="0"/>
    <n v="3246520"/>
    <n v="87280"/>
    <n v="347280"/>
    <n v="0.16485957883143762"/>
    <n v="-260000"/>
    <n v="-0.22807017543859648"/>
    <m/>
  </r>
  <r>
    <x v="2"/>
    <x v="0"/>
    <x v="21"/>
    <x v="0"/>
    <x v="1"/>
    <x v="3"/>
    <x v="61"/>
    <x v="0"/>
    <x v="4"/>
    <x v="42"/>
    <n v="9"/>
    <n v="1195"/>
    <n v="2492400"/>
    <n v="0"/>
    <n v="0"/>
    <n v="0"/>
    <n v="0"/>
    <n v="0"/>
    <n v="0"/>
    <n v="0"/>
    <n v="350000"/>
    <n v="0"/>
    <n v="0"/>
    <n v="0"/>
    <n v="350000"/>
    <n v="174468.00000000003"/>
    <n v="0"/>
    <n v="0"/>
    <n v="0"/>
    <n v="0"/>
    <n v="174468.00000000003"/>
    <n v="-175531.99999999997"/>
    <n v="-175531.99999999997"/>
    <n v="-1.0060985395602629"/>
    <n v="0"/>
    <n v="0"/>
    <m/>
  </r>
  <r>
    <x v="2"/>
    <x v="0"/>
    <x v="0"/>
    <x v="0"/>
    <x v="0"/>
    <x v="2"/>
    <x v="61"/>
    <x v="0"/>
    <x v="4"/>
    <x v="42"/>
    <n v="193"/>
    <n v="34756"/>
    <n v="305800000"/>
    <n v="23669400"/>
    <n v="35935000"/>
    <n v="0"/>
    <n v="0"/>
    <n v="0"/>
    <n v="0"/>
    <n v="59604400"/>
    <n v="3450000"/>
    <n v="47285000"/>
    <n v="0"/>
    <n v="320349.76833333337"/>
    <n v="51055349.768333331"/>
    <n v="79508000"/>
    <n v="32000000"/>
    <n v="0"/>
    <n v="775000"/>
    <n v="0"/>
    <n v="112283000"/>
    <n v="1623250.2316666692"/>
    <n v="16133250.231666667"/>
    <n v="0.20291354620499405"/>
    <n v="-15285000"/>
    <n v="-0.47765625"/>
    <m/>
  </r>
  <r>
    <x v="2"/>
    <x v="0"/>
    <x v="1"/>
    <x v="0"/>
    <x v="0"/>
    <x v="2"/>
    <x v="61"/>
    <x v="0"/>
    <x v="4"/>
    <x v="42"/>
    <n v="30"/>
    <n v="5682"/>
    <n v="50198000"/>
    <n v="4199900"/>
    <n v="6585000"/>
    <n v="0"/>
    <n v="0"/>
    <n v="0"/>
    <n v="0"/>
    <n v="10784900"/>
    <n v="900000"/>
    <n v="7350000"/>
    <n v="0"/>
    <n v="316666.66666666663"/>
    <n v="8566666.666666666"/>
    <n v="13051480"/>
    <n v="4150000"/>
    <n v="0"/>
    <n v="250000"/>
    <n v="0"/>
    <n v="17451480"/>
    <n v="-1900086.6666666642"/>
    <n v="1049913.3333333335"/>
    <n v="8.0444005839439933E-2"/>
    <n v="-3200000"/>
    <n v="-0.77108433734939763"/>
    <m/>
  </r>
  <r>
    <x v="2"/>
    <x v="12"/>
    <x v="16"/>
    <x v="1"/>
    <x v="0"/>
    <x v="2"/>
    <x v="61"/>
    <x v="0"/>
    <x v="4"/>
    <x v="42"/>
    <n v="4"/>
    <n v="73"/>
    <n v="941000"/>
    <n v="0"/>
    <n v="0"/>
    <n v="0"/>
    <n v="0"/>
    <n v="0"/>
    <n v="0"/>
    <n v="0"/>
    <n v="0"/>
    <n v="0"/>
    <n v="0"/>
    <n v="0"/>
    <n v="0"/>
    <n v="65870"/>
    <n v="0"/>
    <n v="0"/>
    <n v="0"/>
    <n v="0"/>
    <n v="65870"/>
    <n v="65870"/>
    <n v="65870"/>
    <n v="1"/>
    <n v="0"/>
    <n v="0"/>
    <m/>
  </r>
  <r>
    <x v="2"/>
    <x v="0"/>
    <x v="9"/>
    <x v="0"/>
    <x v="1"/>
    <x v="3"/>
    <x v="62"/>
    <x v="0"/>
    <x v="3"/>
    <x v="44"/>
    <n v="13"/>
    <n v="826"/>
    <n v="7628000"/>
    <n v="552100"/>
    <n v="1550000"/>
    <n v="0"/>
    <n v="0"/>
    <n v="0"/>
    <n v="0"/>
    <n v="2102100"/>
    <n v="300000"/>
    <n v="1645000"/>
    <n v="0"/>
    <n v="0"/>
    <n v="1945000"/>
    <n v="1983280"/>
    <n v="1075000"/>
    <n v="0"/>
    <n v="0"/>
    <n v="0"/>
    <n v="3058280"/>
    <n v="-988820"/>
    <n v="-418820"/>
    <n v="-0.21117542656609253"/>
    <n v="-570000"/>
    <n v="-0.53023255813953485"/>
    <m/>
  </r>
  <r>
    <x v="2"/>
    <x v="0"/>
    <x v="10"/>
    <x v="0"/>
    <x v="1"/>
    <x v="4"/>
    <x v="62"/>
    <x v="0"/>
    <x v="3"/>
    <x v="44"/>
    <n v="8"/>
    <n v="541"/>
    <n v="4928000"/>
    <n v="310800"/>
    <n v="975000"/>
    <n v="0"/>
    <n v="0"/>
    <n v="0"/>
    <n v="0"/>
    <n v="1285800"/>
    <n v="0"/>
    <n v="1190000"/>
    <n v="0"/>
    <n v="0"/>
    <n v="1190000"/>
    <n v="1281280"/>
    <n v="820000"/>
    <n v="0"/>
    <n v="0"/>
    <n v="0"/>
    <n v="2101280"/>
    <n v="-374520"/>
    <n v="-4520"/>
    <n v="-3.5277222777222775E-3"/>
    <n v="-370000"/>
    <n v="-0.45121951219512196"/>
    <m/>
  </r>
  <r>
    <x v="2"/>
    <x v="0"/>
    <x v="21"/>
    <x v="0"/>
    <x v="1"/>
    <x v="3"/>
    <x v="62"/>
    <x v="0"/>
    <x v="3"/>
    <x v="44"/>
    <n v="8"/>
    <n v="441"/>
    <n v="1450000"/>
    <n v="0"/>
    <n v="0"/>
    <n v="0"/>
    <n v="0"/>
    <n v="0"/>
    <n v="0"/>
    <n v="0"/>
    <n v="300000"/>
    <n v="0"/>
    <n v="0"/>
    <n v="0"/>
    <n v="300000"/>
    <n v="101500.00000000001"/>
    <n v="0"/>
    <n v="0"/>
    <n v="0"/>
    <n v="0"/>
    <n v="101500.00000000001"/>
    <n v="-198500"/>
    <n v="-198500"/>
    <n v="-1.9556650246305416"/>
    <n v="0"/>
    <n v="0"/>
    <m/>
  </r>
  <r>
    <x v="2"/>
    <x v="0"/>
    <x v="9"/>
    <x v="0"/>
    <x v="1"/>
    <x v="3"/>
    <x v="62"/>
    <x v="7"/>
    <x v="2"/>
    <x v="119"/>
    <n v="9"/>
    <n v="216"/>
    <n v="1994000"/>
    <n v="148160"/>
    <n v="375000"/>
    <n v="0"/>
    <n v="0"/>
    <n v="0"/>
    <n v="0"/>
    <n v="523160"/>
    <n v="50000"/>
    <n v="315000"/>
    <n v="0"/>
    <n v="0"/>
    <n v="365000"/>
    <n v="518440"/>
    <n v="320000"/>
    <n v="0"/>
    <n v="0"/>
    <n v="0"/>
    <n v="838440"/>
    <n v="-49720"/>
    <n v="-54720"/>
    <n v="-0.10554741146516472"/>
    <n v="5000"/>
    <n v="1.5625E-2"/>
    <m/>
  </r>
  <r>
    <x v="2"/>
    <x v="0"/>
    <x v="10"/>
    <x v="0"/>
    <x v="1"/>
    <x v="4"/>
    <x v="62"/>
    <x v="7"/>
    <x v="2"/>
    <x v="119"/>
    <n v="6"/>
    <n v="123"/>
    <n v="1122000"/>
    <n v="72340"/>
    <n v="175000"/>
    <n v="0"/>
    <n v="0"/>
    <n v="0"/>
    <n v="0"/>
    <n v="247340"/>
    <n v="0"/>
    <n v="210000"/>
    <n v="0"/>
    <n v="0"/>
    <n v="210000"/>
    <n v="291720"/>
    <n v="275000"/>
    <n v="0"/>
    <n v="0"/>
    <n v="0"/>
    <n v="566720"/>
    <n v="109380"/>
    <n v="44380"/>
    <n v="0.15213218154394625"/>
    <n v="65000"/>
    <n v="0.23636363636363636"/>
    <m/>
  </r>
  <r>
    <x v="2"/>
    <x v="0"/>
    <x v="21"/>
    <x v="0"/>
    <x v="1"/>
    <x v="3"/>
    <x v="62"/>
    <x v="7"/>
    <x v="2"/>
    <x v="119"/>
    <n v="7"/>
    <n v="123"/>
    <n v="350000"/>
    <n v="0"/>
    <n v="0"/>
    <n v="0"/>
    <n v="0"/>
    <n v="0"/>
    <n v="0"/>
    <n v="0"/>
    <n v="50000"/>
    <n v="0"/>
    <n v="0"/>
    <n v="0"/>
    <n v="50000"/>
    <n v="24500.000000000004"/>
    <n v="0"/>
    <n v="0"/>
    <n v="0"/>
    <n v="0"/>
    <n v="24500.000000000004"/>
    <n v="-25499.999999999996"/>
    <n v="-25499.999999999996"/>
    <n v="-1.0408163265306118"/>
    <n v="0"/>
    <n v="0"/>
    <m/>
  </r>
  <r>
    <x v="2"/>
    <x v="0"/>
    <x v="0"/>
    <x v="0"/>
    <x v="0"/>
    <x v="2"/>
    <x v="62"/>
    <x v="0"/>
    <x v="3"/>
    <x v="44"/>
    <n v="186"/>
    <n v="22084"/>
    <n v="194986000"/>
    <n v="13211100"/>
    <n v="25585714.285714284"/>
    <n v="0"/>
    <n v="685714.28571428568"/>
    <n v="514285.71428571426"/>
    <n v="0"/>
    <n v="39996814.285714284"/>
    <n v="3214285.7142857141"/>
    <n v="39060000"/>
    <n v="0"/>
    <n v="274585.51571428572"/>
    <n v="42548871.230000004"/>
    <n v="50696360"/>
    <n v="23164285.714285713"/>
    <n v="0"/>
    <n v="300000"/>
    <m/>
    <n v="74160645.714285716"/>
    <n v="-8385039.8014285713"/>
    <n v="7210674.484285716"/>
    <n v="0.14223258798631136"/>
    <n v="-15895714.285714287"/>
    <n v="-0.68621646623496779"/>
    <m/>
  </r>
  <r>
    <x v="2"/>
    <x v="0"/>
    <x v="1"/>
    <x v="0"/>
    <x v="0"/>
    <x v="2"/>
    <x v="62"/>
    <x v="0"/>
    <x v="3"/>
    <x v="44"/>
    <n v="27"/>
    <n v="3682"/>
    <n v="32680000"/>
    <n v="1885088.5714285714"/>
    <n v="3951428.5714285714"/>
    <n v="0"/>
    <n v="428571.42857142852"/>
    <m/>
    <n v="0"/>
    <n v="6265088.5714285709"/>
    <n v="771428.57142857136"/>
    <n v="5670000"/>
    <n v="0"/>
    <n v="271428.57142857136"/>
    <n v="6712857.1428571418"/>
    <n v="8496800"/>
    <n v="3385714.2857142854"/>
    <n v="0"/>
    <n v="150000"/>
    <m/>
    <n v="12032514.285714285"/>
    <n v="-945431.42857142724"/>
    <n v="1188854.2857142864"/>
    <n v="0.13991788505252406"/>
    <n v="-2284285.7142857146"/>
    <n v="-0.67468354430379762"/>
    <m/>
  </r>
  <r>
    <x v="2"/>
    <x v="12"/>
    <x v="16"/>
    <x v="1"/>
    <x v="0"/>
    <x v="2"/>
    <x v="62"/>
    <x v="0"/>
    <x v="3"/>
    <x v="44"/>
    <n v="4"/>
    <n v="43"/>
    <n v="409000"/>
    <n v="0"/>
    <n v="0"/>
    <n v="0"/>
    <n v="0"/>
    <n v="0"/>
    <n v="0"/>
    <n v="0"/>
    <n v="0"/>
    <n v="0"/>
    <n v="0"/>
    <n v="0"/>
    <n v="0"/>
    <n v="28630.000000000004"/>
    <n v="0"/>
    <n v="0"/>
    <n v="0"/>
    <n v="0"/>
    <n v="28630.000000000004"/>
    <n v="28630.000000000004"/>
    <n v="28630.000000000004"/>
    <n v="1"/>
    <n v="0"/>
    <n v="0"/>
    <m/>
  </r>
  <r>
    <x v="2"/>
    <x v="0"/>
    <x v="0"/>
    <x v="0"/>
    <x v="0"/>
    <x v="2"/>
    <x v="62"/>
    <x v="7"/>
    <x v="2"/>
    <x v="119"/>
    <n v="113"/>
    <n v="4125"/>
    <n v="36494000"/>
    <n v="2201850"/>
    <n v="4264285.7142857136"/>
    <n v="0"/>
    <n v="71428.57142857142"/>
    <n v="85714.28571428571"/>
    <n v="0"/>
    <n v="6623278.5714285709"/>
    <n v="535714.28571428568"/>
    <n v="6510000"/>
    <n v="0"/>
    <n v="41335.453978494632"/>
    <n v="7087049.7396927802"/>
    <n v="9488440"/>
    <n v="3860714.2857142859"/>
    <n v="0"/>
    <n v="50000"/>
    <m/>
    <n v="13399154.285714285"/>
    <n v="-311174.02540706657"/>
    <n v="2288111.6888786489"/>
    <n v="0.24114730017565048"/>
    <n v="-2649285.7142857141"/>
    <n v="-0.68621646623496757"/>
    <m/>
  </r>
  <r>
    <x v="2"/>
    <x v="0"/>
    <x v="1"/>
    <x v="0"/>
    <x v="0"/>
    <x v="2"/>
    <x v="62"/>
    <x v="7"/>
    <x v="2"/>
    <x v="119"/>
    <n v="22"/>
    <n v="653"/>
    <n v="5794000"/>
    <n v="314181.42857142858"/>
    <n v="658571.42857142852"/>
    <n v="0"/>
    <n v="114285.71428571428"/>
    <n v="0"/>
    <n v="0"/>
    <n v="1087038.5714285714"/>
    <n v="128571.42857142857"/>
    <n v="945000"/>
    <n v="0"/>
    <n v="40860.215053763437"/>
    <n v="1114431.6436251921"/>
    <n v="1506440"/>
    <n v="564285.7142857142"/>
    <n v="0"/>
    <n v="25000"/>
    <m/>
    <n v="2095725.7142857141"/>
    <n v="-105744.50076804915"/>
    <n v="249969.78494623661"/>
    <n v="0.1659341128396993"/>
    <n v="-380714.2857142858"/>
    <n v="-0.67468354430379773"/>
    <m/>
  </r>
  <r>
    <x v="2"/>
    <x v="0"/>
    <x v="9"/>
    <x v="0"/>
    <x v="1"/>
    <x v="3"/>
    <x v="63"/>
    <x v="7"/>
    <x v="1"/>
    <x v="47"/>
    <n v="14"/>
    <n v="1061"/>
    <n v="9836000"/>
    <n v="704080"/>
    <n v="2250000"/>
    <n v="0"/>
    <n v="0"/>
    <n v="0"/>
    <n v="0"/>
    <n v="2954080"/>
    <n v="350000"/>
    <n v="2310000"/>
    <n v="0"/>
    <n v="0"/>
    <n v="2660000"/>
    <n v="2557360"/>
    <n v="1605000"/>
    <n v="0"/>
    <n v="0"/>
    <n v="0"/>
    <n v="4162360"/>
    <n v="-1451720"/>
    <n v="-746720"/>
    <n v="-0.2919886132574217"/>
    <n v="-705000"/>
    <n v="-0.43925233644859812"/>
    <m/>
  </r>
  <r>
    <x v="2"/>
    <x v="0"/>
    <x v="10"/>
    <x v="0"/>
    <x v="1"/>
    <x v="4"/>
    <x v="63"/>
    <x v="7"/>
    <x v="1"/>
    <x v="47"/>
    <n v="7"/>
    <n v="775"/>
    <n v="7110000"/>
    <n v="574660"/>
    <n v="1150000"/>
    <n v="0"/>
    <n v="0"/>
    <n v="0"/>
    <n v="0"/>
    <n v="1724660"/>
    <n v="0"/>
    <n v="1365000"/>
    <n v="0"/>
    <n v="0"/>
    <n v="1365000"/>
    <n v="1848600"/>
    <n v="1150000"/>
    <n v="0"/>
    <n v="0"/>
    <n v="0"/>
    <n v="2998600"/>
    <n v="-91060"/>
    <n v="123940"/>
    <n v="6.7045331602293631E-2"/>
    <n v="-215000"/>
    <n v="-0.18695652173913044"/>
    <m/>
  </r>
  <r>
    <x v="2"/>
    <x v="0"/>
    <x v="21"/>
    <x v="0"/>
    <x v="1"/>
    <x v="3"/>
    <x v="63"/>
    <x v="7"/>
    <x v="1"/>
    <x v="47"/>
    <n v="9"/>
    <n v="880"/>
    <n v="2580880"/>
    <n v="0"/>
    <n v="0"/>
    <n v="0"/>
    <n v="0"/>
    <n v="0"/>
    <n v="0"/>
    <n v="0"/>
    <n v="350000"/>
    <n v="0"/>
    <n v="0"/>
    <n v="0"/>
    <n v="350000"/>
    <n v="180661.6"/>
    <n v="0"/>
    <n v="0"/>
    <n v="0"/>
    <n v="0"/>
    <n v="180661.6"/>
    <n v="-169338.4"/>
    <n v="-169338.4"/>
    <n v="-0.93732370354297756"/>
    <n v="0"/>
    <n v="0"/>
    <m/>
  </r>
  <r>
    <x v="2"/>
    <x v="0"/>
    <x v="0"/>
    <x v="0"/>
    <x v="0"/>
    <x v="2"/>
    <x v="63"/>
    <x v="7"/>
    <x v="1"/>
    <x v="47"/>
    <n v="188"/>
    <n v="26578"/>
    <n v="234908000"/>
    <n v="15851230"/>
    <n v="31050000"/>
    <n v="0"/>
    <n v="0"/>
    <n v="0"/>
    <n v="0"/>
    <n v="46901230"/>
    <n v="3450000"/>
    <n v="46060000"/>
    <n v="0"/>
    <n v="289348.17784946243"/>
    <n v="49799348.177849464"/>
    <n v="61076080"/>
    <n v="26950000"/>
    <n v="0"/>
    <n v="900000"/>
    <n v="0"/>
    <n v="88926080"/>
    <n v="-7774498.1778494716"/>
    <n v="10435501.822150538"/>
    <n v="0.17086070065646874"/>
    <n v="-19110000"/>
    <n v="-0.70909090909090911"/>
    <m/>
  </r>
  <r>
    <x v="2"/>
    <x v="0"/>
    <x v="1"/>
    <x v="0"/>
    <x v="0"/>
    <x v="2"/>
    <x v="63"/>
    <x v="7"/>
    <x v="1"/>
    <x v="47"/>
    <n v="30"/>
    <n v="4403"/>
    <n v="38970000"/>
    <n v="2841145"/>
    <n v="4685000"/>
    <n v="0"/>
    <n v="0"/>
    <n v="0"/>
    <n v="0"/>
    <n v="7526145"/>
    <n v="900000"/>
    <n v="7350000"/>
    <n v="0"/>
    <n v="286021.50537634408"/>
    <n v="8536021.5053763445"/>
    <n v="10132200"/>
    <n v="4275000"/>
    <n v="0"/>
    <n v="325000"/>
    <n v="0"/>
    <n v="14732200"/>
    <n v="-1329966.5053763445"/>
    <n v="1420033.4946236559"/>
    <n v="0.14015055907144114"/>
    <n v="-3075000"/>
    <n v="-0.7192982456140351"/>
    <m/>
  </r>
  <r>
    <x v="2"/>
    <x v="0"/>
    <x v="9"/>
    <x v="0"/>
    <x v="1"/>
    <x v="3"/>
    <x v="64"/>
    <x v="7"/>
    <x v="0"/>
    <x v="48"/>
    <n v="13"/>
    <n v="1234"/>
    <n v="11594000"/>
    <n v="811860"/>
    <n v="2050000"/>
    <n v="0"/>
    <n v="0"/>
    <n v="0"/>
    <n v="0"/>
    <n v="2861860"/>
    <n v="350000"/>
    <n v="2205000"/>
    <n v="0"/>
    <n v="0"/>
    <n v="2555000"/>
    <n v="3014440"/>
    <n v="1580000"/>
    <n v="0"/>
    <n v="0"/>
    <n v="0"/>
    <n v="4594440"/>
    <n v="-822420"/>
    <n v="-197420"/>
    <n v="-6.5491434561643289E-2"/>
    <n v="-625000"/>
    <n v="-0.39556962025316456"/>
    <m/>
  </r>
  <r>
    <x v="2"/>
    <x v="0"/>
    <x v="10"/>
    <x v="0"/>
    <x v="1"/>
    <x v="4"/>
    <x v="64"/>
    <x v="7"/>
    <x v="0"/>
    <x v="48"/>
    <n v="6"/>
    <n v="434"/>
    <n v="3952000"/>
    <n v="247440"/>
    <n v="675000"/>
    <n v="0"/>
    <n v="0"/>
    <n v="0"/>
    <n v="0"/>
    <n v="922440"/>
    <n v="0"/>
    <n v="910000"/>
    <n v="0"/>
    <n v="0"/>
    <n v="910000"/>
    <n v="1027520"/>
    <n v="850000"/>
    <n v="0"/>
    <n v="0"/>
    <n v="0"/>
    <n v="1877520"/>
    <n v="45080"/>
    <n v="105080"/>
    <n v="0.10226564933042666"/>
    <n v="-60000"/>
    <n v="-7.0588235294117646E-2"/>
    <m/>
  </r>
  <r>
    <x v="2"/>
    <x v="0"/>
    <x v="21"/>
    <x v="0"/>
    <x v="1"/>
    <x v="3"/>
    <x v="64"/>
    <x v="7"/>
    <x v="0"/>
    <x v="48"/>
    <n v="8"/>
    <n v="953"/>
    <n v="2599200"/>
    <n v="0"/>
    <n v="0"/>
    <n v="0"/>
    <n v="0"/>
    <n v="0"/>
    <n v="0"/>
    <n v="0"/>
    <n v="350000"/>
    <n v="0"/>
    <n v="0"/>
    <n v="0"/>
    <n v="350000"/>
    <n v="181944.00000000003"/>
    <n v="0"/>
    <n v="0"/>
    <n v="0"/>
    <n v="0"/>
    <n v="181944.00000000003"/>
    <n v="-168055.99999999997"/>
    <n v="-168055.99999999997"/>
    <n v="-0.92366882117574611"/>
    <n v="0"/>
    <n v="0"/>
    <m/>
  </r>
  <r>
    <x v="2"/>
    <x v="0"/>
    <x v="0"/>
    <x v="0"/>
    <x v="0"/>
    <x v="2"/>
    <x v="64"/>
    <x v="7"/>
    <x v="0"/>
    <x v="48"/>
    <n v="189"/>
    <n v="37478"/>
    <n v="332090000"/>
    <n v="30047945"/>
    <n v="38080000"/>
    <n v="0"/>
    <n v="0"/>
    <n v="0"/>
    <n v="0"/>
    <n v="68127945"/>
    <n v="4350000"/>
    <n v="46305000"/>
    <n v="0"/>
    <n v="289348.17784946243"/>
    <n v="50944348.177849464"/>
    <n v="86343400"/>
    <n v="27925000"/>
    <n v="0"/>
    <n v="1075000"/>
    <n v="0"/>
    <n v="115343400"/>
    <n v="-3728893.1778494716"/>
    <n v="13576106.822150538"/>
    <n v="0.15723386873982884"/>
    <n v="-18380000"/>
    <n v="-0.65819158460161142"/>
    <m/>
  </r>
  <r>
    <x v="2"/>
    <x v="0"/>
    <x v="1"/>
    <x v="0"/>
    <x v="0"/>
    <x v="2"/>
    <x v="64"/>
    <x v="7"/>
    <x v="0"/>
    <x v="48"/>
    <n v="30"/>
    <n v="5314"/>
    <n v="47190000"/>
    <n v="3843360"/>
    <n v="5995000"/>
    <n v="0"/>
    <n v="0"/>
    <n v="0"/>
    <n v="0"/>
    <n v="9838360"/>
    <n v="900000"/>
    <n v="7350000"/>
    <n v="0"/>
    <n v="286021.50537634408"/>
    <n v="8536021.5053763445"/>
    <n v="12269400"/>
    <n v="4400000"/>
    <n v="0"/>
    <n v="350000"/>
    <n v="0"/>
    <n v="17019400"/>
    <n v="-1354981.5053763464"/>
    <n v="1245018.4946236559"/>
    <n v="0.10147346199680962"/>
    <n v="-2950000"/>
    <n v="-0.67045454545454541"/>
    <m/>
  </r>
  <r>
    <x v="2"/>
    <x v="0"/>
    <x v="0"/>
    <x v="0"/>
    <x v="0"/>
    <x v="2"/>
    <x v="65"/>
    <x v="7"/>
    <x v="4"/>
    <x v="120"/>
    <n v="174"/>
    <n v="47318"/>
    <n v="420036000"/>
    <n v="46087135"/>
    <n v="38520000"/>
    <n v="0"/>
    <n v="0"/>
    <n v="0"/>
    <n v="0"/>
    <n v="84607135"/>
    <n v="2875000"/>
    <n v="42630000"/>
    <n v="0"/>
    <n v="289348.17784946243"/>
    <n v="45794348.177849464"/>
    <n v="109209360"/>
    <n v="25575000"/>
    <n v="0"/>
    <n v="850000"/>
    <n v="0"/>
    <n v="135634360"/>
    <n v="5232876.8221505284"/>
    <n v="21437876.822150536"/>
    <n v="0.19630072753975059"/>
    <n v="-17055000"/>
    <n v="-0.66686217008797655"/>
    <m/>
  </r>
  <r>
    <x v="2"/>
    <x v="0"/>
    <x v="1"/>
    <x v="0"/>
    <x v="0"/>
    <x v="2"/>
    <x v="65"/>
    <x v="7"/>
    <x v="4"/>
    <x v="120"/>
    <n v="30"/>
    <n v="6992"/>
    <n v="62418000"/>
    <n v="6263575"/>
    <n v="6420000"/>
    <n v="0"/>
    <n v="0"/>
    <n v="0"/>
    <n v="0"/>
    <n v="12683575"/>
    <n v="750000"/>
    <n v="7350000"/>
    <n v="0"/>
    <n v="286021.50537634408"/>
    <n v="8386021.5053763445"/>
    <n v="16228680"/>
    <n v="4450000"/>
    <n v="0"/>
    <n v="275000"/>
    <n v="0"/>
    <n v="20953680"/>
    <n v="-115916.50537634641"/>
    <n v="2509083.4946236559"/>
    <n v="0.15460798380543925"/>
    <n v="-2900000"/>
    <n v="-0.651685393258427"/>
    <m/>
  </r>
  <r>
    <x v="2"/>
    <x v="0"/>
    <x v="9"/>
    <x v="0"/>
    <x v="1"/>
    <x v="3"/>
    <x v="65"/>
    <x v="7"/>
    <x v="4"/>
    <x v="120"/>
    <n v="15"/>
    <n v="1416"/>
    <n v="13098000"/>
    <n v="1138140"/>
    <n v="1975000"/>
    <n v="0"/>
    <n v="0"/>
    <n v="0"/>
    <n v="0"/>
    <n v="3113140"/>
    <n v="200000"/>
    <n v="1855000"/>
    <n v="0"/>
    <n v="0"/>
    <n v="2055000"/>
    <n v="3405480"/>
    <n v="1195000"/>
    <n v="0"/>
    <n v="0"/>
    <n v="0"/>
    <n v="4600480"/>
    <n v="-567660"/>
    <n v="92340"/>
    <n v="2.711512033545932E-2"/>
    <n v="-660000"/>
    <n v="-0.55230125523012552"/>
    <m/>
  </r>
  <r>
    <x v="2"/>
    <x v="0"/>
    <x v="10"/>
    <x v="0"/>
    <x v="1"/>
    <x v="4"/>
    <x v="65"/>
    <x v="7"/>
    <x v="4"/>
    <x v="120"/>
    <n v="5"/>
    <n v="454"/>
    <n v="4102000"/>
    <n v="327400"/>
    <n v="600000"/>
    <n v="0"/>
    <n v="0"/>
    <n v="0"/>
    <n v="0"/>
    <n v="927400"/>
    <n v="0"/>
    <n v="665000"/>
    <n v="0"/>
    <n v="0"/>
    <n v="665000"/>
    <n v="1066520"/>
    <n v="575000"/>
    <n v="0"/>
    <n v="0"/>
    <n v="0"/>
    <n v="1641520"/>
    <n v="49120"/>
    <n v="139120"/>
    <n v="0.13044293590368675"/>
    <n v="-90000"/>
    <n v="-0.15652173913043479"/>
    <m/>
  </r>
  <r>
    <x v="2"/>
    <x v="0"/>
    <x v="21"/>
    <x v="0"/>
    <x v="1"/>
    <x v="3"/>
    <x v="65"/>
    <x v="7"/>
    <x v="4"/>
    <x v="120"/>
    <n v="11"/>
    <n v="1567"/>
    <n v="4244120"/>
    <n v="0"/>
    <n v="0"/>
    <n v="0"/>
    <n v="0"/>
    <n v="0"/>
    <n v="0"/>
    <n v="0"/>
    <n v="200000"/>
    <n v="0"/>
    <n v="0"/>
    <n v="0"/>
    <n v="200000"/>
    <n v="297088.40000000002"/>
    <n v="0"/>
    <n v="0"/>
    <n v="0"/>
    <n v="0"/>
    <n v="297088.40000000002"/>
    <n v="97088.400000000023"/>
    <n v="97088.400000000023"/>
    <n v="0.32679970002194636"/>
    <n v="0"/>
    <n v="0"/>
    <m/>
  </r>
  <r>
    <x v="2"/>
    <x v="0"/>
    <x v="0"/>
    <x v="0"/>
    <x v="0"/>
    <x v="2"/>
    <x v="66"/>
    <x v="7"/>
    <x v="3"/>
    <x v="51"/>
    <n v="177"/>
    <n v="59517"/>
    <n v="526664000"/>
    <n v="63719225"/>
    <n v="45490000"/>
    <n v="0"/>
    <n v="200000"/>
    <n v="200000"/>
    <n v="0"/>
    <n v="109609225"/>
    <n v="3450000"/>
    <n v="43365000"/>
    <n v="0"/>
    <n v="289348.17784946243"/>
    <n v="47104348.177849464"/>
    <n v="136932640"/>
    <n v="25850000"/>
    <n v="0"/>
    <n v="1225000"/>
    <n v="0"/>
    <n v="164007640"/>
    <n v="7294066.8221505284"/>
    <n v="23584066.822150536"/>
    <n v="0.17223115556780719"/>
    <n v="-17515000"/>
    <n v="-0.6775628626692457"/>
    <m/>
  </r>
  <r>
    <x v="2"/>
    <x v="0"/>
    <x v="1"/>
    <x v="0"/>
    <x v="0"/>
    <x v="2"/>
    <x v="66"/>
    <x v="7"/>
    <x v="3"/>
    <x v="51"/>
    <n v="31"/>
    <n v="10208"/>
    <n v="90598000"/>
    <n v="10902695"/>
    <n v="8510000"/>
    <n v="0"/>
    <m/>
    <n v="200000"/>
    <n v="0"/>
    <n v="19612695"/>
    <n v="900000"/>
    <n v="7595000"/>
    <n v="0"/>
    <n v="286021.50537634408"/>
    <n v="8781021.5053763445"/>
    <n v="23555480"/>
    <n v="4500000"/>
    <n v="0"/>
    <n v="375000"/>
    <n v="0"/>
    <n v="28430480"/>
    <n v="36763.494623653591"/>
    <n v="2756763.4946236559"/>
    <n v="0.11703278789579563"/>
    <n v="-3095000"/>
    <n v="-0.68777777777777782"/>
    <m/>
  </r>
  <r>
    <x v="2"/>
    <x v="0"/>
    <x v="9"/>
    <x v="0"/>
    <x v="1"/>
    <x v="3"/>
    <x v="66"/>
    <x v="7"/>
    <x v="3"/>
    <x v="51"/>
    <n v="13"/>
    <n v="1762"/>
    <n v="16356000"/>
    <n v="1649700"/>
    <n v="1775000"/>
    <n v="0"/>
    <n v="0"/>
    <n v="0"/>
    <n v="0"/>
    <n v="3424700"/>
    <n v="350000"/>
    <n v="1645000"/>
    <n v="0"/>
    <n v="0"/>
    <n v="1995000"/>
    <n v="4252560"/>
    <n v="935000"/>
    <n v="0"/>
    <n v="0"/>
    <n v="0"/>
    <n v="5187560"/>
    <n v="-232140"/>
    <n v="477860"/>
    <n v="0.11236996068250654"/>
    <n v="-710000"/>
    <n v="-0.75935828877005351"/>
    <m/>
  </r>
  <r>
    <x v="2"/>
    <x v="0"/>
    <x v="10"/>
    <x v="0"/>
    <x v="1"/>
    <x v="4"/>
    <x v="66"/>
    <x v="7"/>
    <x v="3"/>
    <x v="51"/>
    <n v="4"/>
    <n v="812"/>
    <n v="7414000"/>
    <n v="777020"/>
    <n v="775000"/>
    <n v="0"/>
    <n v="0"/>
    <n v="0"/>
    <n v="0"/>
    <n v="1552020"/>
    <n v="0"/>
    <n v="700000"/>
    <n v="0"/>
    <n v="0"/>
    <n v="700000"/>
    <n v="1927640"/>
    <n v="525000"/>
    <n v="0"/>
    <n v="0"/>
    <n v="0"/>
    <n v="2452640"/>
    <n v="200620"/>
    <n v="375620"/>
    <n v="0.19486003610632691"/>
    <n v="-175000"/>
    <n v="-0.33333333333333331"/>
    <m/>
  </r>
  <r>
    <x v="2"/>
    <x v="0"/>
    <x v="21"/>
    <x v="0"/>
    <x v="1"/>
    <x v="3"/>
    <x v="66"/>
    <x v="7"/>
    <x v="3"/>
    <x v="51"/>
    <n v="6"/>
    <n v="1142"/>
    <n v="2228360"/>
    <n v="0"/>
    <n v="0"/>
    <n v="0"/>
    <n v="0"/>
    <n v="0"/>
    <n v="0"/>
    <n v="0"/>
    <n v="350000"/>
    <n v="0"/>
    <n v="0"/>
    <n v="0"/>
    <n v="350000"/>
    <n v="155985.20000000001"/>
    <n v="0"/>
    <n v="0"/>
    <n v="0"/>
    <n v="0"/>
    <n v="155985.20000000001"/>
    <n v="-194014.8"/>
    <n v="-194014.8"/>
    <n v="-1.2438026171713725"/>
    <n v="0"/>
    <n v="0"/>
    <m/>
  </r>
  <r>
    <x v="2"/>
    <x v="0"/>
    <x v="9"/>
    <x v="0"/>
    <x v="1"/>
    <x v="3"/>
    <x v="67"/>
    <x v="7"/>
    <x v="2"/>
    <x v="52"/>
    <n v="11"/>
    <n v="778"/>
    <n v="7410000"/>
    <n v="733980"/>
    <n v="600000"/>
    <n v="0"/>
    <n v="0"/>
    <n v="0"/>
    <n v="0"/>
    <n v="1333980"/>
    <n v="100000"/>
    <n v="560000"/>
    <n v="0"/>
    <n v="0"/>
    <n v="660000"/>
    <n v="1926600"/>
    <n v="390000"/>
    <n v="0"/>
    <n v="0"/>
    <n v="0"/>
    <n v="2316600"/>
    <n v="322620"/>
    <n v="492620"/>
    <n v="0.25569396864943422"/>
    <n v="-170000"/>
    <n v="-0.4358974358974359"/>
    <m/>
  </r>
  <r>
    <x v="2"/>
    <x v="0"/>
    <x v="10"/>
    <x v="0"/>
    <x v="1"/>
    <x v="4"/>
    <x v="67"/>
    <x v="7"/>
    <x v="2"/>
    <x v="52"/>
    <n v="4"/>
    <n v="257"/>
    <n v="2272000"/>
    <n v="273840"/>
    <n v="225000"/>
    <n v="0"/>
    <n v="0"/>
    <n v="0"/>
    <n v="0"/>
    <n v="498840"/>
    <n v="0"/>
    <n v="175000"/>
    <n v="0"/>
    <n v="0"/>
    <n v="175000"/>
    <n v="590720"/>
    <n v="115000"/>
    <n v="0"/>
    <n v="0"/>
    <n v="0"/>
    <n v="705720"/>
    <n v="31880"/>
    <n v="91880"/>
    <n v="0.15553900325027087"/>
    <n v="-60000"/>
    <n v="-0.52173913043478259"/>
    <m/>
  </r>
  <r>
    <x v="2"/>
    <x v="0"/>
    <x v="21"/>
    <x v="0"/>
    <x v="1"/>
    <x v="3"/>
    <x v="67"/>
    <x v="7"/>
    <x v="2"/>
    <x v="52"/>
    <n v="8"/>
    <n v="530"/>
    <n v="975020"/>
    <n v="0"/>
    <n v="0"/>
    <n v="0"/>
    <n v="0"/>
    <n v="0"/>
    <n v="0"/>
    <n v="0"/>
    <n v="100000"/>
    <n v="0"/>
    <n v="0"/>
    <n v="0"/>
    <n v="100000"/>
    <n v="68251.400000000009"/>
    <n v="0"/>
    <n v="0"/>
    <n v="0"/>
    <n v="0"/>
    <n v="68251.400000000009"/>
    <n v="-31748.599999999991"/>
    <n v="-31748.599999999991"/>
    <n v="-0.4651714104033029"/>
    <n v="0"/>
    <n v="0"/>
    <m/>
  </r>
  <r>
    <x v="2"/>
    <x v="0"/>
    <x v="9"/>
    <x v="0"/>
    <x v="1"/>
    <x v="3"/>
    <x v="67"/>
    <x v="8"/>
    <x v="2"/>
    <x v="53"/>
    <n v="11"/>
    <n v="1472"/>
    <n v="13518000"/>
    <n v="1539140"/>
    <n v="1525000"/>
    <n v="0"/>
    <n v="0"/>
    <n v="0"/>
    <n v="0"/>
    <n v="3064140"/>
    <n v="150000"/>
    <n v="1295000"/>
    <n v="0"/>
    <n v="0"/>
    <n v="1445000"/>
    <n v="3514680"/>
    <n v="865000"/>
    <n v="0"/>
    <n v="0"/>
    <n v="0"/>
    <n v="4379680"/>
    <n v="-129460"/>
    <n v="300540"/>
    <n v="8.5509918399399087E-2"/>
    <n v="-430000"/>
    <n v="-0.49710982658959535"/>
    <m/>
  </r>
  <r>
    <x v="2"/>
    <x v="0"/>
    <x v="10"/>
    <x v="0"/>
    <x v="1"/>
    <x v="4"/>
    <x v="67"/>
    <x v="8"/>
    <x v="2"/>
    <x v="53"/>
    <n v="5"/>
    <n v="803"/>
    <n v="7158000"/>
    <n v="742300"/>
    <n v="900000"/>
    <n v="0"/>
    <n v="0"/>
    <n v="0"/>
    <n v="0"/>
    <n v="1642300"/>
    <n v="0"/>
    <n v="735000"/>
    <n v="0"/>
    <n v="0"/>
    <n v="735000"/>
    <n v="1861080"/>
    <n v="515000"/>
    <n v="0"/>
    <n v="0"/>
    <n v="0"/>
    <n v="2376080"/>
    <n v="-1220"/>
    <n v="218780"/>
    <n v="0.11755539794098051"/>
    <n v="-220000"/>
    <n v="-0.42718446601941745"/>
    <m/>
  </r>
  <r>
    <x v="2"/>
    <x v="0"/>
    <x v="21"/>
    <x v="0"/>
    <x v="1"/>
    <x v="3"/>
    <x v="67"/>
    <x v="8"/>
    <x v="2"/>
    <x v="53"/>
    <n v="9"/>
    <n v="1450"/>
    <n v="2569420"/>
    <n v="0"/>
    <n v="0"/>
    <n v="0"/>
    <n v="0"/>
    <n v="0"/>
    <n v="0"/>
    <n v="0"/>
    <n v="150000"/>
    <n v="0"/>
    <n v="0"/>
    <n v="0"/>
    <n v="150000"/>
    <n v="179859.40000000002"/>
    <n v="0"/>
    <n v="0"/>
    <n v="0"/>
    <n v="0"/>
    <n v="179859.40000000002"/>
    <n v="29859.400000000023"/>
    <n v="29859.400000000023"/>
    <n v="0.16601523189780473"/>
    <n v="0"/>
    <n v="0"/>
    <m/>
  </r>
  <r>
    <x v="2"/>
    <x v="0"/>
    <x v="0"/>
    <x v="0"/>
    <x v="0"/>
    <x v="2"/>
    <x v="67"/>
    <x v="7"/>
    <x v="2"/>
    <x v="52"/>
    <n v="170"/>
    <n v="14826"/>
    <n v="130510000"/>
    <n v="17819818.571428571"/>
    <n v="13841428.571428571"/>
    <n v="0"/>
    <n v="0"/>
    <n v="0"/>
    <n v="0"/>
    <n v="31661247.142857142"/>
    <n v="985714.28571428568"/>
    <n v="12880000"/>
    <n v="0"/>
    <n v="213567"/>
    <n v="14079281.285714285"/>
    <n v="33932600"/>
    <n v="7764285.7142857136"/>
    <n v="0"/>
    <n v="335714.28571428574"/>
    <n v="0"/>
    <n v="42032600"/>
    <n v="-3707928.4285714254"/>
    <n v="1072071.5714285725"/>
    <n v="3.1594147558058401E-2"/>
    <n v="-5115714.2857142864"/>
    <n v="-0.65887764489420442"/>
    <m/>
  </r>
  <r>
    <x v="2"/>
    <x v="0"/>
    <x v="1"/>
    <x v="0"/>
    <x v="0"/>
    <x v="2"/>
    <x v="67"/>
    <x v="7"/>
    <x v="2"/>
    <x v="52"/>
    <n v="31"/>
    <n v="2513"/>
    <n v="22106000"/>
    <n v="2600125.7142857141"/>
    <n v="2455714.2857142854"/>
    <n v="0"/>
    <n v="0"/>
    <n v="0"/>
    <n v="0"/>
    <n v="5055840"/>
    <n v="257142.85714285713"/>
    <n v="2170000"/>
    <n v="0"/>
    <n v="82671"/>
    <n v="2509813.8571428573"/>
    <n v="5747560"/>
    <n v="1314285.7142857143"/>
    <n v="0"/>
    <n v="85714.28571428571"/>
    <n v="0"/>
    <n v="7147560"/>
    <n v="-418093.85714285728"/>
    <n v="351906.14285714284"/>
    <n v="6.1227049888499266E-2"/>
    <n v="-855714.28571428568"/>
    <n v="-0.65108695652173909"/>
    <m/>
  </r>
  <r>
    <x v="2"/>
    <x v="0"/>
    <x v="0"/>
    <x v="0"/>
    <x v="0"/>
    <x v="2"/>
    <x v="67"/>
    <x v="8"/>
    <x v="2"/>
    <x v="53"/>
    <n v="181"/>
    <n v="45063"/>
    <n v="396996000"/>
    <n v="44549546.428571433"/>
    <n v="34603571.428571433"/>
    <n v="0"/>
    <n v="0"/>
    <n v="0"/>
    <n v="0"/>
    <n v="79153117.857142866"/>
    <n v="2464285.7142857141"/>
    <n v="32200000"/>
    <n v="0"/>
    <n v="81720"/>
    <n v="34746005.714285716"/>
    <n v="103218960"/>
    <n v="19410714.285714287"/>
    <n v="0"/>
    <n v="839285.71428571432"/>
    <n v="0"/>
    <n v="123468960"/>
    <n v="9569836.4285714179"/>
    <n v="21519836.428571422"/>
    <n v="0.20848724331819873"/>
    <n v="-12789285.714285713"/>
    <n v="-0.65887764489420408"/>
    <m/>
  </r>
  <r>
    <x v="2"/>
    <x v="0"/>
    <x v="1"/>
    <x v="0"/>
    <x v="0"/>
    <x v="2"/>
    <x v="67"/>
    <x v="8"/>
    <x v="2"/>
    <x v="53"/>
    <n v="31"/>
    <n v="6626"/>
    <n v="58680000"/>
    <n v="6500314.2857142854"/>
    <n v="6139285.7142857146"/>
    <n v="0"/>
    <n v="0"/>
    <n v="0"/>
    <n v="0"/>
    <n v="12639600"/>
    <n v="642857.14285714284"/>
    <n v="5425000"/>
    <n v="0"/>
    <n v="81720"/>
    <n v="6149577.1428571427"/>
    <n v="15256800"/>
    <n v="3285714.2857142859"/>
    <n v="0"/>
    <n v="214285.71428571429"/>
    <n v="0"/>
    <n v="18756800"/>
    <n v="-32377.142857141793"/>
    <n v="1892622.8571428573"/>
    <n v="0.12405110227196117"/>
    <n v="-2139285.7142857141"/>
    <n v="-0.65108695652173898"/>
    <m/>
  </r>
  <r>
    <x v="2"/>
    <x v="0"/>
    <x v="0"/>
    <x v="0"/>
    <x v="0"/>
    <x v="2"/>
    <x v="68"/>
    <x v="8"/>
    <x v="1"/>
    <x v="56"/>
    <n v="183"/>
    <n v="60723"/>
    <n v="533718000"/>
    <n v="63509825"/>
    <n v="48275000"/>
    <n v="0"/>
    <n v="0"/>
    <n v="0"/>
    <n v="0"/>
    <n v="111784825"/>
    <n v="3450000"/>
    <n v="44835000"/>
    <n v="0"/>
    <n v="289348.17784946243"/>
    <n v="48574348.177849464"/>
    <n v="138766680"/>
    <n v="26875000"/>
    <n v="0"/>
    <n v="1075000"/>
    <n v="0"/>
    <n v="166716680"/>
    <n v="6357506.8221505284"/>
    <n v="23242506.822150536"/>
    <n v="0.1674934272561002"/>
    <n v="-17960000"/>
    <n v="-0.66827906976744189"/>
    <s v="15. Rekapan 06 - 12 April 2026.xlsx"/>
  </r>
  <r>
    <x v="2"/>
    <x v="0"/>
    <x v="1"/>
    <x v="0"/>
    <x v="0"/>
    <x v="2"/>
    <x v="68"/>
    <x v="8"/>
    <x v="1"/>
    <x v="56"/>
    <n v="30"/>
    <n v="9043"/>
    <n v="79614000"/>
    <n v="8985155"/>
    <n v="8435000"/>
    <n v="0"/>
    <n v="0"/>
    <n v="0"/>
    <n v="0"/>
    <n v="17420155"/>
    <n v="900000"/>
    <n v="7350000"/>
    <n v="0"/>
    <n v="286021.50537634408"/>
    <n v="8536021.5053763445"/>
    <n v="20699640"/>
    <n v="4425000"/>
    <n v="0"/>
    <n v="300000"/>
    <n v="0"/>
    <n v="25424640"/>
    <n v="-531536.50537634641"/>
    <n v="2093463.4946236559"/>
    <n v="0.10113526102983704"/>
    <n v="-2925000"/>
    <n v="-0.66101694915254239"/>
    <s v="15. Rekapan 06 - 12 April 2026.xlsx"/>
  </r>
  <r>
    <x v="2"/>
    <x v="0"/>
    <x v="9"/>
    <x v="0"/>
    <x v="1"/>
    <x v="3"/>
    <x v="68"/>
    <x v="8"/>
    <x v="1"/>
    <x v="56"/>
    <n v="10"/>
    <n v="1999"/>
    <n v="18114000"/>
    <n v="1711700"/>
    <n v="2050000"/>
    <n v="0"/>
    <n v="0"/>
    <n v="0"/>
    <n v="0"/>
    <n v="3761700"/>
    <n v="350000"/>
    <n v="1820000"/>
    <n v="0"/>
    <n v="0"/>
    <n v="2170000"/>
    <n v="4709640"/>
    <n v="1365000"/>
    <n v="0"/>
    <n v="0"/>
    <n v="0"/>
    <n v="6074640"/>
    <n v="142940"/>
    <n v="597940"/>
    <n v="0.12696087174391249"/>
    <n v="-455000"/>
    <n v="-0.33333333333333331"/>
    <m/>
  </r>
  <r>
    <x v="2"/>
    <x v="0"/>
    <x v="10"/>
    <x v="0"/>
    <x v="1"/>
    <x v="4"/>
    <x v="68"/>
    <x v="8"/>
    <x v="1"/>
    <x v="56"/>
    <n v="6"/>
    <n v="1131"/>
    <n v="10148000"/>
    <n v="933260"/>
    <n v="1400000"/>
    <n v="0"/>
    <n v="0"/>
    <n v="0"/>
    <n v="0"/>
    <n v="2333260"/>
    <n v="0"/>
    <n v="1190000"/>
    <n v="0"/>
    <n v="0"/>
    <n v="1190000"/>
    <n v="2638480"/>
    <n v="820000"/>
    <n v="0"/>
    <n v="0"/>
    <n v="0"/>
    <n v="3458480"/>
    <n v="-64780"/>
    <n v="305220"/>
    <n v="0.11568024013826142"/>
    <n v="-370000"/>
    <n v="-0.45121951219512196"/>
    <m/>
  </r>
  <r>
    <x v="2"/>
    <x v="0"/>
    <x v="21"/>
    <x v="0"/>
    <x v="1"/>
    <x v="3"/>
    <x v="68"/>
    <x v="8"/>
    <x v="1"/>
    <x v="56"/>
    <n v="9"/>
    <n v="1390"/>
    <n v="2401600"/>
    <n v="0"/>
    <n v="0"/>
    <n v="0"/>
    <n v="0"/>
    <n v="0"/>
    <n v="0"/>
    <n v="0"/>
    <n v="350000"/>
    <n v="0"/>
    <n v="0"/>
    <n v="0"/>
    <n v="350000"/>
    <n v="168112.00000000003"/>
    <n v="0"/>
    <n v="0"/>
    <n v="0"/>
    <n v="0"/>
    <n v="168112.00000000003"/>
    <n v="-181887.99999999997"/>
    <n v="-181887.99999999997"/>
    <n v="-1.0819453697534973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63FDD-7265-5349-8E1C-C40F2C84F195}" name="PivotTable1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V7:DI10" firstHeaderRow="1" firstDataRow="2" firstDataCol="1" rowPageCount="1" colPageCount="1"/>
  <pivotFields count="48">
    <pivotField axis="axisRow" showAll="0">
      <items count="4">
        <item h="1" x="1"/>
        <item x="0"/>
        <item h="1" x="2"/>
        <item t="default"/>
      </items>
    </pivotField>
    <pivotField axis="axisPage" multipleItemSelectionAllowed="1" showAll="0">
      <items count="20">
        <item h="1" x="1"/>
        <item h="1" x="2"/>
        <item h="1" x="7"/>
        <item h="1" x="4"/>
        <item h="1" x="6"/>
        <item x="0"/>
        <item h="1" x="5"/>
        <item h="1" x="3"/>
        <item h="1" m="1" x="18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Col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 v="1"/>
    </i>
    <i t="grand">
      <x/>
    </i>
  </rowItems>
  <colFields count="1">
    <field x="7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3"/>
    </i>
    <i>
      <x v="14"/>
    </i>
    <i>
      <x v="15"/>
    </i>
    <i t="grand">
      <x/>
    </i>
  </colItems>
  <pageFields count="1">
    <pageField fld="1" hier="-1"/>
  </pageFields>
  <dataFields count="1">
    <dataField name="Sum of Total Cups Sold" fld="11" baseField="0" baseItem="0" numFmtId="3"/>
  </dataFields>
  <formats count="37">
    <format dxfId="2154">
      <pivotArea field="0" type="button" dataOnly="0" labelOnly="1" outline="0" axis="axisRow" fieldPosition="0"/>
    </format>
    <format dxfId="2155">
      <pivotArea field="1" type="button" dataOnly="0" labelOnly="1" outline="0" axis="axisPage" fieldPosition="0"/>
    </format>
    <format dxfId="2156">
      <pivotArea field="1" type="button" dataOnly="0" labelOnly="1" outline="0" axis="axisPage" fieldPosition="0"/>
    </format>
    <format dxfId="21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58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2159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2160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2161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2162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2163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2164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2165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2166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2167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2168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2169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2170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2171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2172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73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74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75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76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77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78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79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80">
      <pivotArea field="0" type="button" dataOnly="0" labelOnly="1" outline="0" axis="axisRow" fieldPosition="0"/>
    </format>
    <format dxfId="2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82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83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84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85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86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2187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2188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2189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2190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AE7D-A6D4-4FC9-AEF1-5BC260D6AB10}" name="PivotTable7" cacheId="16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V5" firstHeaderRow="0" firstDataRow="1" firstDataCol="0"/>
  <pivotFields count="48">
    <pivotField axis="axisRow" showAll="0">
      <items count="4">
        <item x="1"/>
        <item x="0"/>
        <item x="2"/>
        <item t="default"/>
      </items>
    </pivotField>
    <pivotField axis="axisPage" showAll="0">
      <items count="20">
        <item h="1" x="1"/>
        <item h="1" x="2"/>
        <item h="1" x="7"/>
        <item h="1" x="4"/>
        <item h="1" x="6"/>
        <item x="0"/>
        <item h="1" x="5"/>
        <item h="1" x="3"/>
        <item m="1" x="18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1" item="5" hier="-1"/>
  </pageFields>
  <dataFields count="14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Selling Comission/Sales (Weekly)" fld="13" baseField="0" baseItem="0" numFmtId="166"/>
    <dataField name="Sum of Total Income Sales (Weekly)" fld="19" baseField="0" baseItem="0" numFmtId="41"/>
    <dataField name="Sum of Total Operational Cost" fld="24" baseField="0" baseItem="0" numFmtId="41"/>
    <dataField name="Sum of Total Cost Molis (Weekly)" fld="21" baseField="0" baseItem="0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4">
    <format dxfId="2090">
      <pivotArea outline="0" fieldPosition="0">
        <references count="1">
          <reference field="4294967294" count="1">
            <x v="12"/>
          </reference>
        </references>
      </pivotArea>
    </format>
    <format dxfId="2091">
      <pivotArea field="0" type="button" dataOnly="0" labelOnly="1" outline="0" axis="axisRow" fieldPosition="0"/>
    </format>
    <format dxfId="2092">
      <pivotArea field="1" type="button" dataOnly="0" labelOnly="1" outline="0" axis="axisPage" fieldPosition="0"/>
    </format>
    <format dxfId="2093">
      <pivotArea field="1" type="button" dataOnly="0" labelOnly="1" outline="0" axis="axisPage" fieldPosition="0"/>
    </format>
    <format dxfId="2094">
      <pivotArea dataOnly="0" labelOnly="1" outline="0" fieldPosition="0">
        <references count="1">
          <reference field="4294967294" count="4">
            <x v="0"/>
            <x v="10"/>
            <x v="11"/>
            <x v="12"/>
          </reference>
        </references>
      </pivotArea>
    </format>
    <format dxfId="209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9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97">
      <pivotArea collapsedLevelsAreSubtotals="1" fieldPosition="0">
        <references count="2">
          <reference field="4294967294" count="1" selected="0">
            <x v="12"/>
          </reference>
          <reference field="0" count="1">
            <x v="1"/>
          </reference>
        </references>
      </pivotArea>
    </format>
    <format dxfId="2098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2099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2100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2101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2102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2103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2104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2105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2106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2107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2108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2109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2110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2111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2112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13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14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15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21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2117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211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2119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1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21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22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23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24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2125">
      <pivotArea outline="0" fieldPosition="0">
        <references count="1">
          <reference field="4294967294" count="1">
            <x v="2"/>
          </reference>
        </references>
      </pivotArea>
    </format>
    <format dxfId="2126">
      <pivotArea field="0" type="button" dataOnly="0" labelOnly="1" outline="0" axis="axisRow" fieldPosition="0"/>
    </format>
    <format dxfId="2127">
      <pivotArea dataOnly="0" labelOnly="1" outline="0" fieldPosition="0">
        <references count="1">
          <reference field="4294967294" count="6">
            <x v="0"/>
            <x v="2"/>
            <x v="5"/>
            <x v="10"/>
            <x v="11"/>
            <x v="12"/>
          </reference>
        </references>
      </pivotArea>
    </format>
    <format dxfId="21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29">
      <pivotArea outline="0" fieldPosition="0">
        <references count="1">
          <reference field="4294967294" count="1">
            <x v="1"/>
          </reference>
        </references>
      </pivotArea>
    </format>
    <format dxfId="2130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31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32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33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2134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2135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2136">
      <pivotArea dataOnly="0" labelOnly="1" outline="0" fieldPosition="0">
        <references count="1">
          <reference field="4294967294" count="3">
            <x v="7"/>
            <x v="8"/>
            <x v="10"/>
          </reference>
        </references>
      </pivotArea>
    </format>
    <format dxfId="2137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21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39">
      <pivotArea dataOnly="0" labelOnly="1" outline="0" fieldPosition="0">
        <references count="1">
          <reference field="4294967294" count="2">
            <x v="8"/>
            <x v="10"/>
          </reference>
        </references>
      </pivotArea>
    </format>
    <format dxfId="214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1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14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143">
      <pivotArea outline="0" fieldPosition="0">
        <references count="1">
          <reference field="4294967294" count="1">
            <x v="3"/>
          </reference>
        </references>
      </pivotArea>
    </format>
    <format dxfId="2144">
      <pivotArea outline="0" fieldPosition="0">
        <references count="1">
          <reference field="4294967294" count="1">
            <x v="4"/>
          </reference>
        </references>
      </pivotArea>
    </format>
    <format dxfId="2145">
      <pivotArea outline="0" fieldPosition="0">
        <references count="1">
          <reference field="4294967294" count="1">
            <x v="13"/>
          </reference>
        </references>
      </pivotArea>
    </format>
    <format dxfId="2146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14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2148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2149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2150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215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15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153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77EE2-14A9-44A8-8171-979F1124CBF5}" name="PivotTable6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5:BA160" firstHeaderRow="0" firstDataRow="1" firstDataCol="1" rowPageCount="2" colPageCount="1"/>
  <pivotFields count="48">
    <pivotField axis="axisPage" multipleItemSelectionAllowed="1" showAll="0">
      <items count="4">
        <item h="1" x="1"/>
        <item x="0"/>
        <item x="2"/>
        <item t="default"/>
      </items>
    </pivotField>
    <pivotField axis="axisRow" multipleItemSelectionAllowed="1" showAll="0" sortType="descending">
      <items count="20">
        <item h="1" m="1" x="18"/>
        <item h="1" sd="0" x="3"/>
        <item h="1" sd="0" x="5"/>
        <item h="1" sd="0" x="10"/>
        <item x="0"/>
        <item h="1" sd="0" x="6"/>
        <item h="1" sd="0" x="11"/>
        <item h="1" sd="0" x="8"/>
        <item h="1" sd="0" x="4"/>
        <item h="1" sd="0" x="7"/>
        <item x="2"/>
        <item h="1" sd="0" x="9"/>
        <item h="1" sd="0" x="1"/>
        <item x="12"/>
        <item sd="0" x="13"/>
        <item x="14"/>
        <item sd="0" x="15"/>
        <item h="1"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h="1" x="37"/>
        <item x="54"/>
        <item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axis="axisPage" showAll="0" sortType="ascending">
      <items count="20">
        <item m="1" x="16"/>
        <item m="1" x="15"/>
        <item m="1" x="14"/>
        <item m="1" x="13"/>
        <item x="1"/>
        <item x="0"/>
        <item x="7"/>
        <item x="8"/>
        <item x="11"/>
        <item x="10"/>
        <item sd="0" x="9"/>
        <item sd="0" x="6"/>
        <item sd="0" x="5"/>
        <item sd="0" x="4"/>
        <item sd="0" x="3"/>
        <item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dataField="1" showAll="0"/>
    <pivotField showAll="0"/>
    <pivotField showAll="0"/>
    <pivotField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6"/>
  </rowFields>
  <rowItems count="155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67"/>
    </i>
    <i r="1">
      <x v="69"/>
    </i>
    <i r="1">
      <x v="71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67"/>
    </i>
    <i r="1">
      <x v="69"/>
    </i>
    <i r="1">
      <x v="71"/>
    </i>
    <i>
      <x v="13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67"/>
    </i>
    <i r="1">
      <x v="69"/>
    </i>
    <i r="1">
      <x v="71"/>
    </i>
    <i>
      <x v="15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67"/>
    </i>
    <i r="1">
      <x v="69"/>
    </i>
    <i r="1">
      <x v="71"/>
    </i>
    <i>
      <x v="16"/>
    </i>
    <i>
      <x v="1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0" hier="-1"/>
    <pageField fld="7" hier="-1"/>
  </pageFields>
  <dataFields count="10">
    <dataField name="Sum of Total Cups Sold" fld="11" baseField="0" baseItem="0" numFmtId="41"/>
    <dataField name="Sum of Total Selling (Clients Revenue)" fld="12" baseField="0" baseItem="0" numFmtId="41"/>
    <dataField name="Sum of Total Revenue Sharing % (Weekly)" fld="25" baseField="0" baseItem="0" numFmtId="3"/>
    <dataField name="Sum of Total Subsidi Molis KSJ (Monthly)" fld="27" baseField="0" baseItem="0" numFmtId="37"/>
    <dataField name="Sum of Total Potongan Molis (Weekly) " fld="26" baseField="0" baseItem="0" numFmtId="41"/>
    <dataField name="Sum of Total Revenue" fld="30" baseField="0" baseItem="0" numFmtId="41"/>
    <dataField name="Sum of Total Cost Molis (Weekly)" fld="21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</dataFields>
  <formats count="53">
    <format dxfId="2037">
      <pivotArea field="0" type="button" dataOnly="0" labelOnly="1" outline="0" axis="axisPage" fieldPosition="0"/>
    </format>
    <format dxfId="2038">
      <pivotArea outline="0" fieldPosition="0">
        <references count="1">
          <reference field="4294967294" count="1">
            <x v="9"/>
          </reference>
        </references>
      </pivotArea>
    </format>
    <format dxfId="2039">
      <pivotArea field="0" type="button" dataOnly="0" labelOnly="1" outline="0" axis="axisPage" fieldPosition="0"/>
    </format>
    <format dxfId="2040">
      <pivotArea dataOnly="0" labelOnly="1" outline="0" fieldPosition="0">
        <references count="1">
          <reference field="4294967294" count="4">
            <x v="0"/>
            <x v="7"/>
            <x v="8"/>
            <x v="9"/>
          </reference>
        </references>
      </pivotArea>
    </format>
    <format dxfId="2041">
      <pivotArea dataOnly="0" labelOnly="1" outline="0" fieldPosition="0">
        <references count="1">
          <reference field="4294967294" count="4">
            <x v="0"/>
            <x v="7"/>
            <x v="8"/>
            <x v="9"/>
          </reference>
        </references>
      </pivotArea>
    </format>
    <format dxfId="204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4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4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45">
      <pivotArea collapsedLevelsAreSubtotals="1" fieldPosition="0">
        <references count="2">
          <reference field="4294967294" count="1" selected="0">
            <x v="9"/>
          </reference>
          <reference field="0" count="1">
            <x v="1"/>
          </reference>
        </references>
      </pivotArea>
    </format>
    <format dxfId="2046">
      <pivotArea outline="0" fieldPosition="0">
        <references count="1">
          <reference field="4294967294" count="1">
            <x v="1"/>
          </reference>
        </references>
      </pivotArea>
    </format>
    <format dxfId="2047">
      <pivotArea dataOnly="0" labelOnly="1" outline="0" fieldPosition="0">
        <references count="1">
          <reference field="4294967294" count="3">
            <x v="3"/>
            <x v="4"/>
            <x v="6"/>
          </reference>
        </references>
      </pivotArea>
    </format>
    <format dxfId="2048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4"/>
          </reference>
        </references>
      </pivotArea>
    </format>
    <format dxfId="2049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4"/>
          </reference>
          <reference field="7" count="6">
            <x v="4"/>
            <x v="5"/>
            <x v="6"/>
            <x v="7"/>
            <x v="8"/>
            <x v="9"/>
          </reference>
        </references>
      </pivotArea>
    </format>
    <format dxfId="2050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10"/>
          </reference>
        </references>
      </pivotArea>
    </format>
    <format dxfId="2051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10"/>
          </reference>
          <reference field="7" count="6">
            <x v="4"/>
            <x v="5"/>
            <x v="6"/>
            <x v="7"/>
            <x v="8"/>
            <x v="9"/>
          </reference>
        </references>
      </pivotArea>
    </format>
    <format dxfId="2052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11"/>
          </reference>
        </references>
      </pivotArea>
    </format>
    <format dxfId="2053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11"/>
          </reference>
          <reference field="7" count="4">
            <x v="6"/>
            <x v="7"/>
            <x v="8"/>
            <x v="9"/>
          </reference>
        </references>
      </pivotArea>
    </format>
    <format dxfId="2054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5"/>
          </reference>
        </references>
      </pivotArea>
    </format>
    <format dxfId="2055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5"/>
          </reference>
          <reference field="7" count="6">
            <x v="4"/>
            <x v="5"/>
            <x v="6"/>
            <x v="7"/>
            <x v="8"/>
            <x v="9"/>
          </reference>
        </references>
      </pivotArea>
    </format>
    <format dxfId="2056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3"/>
          </reference>
        </references>
      </pivotArea>
    </format>
    <format dxfId="2057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3"/>
          </reference>
          <reference field="7" count="4">
            <x v="6"/>
            <x v="7"/>
            <x v="8"/>
            <x v="9"/>
          </reference>
        </references>
      </pivotArea>
    </format>
    <format dxfId="2058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8"/>
          </reference>
        </references>
      </pivotArea>
    </format>
    <format dxfId="2059">
      <pivotArea collapsedLevelsAreSubtotals="1" fieldPosition="0">
        <references count="3">
          <reference field="4294967294" count="3" selected="0">
            <x v="3"/>
            <x v="4"/>
            <x v="6"/>
          </reference>
          <reference field="1" count="1" selected="0">
            <x v="8"/>
          </reference>
          <reference field="7" count="5">
            <x v="5"/>
            <x v="6"/>
            <x v="7"/>
            <x v="8"/>
            <x v="9"/>
          </reference>
        </references>
      </pivotArea>
    </format>
    <format dxfId="2060">
      <pivotArea collapsedLevelsAreSubtotals="1" fieldPosition="0">
        <references count="2">
          <reference field="4294967294" count="3" selected="0">
            <x v="3"/>
            <x v="4"/>
            <x v="6"/>
          </reference>
          <reference field="1" count="1">
            <x v="1"/>
          </reference>
        </references>
      </pivotArea>
    </format>
    <format dxfId="2061">
      <pivotArea dataOnly="0" labelOnly="1" outline="0" fieldPosition="0">
        <references count="1">
          <reference field="4294967294" count="3">
            <x v="3"/>
            <x v="4"/>
            <x v="6"/>
          </reference>
        </references>
      </pivotArea>
    </format>
    <format dxfId="2062">
      <pivotArea outline="0" collapsedLevelsAreSubtotals="1" fieldPosition="0">
        <references count="1">
          <reference field="4294967294" count="8" selected="0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206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0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65">
      <pivotArea field="1" type="button" dataOnly="0" labelOnly="1" outline="0" axis="axisRow" fieldPosition="0"/>
    </format>
    <format dxfId="20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67">
      <pivotArea outline="0" fieldPosition="0">
        <references count="1">
          <reference field="4294967294" count="1">
            <x v="3"/>
          </reference>
        </references>
      </pivotArea>
    </format>
    <format dxfId="2068">
      <pivotArea outline="0" fieldPosition="0">
        <references count="1">
          <reference field="4294967294" count="1">
            <x v="2"/>
          </reference>
        </references>
      </pivotArea>
    </format>
    <format dxfId="20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7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071">
      <pivotArea field="1" type="button" dataOnly="0" labelOnly="1" outline="0" axis="axisRow" fieldPosition="0"/>
    </format>
    <format dxfId="207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07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7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075">
      <pivotArea dataOnly="0" fieldPosition="0">
        <references count="1">
          <reference field="6" count="1">
            <x v="28"/>
          </reference>
        </references>
      </pivotArea>
    </format>
    <format dxfId="2076">
      <pivotArea dataOnly="0" fieldPosition="0">
        <references count="1">
          <reference field="6" count="1">
            <x v="29"/>
          </reference>
        </references>
      </pivotArea>
    </format>
    <format dxfId="2077">
      <pivotArea dataOnly="0" fieldPosition="0">
        <references count="1">
          <reference field="6" count="1">
            <x v="30"/>
          </reference>
        </references>
      </pivotArea>
    </format>
    <format dxfId="2078">
      <pivotArea dataOnly="0" fieldPosition="0">
        <references count="1">
          <reference field="6" count="1">
            <x v="33"/>
          </reference>
        </references>
      </pivotArea>
    </format>
    <format dxfId="2079">
      <pivotArea dataOnly="0" fieldPosition="0">
        <references count="1">
          <reference field="6" count="1">
            <x v="34"/>
          </reference>
        </references>
      </pivotArea>
    </format>
    <format dxfId="2080">
      <pivotArea dataOnly="0" fieldPosition="0">
        <references count="1">
          <reference field="6" count="1">
            <x v="35"/>
          </reference>
        </references>
      </pivotArea>
    </format>
    <format dxfId="2081">
      <pivotArea dataOnly="0" fieldPosition="0">
        <references count="1">
          <reference field="6" count="1">
            <x v="36"/>
          </reference>
        </references>
      </pivotArea>
    </format>
    <format dxfId="2082">
      <pivotArea dataOnly="0" fieldPosition="0">
        <references count="1">
          <reference field="6" count="1">
            <x v="37"/>
          </reference>
        </references>
      </pivotArea>
    </format>
    <format dxfId="2083">
      <pivotArea dataOnly="0" fieldPosition="0">
        <references count="1">
          <reference field="6" count="1">
            <x v="38"/>
          </reference>
        </references>
      </pivotArea>
    </format>
    <format dxfId="2084">
      <pivotArea dataOnly="0" fieldPosition="0">
        <references count="1">
          <reference field="6" count="2">
            <x v="39"/>
            <x v="40"/>
          </reference>
        </references>
      </pivotArea>
    </format>
    <format dxfId="2085">
      <pivotArea dataOnly="0" fieldPosition="0">
        <references count="1">
          <reference field="6" count="1">
            <x v="41"/>
          </reference>
        </references>
      </pivotArea>
    </format>
    <format dxfId="2086">
      <pivotArea dataOnly="0" fieldPosition="0">
        <references count="1">
          <reference field="6" count="1">
            <x v="42"/>
          </reference>
        </references>
      </pivotArea>
    </format>
    <format dxfId="2087">
      <pivotArea dataOnly="0" fieldPosition="0">
        <references count="1">
          <reference field="6" count="1">
            <x v="43"/>
          </reference>
        </references>
      </pivotArea>
    </format>
    <format dxfId="2088">
      <pivotArea dataOnly="0" fieldPosition="0">
        <references count="1">
          <reference field="6" count="2">
            <x v="54"/>
            <x v="55"/>
          </reference>
        </references>
      </pivotArea>
    </format>
    <format dxfId="2089">
      <pivotArea dataOnly="0" fieldPosition="0">
        <references count="1">
          <reference field="6" count="2">
            <x v="44"/>
            <x v="4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1CB21-C519-1E4C-91E4-11C91EE1A3E0}" name="PivotTable3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46:AH114" firstHeaderRow="0" firstDataRow="1" firstDataCol="1" rowPageCount="1" colPageCount="1"/>
  <pivotFields count="48"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h="1" x="7"/>
        <item h="1" x="37"/>
        <item x="16"/>
        <item x="15"/>
        <item x="14"/>
        <item x="13"/>
        <item x="12"/>
        <item x="11"/>
        <item x="10"/>
        <item x="9"/>
        <item x="8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h="1" x="66"/>
        <item f="1" x="69"/>
        <item h="1" x="67"/>
        <item f="1" x="70"/>
        <item h="1" x="68"/>
        <item f="1" x="7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6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9"/>
    </i>
    <i>
      <x v="7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0" hier="-1"/>
  </pageFields>
  <dataFields count="12">
    <dataField name="Sum of Total Cups Sold" fld="11" baseField="0" baseItem="0" numFmtId="3"/>
    <dataField name="Sum of Total Selling (Clients Revenue)" fld="12" baseField="0" baseItem="0" numFmtId="41"/>
    <dataField name="Sum of Total Revenue Sharing % (Weekly)" fld="25" baseField="0" baseItem="0" numFmtId="3"/>
    <dataField name="Sum of Total Subsidi Molis KSJ (Monthly)" fld="27" baseField="6" baseItem="0" numFmtId="164"/>
    <dataField name="Sum of Total Potongan Molis (Weekly) " fld="26" baseField="6" baseItem="0" numFmtId="164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41"/>
    <dataField name="Sum of Avg Price per Cup" fld="46" baseField="6" baseItem="0" numFmtId="164"/>
  </dataFields>
  <formats count="70">
    <format dxfId="1967">
      <pivotArea field="6" type="button" dataOnly="0" labelOnly="1" outline="0" axis="axisRow" fieldPosition="0"/>
    </format>
    <format dxfId="1968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969">
      <pivotArea field="6" type="button" dataOnly="0" labelOnly="1" outline="0" axis="axisRow" fieldPosition="0"/>
    </format>
    <format dxfId="1970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971">
      <pivotArea field="6" type="button" dataOnly="0" labelOnly="1" outline="0" axis="axisRow" fieldPosition="0"/>
    </format>
    <format dxfId="1972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97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74">
      <pivotArea collapsedLevelsAreSubtotals="1" fieldPosition="0">
        <references count="1">
          <reference field="6" count="1">
            <x v="4"/>
          </reference>
        </references>
      </pivotArea>
    </format>
    <format dxfId="1975">
      <pivotArea dataOnly="0" labelOnly="1" fieldPosition="0">
        <references count="1">
          <reference field="6" count="1">
            <x v="4"/>
          </reference>
        </references>
      </pivotArea>
    </format>
    <format dxfId="1976">
      <pivotArea collapsedLevelsAreSubtotals="1" fieldPosition="0">
        <references count="1">
          <reference field="6" count="1">
            <x v="8"/>
          </reference>
        </references>
      </pivotArea>
    </format>
    <format dxfId="1977">
      <pivotArea dataOnly="0" labelOnly="1" fieldPosition="0">
        <references count="1">
          <reference field="6" count="1">
            <x v="8"/>
          </reference>
        </references>
      </pivotArea>
    </format>
    <format dxfId="1978">
      <pivotArea collapsedLevelsAreSubtotals="1" fieldPosition="0">
        <references count="1">
          <reference field="6" count="1">
            <x v="7"/>
          </reference>
        </references>
      </pivotArea>
    </format>
    <format dxfId="1979">
      <pivotArea dataOnly="0" labelOnly="1" fieldPosition="0">
        <references count="1">
          <reference field="6" count="1">
            <x v="7"/>
          </reference>
        </references>
      </pivotArea>
    </format>
    <format dxfId="1980">
      <pivotArea collapsedLevelsAreSubtotals="1" fieldPosition="0">
        <references count="1">
          <reference field="6" count="1">
            <x v="3"/>
          </reference>
        </references>
      </pivotArea>
    </format>
    <format dxfId="1981">
      <pivotArea dataOnly="0" labelOnly="1" fieldPosition="0">
        <references count="1">
          <reference field="6" count="1">
            <x v="3"/>
          </reference>
        </references>
      </pivotArea>
    </format>
    <format dxfId="1982">
      <pivotArea field="6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1983">
      <pivotArea dataOnly="0" fieldPosition="0">
        <references count="1">
          <reference field="6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84">
      <pivotArea dataOnly="0" fieldPosition="0">
        <references count="1">
          <reference field="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985">
      <pivotArea collapsedLevelsAreSubtotals="1" fieldPosition="0">
        <references count="2">
          <reference field="4294967294" count="1" selected="0">
            <x v="10"/>
          </reference>
          <reference field="6" count="0"/>
        </references>
      </pivotArea>
    </format>
    <format dxfId="19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8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89">
      <pivotArea collapsedLevelsAreSubtotals="1" fieldPosition="0">
        <references count="1"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90">
      <pivotArea dataOnly="0" labelOnly="1" fieldPosition="0">
        <references count="1"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9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92">
      <pivotArea dataOnly="0" fieldPosition="0">
        <references count="1">
          <reference field="6" count="1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9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94">
      <pivotArea dataOnly="0" fieldPosition="0">
        <references count="1">
          <reference field="6" count="19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995">
      <pivotArea dataOnly="0" fieldPosition="0">
        <references count="1">
          <reference field="6" count="1">
            <x v="22"/>
          </reference>
        </references>
      </pivotArea>
    </format>
    <format dxfId="1996">
      <pivotArea dataOnly="0" fieldPosition="0">
        <references count="1">
          <reference field="6" count="1">
            <x v="23"/>
          </reference>
        </references>
      </pivotArea>
    </format>
    <format dxfId="1997">
      <pivotArea dataOnly="0" fieldPosition="0">
        <references count="1">
          <reference field="6" count="1">
            <x v="25"/>
          </reference>
        </references>
      </pivotArea>
    </format>
    <format dxfId="1998">
      <pivotArea dataOnly="0" fieldPosition="0">
        <references count="1">
          <reference field="6" count="1">
            <x v="26"/>
          </reference>
        </references>
      </pivotArea>
    </format>
    <format dxfId="1999">
      <pivotArea dataOnly="0" labelOnly="1" outline="0" fieldPosition="0">
        <references count="1">
          <reference field="4294967294" count="2">
            <x v="2"/>
            <x v="5"/>
          </reference>
        </references>
      </pivotArea>
    </format>
    <format dxfId="2000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2001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2002">
      <pivotArea outline="0" fieldPosition="0">
        <references count="1">
          <reference field="4294967294" count="1">
            <x v="2"/>
          </reference>
        </references>
      </pivotArea>
    </format>
    <format dxfId="200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04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2005">
      <pivotArea dataOnly="0" labelOnly="1" outline="0" fieldPosition="0">
        <references count="1">
          <reference field="4294967294" count="4">
            <x v="6"/>
            <x v="7"/>
            <x v="8"/>
            <x v="9"/>
          </reference>
        </references>
      </pivotArea>
    </format>
    <format dxfId="2006">
      <pivotArea dataOnly="0" fieldPosition="0">
        <references count="1">
          <reference field="6" count="1">
            <x v="27"/>
          </reference>
        </references>
      </pivotArea>
    </format>
    <format dxfId="2007">
      <pivotArea dataOnly="0" fieldPosition="0">
        <references count="1">
          <reference field="6" count="1">
            <x v="28"/>
          </reference>
        </references>
      </pivotArea>
    </format>
    <format dxfId="2008">
      <pivotArea outline="0" fieldPosition="0">
        <references count="1">
          <reference field="4294967294" count="1">
            <x v="11"/>
          </reference>
        </references>
      </pivotArea>
    </format>
    <format dxfId="200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10">
      <pivotArea outline="0" fieldPosition="0">
        <references count="1">
          <reference field="4294967294" count="1">
            <x v="3"/>
          </reference>
        </references>
      </pivotArea>
    </format>
    <format dxfId="2011">
      <pivotArea outline="0" fieldPosition="0">
        <references count="1">
          <reference field="4294967294" count="1">
            <x v="4"/>
          </reference>
        </references>
      </pivotArea>
    </format>
    <format dxfId="201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013">
      <pivotArea dataOnly="0" fieldPosition="0">
        <references count="1">
          <reference field="6" count="1">
            <x v="29"/>
          </reference>
        </references>
      </pivotArea>
    </format>
    <format dxfId="2014">
      <pivotArea dataOnly="0" fieldPosition="0">
        <references count="1">
          <reference field="6" count="1">
            <x v="30"/>
          </reference>
        </references>
      </pivotArea>
    </format>
    <format dxfId="2015">
      <pivotArea dataOnly="0" fieldPosition="0">
        <references count="1">
          <reference field="6" count="1">
            <x v="32"/>
          </reference>
        </references>
      </pivotArea>
    </format>
    <format dxfId="2016">
      <pivotArea dataOnly="0" fieldPosition="0">
        <references count="1">
          <reference field="6" count="1">
            <x v="33"/>
          </reference>
        </references>
      </pivotArea>
    </format>
    <format dxfId="2017">
      <pivotArea dataOnly="0" fieldPosition="0">
        <references count="1">
          <reference field="6" count="1">
            <x v="34"/>
          </reference>
        </references>
      </pivotArea>
    </format>
    <format dxfId="2018">
      <pivotArea dataOnly="0" fieldPosition="0">
        <references count="1">
          <reference field="6" count="1">
            <x v="35"/>
          </reference>
        </references>
      </pivotArea>
    </format>
    <format dxfId="2019">
      <pivotArea dataOnly="0" fieldPosition="0">
        <references count="1">
          <reference field="6" count="1">
            <x v="36"/>
          </reference>
        </references>
      </pivotArea>
    </format>
    <format dxfId="2020">
      <pivotArea dataOnly="0" fieldPosition="0">
        <references count="1">
          <reference field="6" count="1">
            <x v="37"/>
          </reference>
        </references>
      </pivotArea>
    </format>
    <format dxfId="2021">
      <pivotArea dataOnly="0" fieldPosition="0">
        <references count="1">
          <reference field="6" count="3">
            <x v="38"/>
            <x v="39"/>
            <x v="40"/>
          </reference>
        </references>
      </pivotArea>
    </format>
    <format dxfId="2022">
      <pivotArea dataOnly="0" fieldPosition="0">
        <references count="1">
          <reference field="6" count="1">
            <x v="42"/>
          </reference>
        </references>
      </pivotArea>
    </format>
    <format dxfId="2023">
      <pivotArea dataOnly="0" fieldPosition="0">
        <references count="1">
          <reference field="6" count="2">
            <x v="45"/>
            <x v="46"/>
          </reference>
        </references>
      </pivotArea>
    </format>
    <format dxfId="2024">
      <pivotArea dataOnly="0" fieldPosition="0">
        <references count="1">
          <reference field="6" count="1">
            <x v="47"/>
          </reference>
        </references>
      </pivotArea>
    </format>
    <format dxfId="2025">
      <pivotArea collapsedLevelsAreSubtotals="1" fieldPosition="0">
        <references count="2">
          <reference field="4294967294" count="1" selected="0">
            <x v="9"/>
          </reference>
          <reference field="6" count="1">
            <x v="49"/>
          </reference>
        </references>
      </pivotArea>
    </format>
    <format dxfId="2026">
      <pivotArea dataOnly="0" fieldPosition="0">
        <references count="1">
          <reference field="6" count="2">
            <x v="48"/>
            <x v="49"/>
          </reference>
        </references>
      </pivotArea>
    </format>
    <format dxfId="2027">
      <pivotArea dataOnly="0" fieldPosition="0">
        <references count="1">
          <reference field="6" count="1">
            <x v="50"/>
          </reference>
        </references>
      </pivotArea>
    </format>
    <format dxfId="2028">
      <pivotArea dataOnly="0" fieldPosition="0">
        <references count="1">
          <reference field="6" count="1">
            <x v="51"/>
          </reference>
        </references>
      </pivotArea>
    </format>
    <format dxfId="2029">
      <pivotArea dataOnly="0" fieldPosition="0">
        <references count="1">
          <reference field="6" count="1">
            <x v="52"/>
          </reference>
        </references>
      </pivotArea>
    </format>
    <format dxfId="2030">
      <pivotArea dataOnly="0" fieldPosition="0">
        <references count="1">
          <reference field="6" count="2">
            <x v="53"/>
            <x v="54"/>
          </reference>
        </references>
      </pivotArea>
    </format>
    <format dxfId="2031">
      <pivotArea dataOnly="0" fieldPosition="0">
        <references count="1">
          <reference field="6" count="2">
            <x v="55"/>
            <x v="56"/>
          </reference>
        </references>
      </pivotArea>
    </format>
    <format dxfId="2032">
      <pivotArea dataOnly="0" fieldPosition="0">
        <references count="1">
          <reference field="6" count="1">
            <x v="57"/>
          </reference>
        </references>
      </pivotArea>
    </format>
    <format dxfId="2033">
      <pivotArea collapsedLevelsAreSubtotals="1" fieldPosition="0">
        <references count="2">
          <reference field="4294967294" count="1" selected="0">
            <x v="0"/>
          </reference>
          <reference field="6" count="4">
            <x v="9"/>
            <x v="10"/>
            <x v="11"/>
            <x v="12"/>
          </reference>
        </references>
      </pivotArea>
    </format>
    <format dxfId="2034">
      <pivotArea dataOnly="0" fieldPosition="0">
        <references count="1">
          <reference field="6" count="2">
            <x v="59"/>
            <x v="60"/>
          </reference>
        </references>
      </pivotArea>
    </format>
    <format dxfId="2035">
      <pivotArea dataOnly="0" fieldPosition="0">
        <references count="1">
          <reference field="6" count="2">
            <x v="64"/>
            <x v="65"/>
          </reference>
        </references>
      </pivotArea>
    </format>
    <format dxfId="2036">
      <pivotArea dataOnly="0" fieldPosition="0">
        <references count="1">
          <reference field="6" count="2">
            <x v="61"/>
            <x v="6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10E20-1D25-49D0-A3EF-017B0DA1DF8C}" name="PivotTable13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O119:CF127" firstHeaderRow="0" firstDataRow="1" firstDataCol="1"/>
  <pivotFields count="48">
    <pivotField axis="axisRow" showAll="0">
      <items count="4">
        <item h="1" x="1"/>
        <item x="0"/>
        <item h="1" x="2"/>
        <item t="default"/>
      </items>
    </pivotField>
    <pivotField showAll="0">
      <items count="20">
        <item h="1" x="1"/>
        <item h="1" x="2"/>
        <item h="1" x="7"/>
        <item h="1" x="4"/>
        <item h="1" x="6"/>
        <item x="0"/>
        <item h="1" x="5"/>
        <item h="1" x="3"/>
        <item h="1" m="1" x="18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showAll="0"/>
    <pivotField showAll="0"/>
    <pivotField axis="axisRow" showAll="0" sortType="ascending">
      <items count="127">
        <item h="1" x="107"/>
        <item h="1" m="1" x="123"/>
        <item h="1" x="111"/>
        <item h="1" x="106"/>
        <item h="1" x="14"/>
        <item h="1" x="88"/>
        <item x="53"/>
        <item h="1" x="109"/>
        <item h="1" x="103"/>
        <item h="1" x="18"/>
        <item h="1" x="112"/>
        <item h="1" x="30"/>
        <item h="1" x="78"/>
        <item h="1" x="21"/>
        <item h="1" x="40"/>
        <item h="1" x="82"/>
        <item h="1" x="95"/>
        <item h="1" x="117"/>
        <item h="1" x="9"/>
        <item h="1" x="68"/>
        <item h="1" x="94"/>
        <item x="72"/>
        <item h="1" x="8"/>
        <item h="1" x="26"/>
        <item x="73"/>
        <item h="1" x="59"/>
        <item h="1" x="16"/>
        <item h="1" x="114"/>
        <item h="1" x="34"/>
        <item h="1" x="35"/>
        <item h="1" x="120"/>
        <item h="1" x="42"/>
        <item h="1" x="63"/>
        <item h="1" x="49"/>
        <item h="1" x="77"/>
        <item h="1" x="20"/>
        <item h="1" m="1" x="124"/>
        <item h="1" x="38"/>
        <item h="1" x="81"/>
        <item h="1" x="97"/>
        <item h="1" x="7"/>
        <item h="1" x="67"/>
        <item h="1" x="96"/>
        <item h="1" x="1"/>
        <item h="1" x="65"/>
        <item h="1" x="47"/>
        <item h="1" x="25"/>
        <item x="86"/>
        <item h="1" x="6"/>
        <item h="1" x="24"/>
        <item x="71"/>
        <item h="1" x="85"/>
        <item h="1" x="58"/>
        <item h="1" x="33"/>
        <item h="1" x="15"/>
        <item h="1" x="115"/>
        <item h="1" x="32"/>
        <item h="1" x="46"/>
        <item h="1" x="50"/>
        <item h="1" x="44"/>
        <item h="1" x="62"/>
        <item h="1" x="51"/>
        <item h="1" x="101"/>
        <item h="1" x="76"/>
        <item h="1" x="19"/>
        <item h="1" x="80"/>
        <item h="1" x="39"/>
        <item h="1" x="37"/>
        <item x="70"/>
        <item h="1" x="66"/>
        <item h="1" x="43"/>
        <item h="1" x="100"/>
        <item h="1" x="89"/>
        <item h="1" x="4"/>
        <item h="1" x="54"/>
        <item h="1" x="98"/>
        <item x="55"/>
        <item h="1" x="3"/>
        <item h="1" x="23"/>
        <item h="1" x="90"/>
        <item x="87"/>
        <item h="1" x="110"/>
        <item h="1" x="84"/>
        <item h="1" x="57"/>
        <item h="1" x="105"/>
        <item h="1" x="108"/>
        <item h="1" x="13"/>
        <item h="1" x="116"/>
        <item h="1" x="12"/>
        <item h="1" x="29"/>
        <item h="1" x="2"/>
        <item h="1" x="79"/>
        <item h="1" x="22"/>
        <item h="1" x="61"/>
        <item h="1" x="52"/>
        <item h="1" m="1" x="125"/>
        <item x="75"/>
        <item h="1" x="41"/>
        <item h="1" x="83"/>
        <item h="1" x="93"/>
        <item h="1" x="92"/>
        <item h="1" x="11"/>
        <item h="1" x="69"/>
        <item h="1" x="91"/>
        <item h="1" m="1" x="122"/>
        <item h="1" x="28"/>
        <item x="56"/>
        <item h="1" x="10"/>
        <item h="1" x="27"/>
        <item x="74"/>
        <item h="1" x="60"/>
        <item h="1" x="104"/>
        <item h="1" x="36"/>
        <item h="1" x="17"/>
        <item h="1" x="113"/>
        <item h="1" x="31"/>
        <item h="1" x="0"/>
        <item h="1" x="64"/>
        <item h="1" x="48"/>
        <item h="1" x="5"/>
        <item h="1" x="45"/>
        <item h="1" x="99"/>
        <item h="1" x="102"/>
        <item h="1" x="118"/>
        <item h="1" x="119"/>
        <item h="1" m="1" x="12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numFmtId="41" showAll="0"/>
    <pivotField dataField="1" showAll="0"/>
    <pivotField dataField="1" showAll="0"/>
    <pivotField dataField="1" showAll="0"/>
    <pivotField showAll="0"/>
    <pivotField dataField="1"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9"/>
  </rowFields>
  <rowItems count="8">
    <i>
      <x v="1"/>
    </i>
    <i r="1">
      <x v="6"/>
    </i>
    <i r="1">
      <x v="21"/>
    </i>
    <i r="1">
      <x v="47"/>
    </i>
    <i r="1">
      <x v="76"/>
    </i>
    <i r="1">
      <x v="80"/>
    </i>
    <i r="1">
      <x v="10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Total Cups Sold" fld="11" baseField="0" baseItem="0" numFmtId="166"/>
    <dataField name="Sum of Total Revenue Sharing % (Weekly)" fld="25" baseField="0" baseItem="0" numFmtId="166"/>
    <dataField name="Sum of Rider Penalty (Claim, Other Denda to Riders)" fld="29" baseField="0" baseItem="0" numFmtId="166"/>
    <dataField name="Sum of Total Subsidi Molis KSJ (Monthly)" fld="27" baseField="0" baseItem="0" numFmtId="166"/>
    <dataField name="Sum of Total Potongan Molis (Weekly) " fld="26" baseField="0" baseItem="0" numFmtId="166"/>
    <dataField name="Sum of Total Revenue" fld="30" baseField="0" baseItem="0" numFmtId="166"/>
    <dataField name="Sum of Total Selling Comission/Sales (Weekly)" fld="13" baseField="0" baseItem="0" numFmtId="166"/>
    <dataField name="Sum of Total Daily Incentive (Weekly)" fld="14" baseField="0" baseItem="0" numFmtId="166"/>
    <dataField name="Sum of Total 26 Days Attendance Bonus (Monthly)" fld="15" baseField="0" baseItem="0" numFmtId="166"/>
    <dataField name="Sum of Total Selling 20Mio Bonus (Monthly)" fld="17" baseField="0" baseItem="0"/>
    <dataField name="Sum of Total Income Sales (Weekly)" fld="19" baseField="0" baseItem="0" numFmtId="166"/>
    <dataField name="Sum of Manpower (Korlap)" fld="20" baseField="0" baseItem="0" numFmtId="166"/>
    <dataField name="Sum of Total Cost Molis (Weekly)" fld="21" baseField="0" baseItem="0" numFmtId="166"/>
    <dataField name="Sum of Cost Claim" fld="22" baseField="0" baseItem="0" numFmtId="166"/>
    <dataField name="Sum of Total Cost" fld="39" baseField="0" baseItem="0" numFmtId="166"/>
    <dataField name="Sum of Profit" fld="31" baseField="0" baseItem="0" numFmtId="166"/>
    <dataField name="Sum of Profit %" fld="37" baseField="0" baseItem="0" numFmtId="9"/>
  </dataFields>
  <formats count="15">
    <format dxfId="1952">
      <pivotArea outline="0" fieldPosition="0">
        <references count="1">
          <reference field="4294967294" count="1">
            <x v="16"/>
          </reference>
        </references>
      </pivotArea>
    </format>
    <format dxfId="1953">
      <pivotArea field="1" type="button" dataOnly="0" labelOnly="1" outline="0"/>
    </format>
    <format dxfId="1954">
      <pivotArea field="1" type="button" dataOnly="0" labelOnly="1" outline="0"/>
    </format>
    <format dxfId="195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56">
      <pivotArea collapsedLevelsAreSubtotals="1" fieldPosition="0">
        <references count="2">
          <reference field="4294967294" count="1" selected="0">
            <x v="16"/>
          </reference>
          <reference field="0" count="1">
            <x v="1"/>
          </reference>
        </references>
      </pivotArea>
    </format>
    <format dxfId="1957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195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959">
      <pivotArea outline="0" fieldPosition="0">
        <references count="1">
          <reference field="4294967294" count="1">
            <x v="1"/>
          </reference>
        </references>
      </pivotArea>
    </format>
    <format dxfId="1960">
      <pivotArea field="0" type="button" dataOnly="0" labelOnly="1" outline="0" axis="axisRow" fieldPosition="0"/>
    </format>
    <format dxfId="1961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962">
      <pivotArea field="0" type="button" dataOnly="0" labelOnly="1" outline="0" axis="axisRow" fieldPosition="0"/>
    </format>
    <format dxfId="1963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964">
      <pivotArea outline="0" collapsedLevelsAreSubtotals="1" fieldPosition="0">
        <references count="1">
          <reference field="4294967294" count="1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965">
      <pivotArea dataOnly="0" labelOnly="1" outline="0" fieldPosition="0">
        <references count="1">
          <reference field="4294967294" count="9"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966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70302-3102-0F47-AFC5-7518792F0538}" name="PivotTable28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S6:GE62" firstHeaderRow="0" firstDataRow="1" firstDataCol="1" rowPageCount="2" colPageCount="1"/>
  <pivotFields count="48"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axis="axisPage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22"/>
        <item x="17"/>
        <item x="14"/>
        <item x="6"/>
        <item x="16"/>
        <item x="4"/>
        <item x="20"/>
        <item x="18"/>
        <item m="1" x="24"/>
        <item x="23"/>
        <item t="default"/>
      </items>
    </pivotField>
    <pivotField showAll="0"/>
    <pivotField showAll="0"/>
    <pivotField showAll="0"/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1"/>
        <item x="10"/>
        <item x="9"/>
        <item x="8"/>
        <item h="1" x="7"/>
        <item h="1" x="37"/>
        <item x="16"/>
        <item x="15"/>
        <item x="14"/>
        <item x="13"/>
        <item x="12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6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9"/>
    </i>
    <i>
      <x v="50"/>
    </i>
    <i>
      <x v="51"/>
    </i>
    <i>
      <x v="52"/>
    </i>
    <i>
      <x v="53"/>
    </i>
    <i>
      <x v="67"/>
    </i>
    <i>
      <x v="69"/>
    </i>
    <i>
      <x v="7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0" hier="-1"/>
    <pageField fld="2" hier="-1"/>
  </pageFields>
  <dataFields count="12">
    <dataField name="Sum of Total Cups Sold" fld="11" baseField="0" baseItem="0" numFmtId="3"/>
    <dataField name="Sum of Total Selling (Clients Revenue)" fld="12" baseField="0" baseItem="0" numFmtId="41"/>
    <dataField name="Sum of Total Revenue Sharing % (Weekly)" fld="25" baseField="0" baseItem="0" numFmtId="3"/>
    <dataField name="Sum of Total Subsidi Molis KSJ (Monthly)" fld="27" baseField="6" baseItem="0" numFmtId="164"/>
    <dataField name="Sum of Total Potongan Molis (Weekly) " fld="26" baseField="6" baseItem="0" numFmtId="164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41"/>
    <dataField name="Sum of Avg Price per Cup" fld="46" baseField="6" baseItem="0" numFmtId="164"/>
  </dataFields>
  <formats count="61">
    <format dxfId="1891">
      <pivotArea field="6" type="button" dataOnly="0" labelOnly="1" outline="0" axis="axisRow" fieldPosition="0"/>
    </format>
    <format dxfId="1892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893">
      <pivotArea field="6" type="button" dataOnly="0" labelOnly="1" outline="0" axis="axisRow" fieldPosition="0"/>
    </format>
    <format dxfId="1894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895">
      <pivotArea field="6" type="button" dataOnly="0" labelOnly="1" outline="0" axis="axisRow" fieldPosition="0"/>
    </format>
    <format dxfId="1896">
      <pivotArea dataOnly="0" labelOnly="1" outline="0" fieldPosition="0">
        <references count="1">
          <reference field="4294967294" count="3">
            <x v="0"/>
            <x v="5"/>
            <x v="9"/>
          </reference>
        </references>
      </pivotArea>
    </format>
    <format dxfId="189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898">
      <pivotArea collapsedLevelsAreSubtotals="1" fieldPosition="0">
        <references count="1">
          <reference field="6" count="1">
            <x v="4"/>
          </reference>
        </references>
      </pivotArea>
    </format>
    <format dxfId="1899">
      <pivotArea dataOnly="0" labelOnly="1" fieldPosition="0">
        <references count="1">
          <reference field="6" count="1">
            <x v="4"/>
          </reference>
        </references>
      </pivotArea>
    </format>
    <format dxfId="1900">
      <pivotArea collapsedLevelsAreSubtotals="1" fieldPosition="0">
        <references count="1">
          <reference field="6" count="1">
            <x v="8"/>
          </reference>
        </references>
      </pivotArea>
    </format>
    <format dxfId="1901">
      <pivotArea dataOnly="0" labelOnly="1" fieldPosition="0">
        <references count="1">
          <reference field="6" count="1">
            <x v="8"/>
          </reference>
        </references>
      </pivotArea>
    </format>
    <format dxfId="1902">
      <pivotArea collapsedLevelsAreSubtotals="1" fieldPosition="0">
        <references count="1">
          <reference field="6" count="1">
            <x v="7"/>
          </reference>
        </references>
      </pivotArea>
    </format>
    <format dxfId="1903">
      <pivotArea dataOnly="0" labelOnly="1" fieldPosition="0">
        <references count="1">
          <reference field="6" count="1">
            <x v="7"/>
          </reference>
        </references>
      </pivotArea>
    </format>
    <format dxfId="1904">
      <pivotArea collapsedLevelsAreSubtotals="1" fieldPosition="0">
        <references count="1">
          <reference field="6" count="1">
            <x v="3"/>
          </reference>
        </references>
      </pivotArea>
    </format>
    <format dxfId="1905">
      <pivotArea dataOnly="0" labelOnly="1" fieldPosition="0">
        <references count="1">
          <reference field="6" count="1">
            <x v="3"/>
          </reference>
        </references>
      </pivotArea>
    </format>
    <format dxfId="1906">
      <pivotArea field="6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1907">
      <pivotArea dataOnly="0" fieldPosition="0">
        <references count="1">
          <reference field="6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08">
      <pivotArea dataOnly="0" fieldPosition="0">
        <references count="1">
          <reference field="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909">
      <pivotArea collapsedLevelsAreSubtotals="1" fieldPosition="0">
        <references count="2">
          <reference field="4294967294" count="1" selected="0">
            <x v="10"/>
          </reference>
          <reference field="6" count="0"/>
        </references>
      </pivotArea>
    </format>
    <format dxfId="19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1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13">
      <pivotArea collapsedLevelsAreSubtotals="1" fieldPosition="0">
        <references count="1"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14">
      <pivotArea dataOnly="0" labelOnly="1" fieldPosition="0">
        <references count="1"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16">
      <pivotArea dataOnly="0" fieldPosition="0">
        <references count="1">
          <reference field="6" count="1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9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18">
      <pivotArea dataOnly="0" fieldPosition="0">
        <references count="1">
          <reference field="6" count="19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919">
      <pivotArea dataOnly="0" fieldPosition="0">
        <references count="1">
          <reference field="6" count="1">
            <x v="22"/>
          </reference>
        </references>
      </pivotArea>
    </format>
    <format dxfId="1920">
      <pivotArea dataOnly="0" fieldPosition="0">
        <references count="1">
          <reference field="6" count="1">
            <x v="23"/>
          </reference>
        </references>
      </pivotArea>
    </format>
    <format dxfId="1921">
      <pivotArea dataOnly="0" fieldPosition="0">
        <references count="1">
          <reference field="6" count="1">
            <x v="25"/>
          </reference>
        </references>
      </pivotArea>
    </format>
    <format dxfId="1922">
      <pivotArea dataOnly="0" fieldPosition="0">
        <references count="1">
          <reference field="6" count="1">
            <x v="26"/>
          </reference>
        </references>
      </pivotArea>
    </format>
    <format dxfId="1923">
      <pivotArea dataOnly="0" labelOnly="1" outline="0" fieldPosition="0">
        <references count="1">
          <reference field="4294967294" count="2">
            <x v="2"/>
            <x v="5"/>
          </reference>
        </references>
      </pivotArea>
    </format>
    <format dxfId="1924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925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1926">
      <pivotArea outline="0" fieldPosition="0">
        <references count="1">
          <reference field="4294967294" count="1">
            <x v="2"/>
          </reference>
        </references>
      </pivotArea>
    </format>
    <format dxfId="19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2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929">
      <pivotArea dataOnly="0" labelOnly="1" outline="0" fieldPosition="0">
        <references count="1">
          <reference field="4294967294" count="4">
            <x v="6"/>
            <x v="7"/>
            <x v="8"/>
            <x v="9"/>
          </reference>
        </references>
      </pivotArea>
    </format>
    <format dxfId="1930">
      <pivotArea dataOnly="0" fieldPosition="0">
        <references count="1">
          <reference field="6" count="1">
            <x v="27"/>
          </reference>
        </references>
      </pivotArea>
    </format>
    <format dxfId="1931">
      <pivotArea dataOnly="0" fieldPosition="0">
        <references count="1">
          <reference field="6" count="1">
            <x v="28"/>
          </reference>
        </references>
      </pivotArea>
    </format>
    <format dxfId="1932">
      <pivotArea outline="0" fieldPosition="0">
        <references count="1">
          <reference field="4294967294" count="1">
            <x v="11"/>
          </reference>
        </references>
      </pivotArea>
    </format>
    <format dxfId="193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934">
      <pivotArea outline="0" fieldPosition="0">
        <references count="1">
          <reference field="4294967294" count="1">
            <x v="3"/>
          </reference>
        </references>
      </pivotArea>
    </format>
    <format dxfId="1935">
      <pivotArea outline="0" fieldPosition="0">
        <references count="1">
          <reference field="4294967294" count="1">
            <x v="4"/>
          </reference>
        </references>
      </pivotArea>
    </format>
    <format dxfId="193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937">
      <pivotArea dataOnly="0" fieldPosition="0">
        <references count="1">
          <reference field="6" count="1">
            <x v="29"/>
          </reference>
        </references>
      </pivotArea>
    </format>
    <format dxfId="1938">
      <pivotArea dataOnly="0" fieldPosition="0">
        <references count="1">
          <reference field="6" count="1">
            <x v="30"/>
          </reference>
        </references>
      </pivotArea>
    </format>
    <format dxfId="1939">
      <pivotArea dataOnly="0" fieldPosition="0">
        <references count="1">
          <reference field="6" count="1">
            <x v="32"/>
          </reference>
        </references>
      </pivotArea>
    </format>
    <format dxfId="1940">
      <pivotArea dataOnly="0" fieldPosition="0">
        <references count="1">
          <reference field="6" count="1">
            <x v="33"/>
          </reference>
        </references>
      </pivotArea>
    </format>
    <format dxfId="1941">
      <pivotArea dataOnly="0" fieldPosition="0">
        <references count="1">
          <reference field="6" count="1">
            <x v="34"/>
          </reference>
        </references>
      </pivotArea>
    </format>
    <format dxfId="1942">
      <pivotArea dataOnly="0" fieldPosition="0">
        <references count="1">
          <reference field="6" count="1">
            <x v="35"/>
          </reference>
        </references>
      </pivotArea>
    </format>
    <format dxfId="1943">
      <pivotArea dataOnly="0" fieldPosition="0">
        <references count="1">
          <reference field="6" count="1">
            <x v="36"/>
          </reference>
        </references>
      </pivotArea>
    </format>
    <format dxfId="1944">
      <pivotArea dataOnly="0" fieldPosition="0">
        <references count="1">
          <reference field="6" count="1">
            <x v="37"/>
          </reference>
        </references>
      </pivotArea>
    </format>
    <format dxfId="1945">
      <pivotArea dataOnly="0" fieldPosition="0">
        <references count="1">
          <reference field="6" count="3">
            <x v="38"/>
            <x v="39"/>
            <x v="40"/>
          </reference>
        </references>
      </pivotArea>
    </format>
    <format dxfId="1946">
      <pivotArea dataOnly="0" fieldPosition="0">
        <references count="1">
          <reference field="6" count="1">
            <x v="42"/>
          </reference>
        </references>
      </pivotArea>
    </format>
    <format dxfId="1947">
      <pivotArea dataOnly="0" fieldPosition="0">
        <references count="1">
          <reference field="6" count="1">
            <x v="52"/>
          </reference>
        </references>
      </pivotArea>
    </format>
    <format dxfId="1948">
      <pivotArea dataOnly="0" fieldPosition="0">
        <references count="1">
          <reference field="6" count="2">
            <x v="49"/>
            <x v="50"/>
          </reference>
        </references>
      </pivotArea>
    </format>
    <format dxfId="1949">
      <pivotArea dataOnly="0" fieldPosition="0">
        <references count="1">
          <reference field="6" count="1">
            <x v="53"/>
          </reference>
        </references>
      </pivotArea>
    </format>
    <format dxfId="1950">
      <pivotArea dataOnly="0" fieldPosition="0">
        <references count="1">
          <reference field="6" count="1">
            <x v="51"/>
          </reference>
        </references>
      </pivotArea>
    </format>
    <format dxfId="1951">
      <pivotArea collapsedLevelsAreSubtotals="1" fieldPosition="0">
        <references count="2">
          <reference field="4294967294" count="1" selected="0">
            <x v="9"/>
          </reference>
          <reference field="6" count="1">
            <x v="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24E3-9B90-294B-BCB3-0CBB24903974}" name="PivotTable1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O193" firstHeaderRow="0" firstDataRow="1" firstDataCol="1" rowPageCount="2" colPageCount="1"/>
  <pivotFields count="48">
    <pivotField axis="axisPage" multipleItemSelectionAllowed="1" showAll="0">
      <items count="4">
        <item h="1" x="1"/>
        <item x="0"/>
        <item x="2"/>
        <item t="default"/>
      </items>
    </pivotField>
    <pivotField axis="axisRow" showAll="0">
      <items count="20">
        <item x="0"/>
        <item sd="0" x="1"/>
        <item x="9"/>
        <item sd="0" x="2"/>
        <item x="4"/>
        <item sd="0" x="11"/>
        <item sd="0" x="7"/>
        <item sd="0" x="8"/>
        <item sd="0" x="6"/>
        <item sd="0" x="10"/>
        <item sd="0" x="5"/>
        <item sd="0" x="3"/>
        <item h="1" sd="0" m="1" x="18"/>
        <item x="12"/>
        <item sd="0" x="13"/>
        <item sd="0" x="14"/>
        <item sd="0" x="15"/>
        <item x="16"/>
        <item sd="0" x="17"/>
        <item t="default"/>
      </items>
    </pivotField>
    <pivotField showAll="0" sortType="descending">
      <items count="26">
        <item sd="0" x="2"/>
        <item x="3"/>
        <item sd="0" x="8"/>
        <item x="5"/>
        <item x="7"/>
        <item x="0"/>
        <item sd="0" x="6"/>
        <item x="4"/>
        <item h="1" sd="0" m="1" x="24"/>
        <item x="13"/>
        <item x="14"/>
        <item x="12"/>
        <item h="1" x="1"/>
        <item h="1" x="9"/>
        <item h="1" x="10"/>
        <item h="1" x="15"/>
        <item h="1" x="16"/>
        <item h="1" x="17"/>
        <item h="1" x="18"/>
        <item h="1" x="11"/>
        <item h="1" x="19"/>
        <item h="1" x="20"/>
        <item h="1" x="21"/>
        <item h="1" x="22"/>
        <item h="1" x="23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showAll="0"/>
    <pivotField showAll="0"/>
    <pivotField axis="axisPage" multipleItemSelectionAllowed="1" showAll="0">
      <items count="8">
        <item x="1"/>
        <item x="0"/>
        <item x="2"/>
        <item x="4"/>
        <item x="3"/>
        <item m="1" x="6"/>
        <item x="5"/>
        <item t="default"/>
      </items>
    </pivotField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h="1" x="7"/>
        <item h="1" x="37"/>
        <item x="16"/>
        <item x="15"/>
        <item x="14"/>
        <item x="13"/>
        <item x="12"/>
        <item x="11"/>
        <item x="10"/>
        <item x="9"/>
        <item x="8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f="1" x="69"/>
        <item x="67"/>
        <item f="1" x="70"/>
        <item x="68"/>
        <item f="1" x="71"/>
        <item t="default"/>
      </items>
    </pivotField>
    <pivotField showAll="0"/>
    <pivotField showAll="0"/>
    <pivotField showAll="0"/>
    <pivotField dataField="1" numFmtId="41" showAll="0"/>
    <pivotField dataField="1" numFmtId="4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1"/>
    <field x="6"/>
  </rowFields>
  <rowItems count="18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1"/>
    </i>
    <i>
      <x v="1"/>
    </i>
    <i>
      <x v="2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69"/>
    </i>
    <i r="1">
      <x v="71"/>
    </i>
    <i>
      <x v="3"/>
    </i>
    <i>
      <x v="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69"/>
    </i>
    <i r="1">
      <x v="71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9"/>
    </i>
    <i r="1">
      <x v="71"/>
    </i>
    <i>
      <x v="14"/>
    </i>
    <i>
      <x v="15"/>
    </i>
    <i>
      <x v="16"/>
    </i>
    <i>
      <x v="17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9"/>
    </i>
    <i r="1">
      <x v="71"/>
    </i>
    <i>
      <x v="18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5" hier="-1"/>
    <pageField fld="0" hier="-1"/>
  </pageFields>
  <dataFields count="13">
    <dataField name="Sum of Total Cups Sold" fld="11" baseField="0" baseItem="0" numFmtId="41"/>
    <dataField name="Max of Total Active Riders" fld="10" subtotal="max" baseField="0" baseItem="0" numFmtId="41"/>
    <dataField name="Sum of Total Selling (Clients Revenue)" fld="12" baseField="0" baseItem="0" numFmtId="3"/>
    <dataField name="Sum of Total Revenue Sharing % (Weekly)" fld="25" baseField="1" baseItem="0" numFmtId="164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1" baseItem="0" numFmtId="164"/>
  </dataFields>
  <formats count="174">
    <format dxfId="17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19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720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72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23">
      <pivotArea field="2" type="button" dataOnly="0" labelOnly="1" outline="0"/>
    </format>
    <format dxfId="1724">
      <pivotArea dataOnly="0" labelOnly="1" outline="0" fieldPosition="0">
        <references count="1">
          <reference field="4294967294" count="5">
            <x v="0"/>
            <x v="6"/>
            <x v="7"/>
            <x v="8"/>
            <x v="10"/>
          </reference>
        </references>
      </pivotArea>
    </format>
    <format dxfId="1725">
      <pivotArea field="2" type="button" dataOnly="0" labelOnly="1" outline="0"/>
    </format>
    <format dxfId="1726">
      <pivotArea dataOnly="0" labelOnly="1" outline="0" fieldPosition="0">
        <references count="1">
          <reference field="4294967294" count="5">
            <x v="0"/>
            <x v="6"/>
            <x v="7"/>
            <x v="8"/>
            <x v="10"/>
          </reference>
        </references>
      </pivotArea>
    </format>
    <format dxfId="1727">
      <pivotArea outline="0" fieldPosition="0">
        <references count="1">
          <reference field="4294967294" count="1">
            <x v="11"/>
          </reference>
        </references>
      </pivotArea>
    </format>
    <format dxfId="172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2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3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31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732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1733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734">
      <pivotArea dataOnly="0" fieldPosition="0">
        <references count="1">
          <reference field="1" count="1">
            <x v="0"/>
          </reference>
        </references>
      </pivotArea>
    </format>
    <format dxfId="1735">
      <pivotArea dataOnly="0" fieldPosition="0">
        <references count="1">
          <reference field="1" count="1">
            <x v="3"/>
          </reference>
        </references>
      </pivotArea>
    </format>
    <format dxfId="1736">
      <pivotArea dataOnly="0" fieldPosition="0">
        <references count="1">
          <reference field="1" count="1">
            <x v="8"/>
          </reference>
        </references>
      </pivotArea>
    </format>
    <format dxfId="1737">
      <pivotArea dataOnly="0" fieldPosition="0">
        <references count="1">
          <reference field="1" count="1">
            <x v="4"/>
          </reference>
        </references>
      </pivotArea>
    </format>
    <format dxfId="1738">
      <pivotArea dataOnly="0" fieldPosition="0">
        <references count="1">
          <reference field="1" count="1">
            <x v="6"/>
          </reference>
        </references>
      </pivotArea>
    </format>
    <format dxfId="1739">
      <pivotArea dataOnly="0" fieldPosition="0">
        <references count="1">
          <reference field="1" count="1">
            <x v="10"/>
          </reference>
        </references>
      </pivotArea>
    </format>
    <format dxfId="1740">
      <pivotArea dataOnly="0" fieldPosition="0">
        <references count="1">
          <reference field="1" count="1">
            <x v="9"/>
          </reference>
        </references>
      </pivotArea>
    </format>
    <format dxfId="1741">
      <pivotArea dataOnly="0" fieldPosition="0">
        <references count="1">
          <reference field="1" count="1">
            <x v="1"/>
          </reference>
        </references>
      </pivotArea>
    </format>
    <format dxfId="1742">
      <pivotArea dataOnly="0" fieldPosition="0">
        <references count="1">
          <reference field="1" count="1">
            <x v="11"/>
          </reference>
        </references>
      </pivotArea>
    </format>
    <format dxfId="1743">
      <pivotArea dataOnly="0" fieldPosition="0">
        <references count="1">
          <reference field="1" count="1">
            <x v="2"/>
          </reference>
        </references>
      </pivotArea>
    </format>
    <format dxfId="1744">
      <pivotArea dataOnly="0" fieldPosition="0">
        <references count="1">
          <reference field="1" count="1">
            <x v="7"/>
          </reference>
        </references>
      </pivotArea>
    </format>
    <format dxfId="1745">
      <pivotArea dataOnly="0" fieldPosition="0">
        <references count="1">
          <reference field="1" count="1">
            <x v="5"/>
          </reference>
        </references>
      </pivotArea>
    </format>
    <format dxfId="17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47">
      <pivotArea outline="0" fieldPosition="0">
        <references count="1">
          <reference field="4294967294" count="1">
            <x v="2"/>
          </reference>
        </references>
      </pivotArea>
    </format>
    <format dxfId="1748">
      <pivotArea dataOnly="0" fieldPosition="0">
        <references count="1">
          <reference field="6" count="1">
            <x v="23"/>
          </reference>
        </references>
      </pivotArea>
    </format>
    <format dxfId="1749">
      <pivotArea dataOnly="0" fieldPosition="0">
        <references count="1">
          <reference field="6" count="1">
            <x v="22"/>
          </reference>
        </references>
      </pivotArea>
    </format>
    <format dxfId="1750">
      <pivotArea dataOnly="0" fieldPosition="0">
        <references count="1">
          <reference field="1" count="1">
            <x v="13"/>
          </reference>
        </references>
      </pivotArea>
    </format>
    <format dxfId="1751">
      <pivotArea dataOnly="0" fieldPosition="0">
        <references count="1">
          <reference field="1" count="1">
            <x v="13"/>
          </reference>
        </references>
      </pivotArea>
    </format>
    <format dxfId="1752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1753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754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1"/>
          </reference>
        </references>
      </pivotArea>
    </format>
    <format dxfId="1755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2"/>
          </reference>
        </references>
      </pivotArea>
    </format>
    <format dxfId="1756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3"/>
          </reference>
        </references>
      </pivotArea>
    </format>
    <format dxfId="175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58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1">
            <x v="23"/>
          </reference>
        </references>
      </pivotArea>
    </format>
    <format dxfId="1759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1">
            <x v="22"/>
          </reference>
        </references>
      </pivotArea>
    </format>
    <format dxfId="1760">
      <pivotArea collapsedLevelsAreSubtotals="1" fieldPosition="0">
        <references count="3">
          <reference field="4294967294" count="6" selected="0">
            <x v="2"/>
            <x v="3"/>
            <x v="6"/>
            <x v="7"/>
            <x v="8"/>
            <x v="10"/>
          </reference>
          <reference field="1" count="1" selected="0">
            <x v="13"/>
          </reference>
          <reference field="6" count="1">
            <x v="23"/>
          </reference>
        </references>
      </pivotArea>
    </format>
    <format dxfId="1761">
      <pivotArea dataOnly="0" fieldPosition="0">
        <references count="1">
          <reference field="6" count="1">
            <x v="22"/>
          </reference>
        </references>
      </pivotArea>
    </format>
    <format dxfId="1762">
      <pivotArea dataOnly="0" fieldPosition="0">
        <references count="1">
          <reference field="6" count="1">
            <x v="24"/>
          </reference>
        </references>
      </pivotArea>
    </format>
    <format dxfId="1763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4"/>
          </reference>
        </references>
      </pivotArea>
    </format>
    <format dxfId="1764">
      <pivotArea collapsedLevelsAreSubtotals="1" fieldPosition="0">
        <references count="3">
          <reference field="4294967294" count="8" selected="0">
            <x v="0"/>
            <x v="2"/>
            <x v="3"/>
            <x v="4"/>
            <x v="6"/>
            <x v="7"/>
            <x v="8"/>
            <x v="10"/>
          </reference>
          <reference field="1" count="1" selected="0">
            <x v="13"/>
          </reference>
          <reference field="6" count="1">
            <x v="24"/>
          </reference>
        </references>
      </pivotArea>
    </format>
    <format dxfId="1765">
      <pivotArea field="1" type="button" dataOnly="0" labelOnly="1" outline="0" axis="axisRow" fieldPosition="0"/>
    </format>
    <format dxfId="1766">
      <pivotArea dataOnly="0" labelOnly="1" outline="0" fieldPosition="0">
        <references count="1">
          <reference field="4294967294" count="9">
            <x v="0"/>
            <x v="2"/>
            <x v="3"/>
            <x v="4"/>
            <x v="6"/>
            <x v="7"/>
            <x v="8"/>
            <x v="10"/>
            <x v="11"/>
          </reference>
        </references>
      </pivotArea>
    </format>
    <format dxfId="1767">
      <pivotArea outline="0" fieldPosition="0">
        <references count="1">
          <reference field="4294967294" count="1">
            <x v="4"/>
          </reference>
        </references>
      </pivotArea>
    </format>
    <format dxfId="176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69">
      <pivotArea dataOnly="0" fieldPosition="0">
        <references count="1">
          <reference field="6" count="1">
            <x v="23"/>
          </reference>
        </references>
      </pivotArea>
    </format>
    <format dxfId="1770">
      <pivotArea collapsedLevelsAreSubtotals="1" fieldPosition="0">
        <references count="2">
          <reference field="4294967294" count="1" selected="0">
            <x v="3"/>
          </reference>
          <reference field="1" count="1">
            <x v="2"/>
          </reference>
        </references>
      </pivotArea>
    </format>
    <format dxfId="1771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2"/>
          </reference>
          <reference field="6" count="13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772">
      <pivotArea collapsedLevelsAreSubtotals="1" fieldPosition="0">
        <references count="2">
          <reference field="4294967294" count="1" selected="0">
            <x v="3"/>
          </reference>
          <reference field="1" count="1">
            <x v="3"/>
          </reference>
        </references>
      </pivotArea>
    </format>
    <format dxfId="1773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2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1774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7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76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2">
            <x v="24"/>
            <x v="25"/>
          </reference>
        </references>
      </pivotArea>
    </format>
    <format dxfId="1777">
      <pivotArea collapsedLevelsAreSubtotals="1" fieldPosition="0">
        <references count="2">
          <reference field="4294967294" count="1" selected="0">
            <x v="3"/>
          </reference>
          <reference field="1" count="1">
            <x v="4"/>
          </reference>
        </references>
      </pivotArea>
    </format>
    <format dxfId="1778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4"/>
          </reference>
          <reference field="6" count="2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779">
      <pivotArea collapsedLevelsAreSubtotals="1" fieldPosition="0">
        <references count="2">
          <reference field="4294967294" count="1" selected="0">
            <x v="3"/>
          </reference>
          <reference field="1" count="1">
            <x v="5"/>
          </reference>
        </references>
      </pivotArea>
    </format>
    <format dxfId="1780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5"/>
          </reference>
          <reference field="6" count="4">
            <x v="18"/>
            <x v="19"/>
            <x v="20"/>
            <x v="21"/>
          </reference>
        </references>
      </pivotArea>
    </format>
    <format dxfId="1781">
      <pivotArea collapsedLevelsAreSubtotals="1" fieldPosition="0">
        <references count="2">
          <reference field="4294967294" count="1" selected="0">
            <x v="3"/>
          </reference>
          <reference field="1" count="1">
            <x v="6"/>
          </reference>
        </references>
      </pivotArea>
    </format>
    <format dxfId="1782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6"/>
          </reference>
          <reference field="6" count="11">
            <x v="0"/>
            <x v="4"/>
            <x v="5"/>
            <x v="6"/>
            <x v="7"/>
            <x v="20"/>
            <x v="21"/>
            <x v="22"/>
            <x v="23"/>
            <x v="24"/>
            <x v="25"/>
          </reference>
        </references>
      </pivotArea>
    </format>
    <format dxfId="1783">
      <pivotArea collapsedLevelsAreSubtotals="1" fieldPosition="0">
        <references count="2">
          <reference field="4294967294" count="1" selected="0">
            <x v="3"/>
          </reference>
          <reference field="1" count="1">
            <x v="7"/>
          </reference>
        </references>
      </pivotArea>
    </format>
    <format dxfId="1784">
      <pivotArea collapsedLevelsAreSubtotals="1" fieldPosition="0">
        <references count="2">
          <reference field="4294967294" count="1" selected="0">
            <x v="3"/>
          </reference>
          <reference field="1" count="1">
            <x v="8"/>
          </reference>
        </references>
      </pivotArea>
    </format>
    <format dxfId="1785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8"/>
          </reference>
          <reference field="6" count="2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1786">
      <pivotArea collapsedLevelsAreSubtotals="1" fieldPosition="0">
        <references count="2">
          <reference field="4294967294" count="1" selected="0">
            <x v="3"/>
          </reference>
          <reference field="1" count="1">
            <x v="9"/>
          </reference>
        </references>
      </pivotArea>
    </format>
    <format dxfId="1787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9"/>
          </reference>
          <reference field="6" count="14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788">
      <pivotArea collapsedLevelsAreSubtotals="1" fieldPosition="0">
        <references count="2">
          <reference field="4294967294" count="1" selected="0">
            <x v="3"/>
          </reference>
          <reference field="1" count="1">
            <x v="10"/>
          </reference>
        </references>
      </pivotArea>
    </format>
    <format dxfId="1789">
      <pivotArea collapsedLevelsAreSubtotals="1" fieldPosition="0">
        <references count="2">
          <reference field="4294967294" count="1" selected="0">
            <x v="3"/>
          </reference>
          <reference field="1" count="1">
            <x v="11"/>
          </reference>
        </references>
      </pivotArea>
    </format>
    <format dxfId="1790">
      <pivotArea collapsedLevelsAreSubtotals="1" fieldPosition="0">
        <references count="2">
          <reference field="4294967294" count="1" selected="0">
            <x v="3"/>
          </reference>
          <reference field="1" count="1">
            <x v="13"/>
          </reference>
        </references>
      </pivotArea>
    </format>
    <format dxfId="1791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3"/>
          </reference>
          <reference field="6" count="3">
            <x v="23"/>
            <x v="24"/>
            <x v="25"/>
          </reference>
        </references>
      </pivotArea>
    </format>
    <format dxfId="1792">
      <pivotArea dataOnly="0" fieldPosition="0">
        <references count="1">
          <reference field="6" count="1">
            <x v="24"/>
          </reference>
        </references>
      </pivotArea>
    </format>
    <format dxfId="1793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2">
            <x v="25"/>
            <x v="26"/>
          </reference>
        </references>
      </pivotArea>
    </format>
    <format dxfId="1794">
      <pivotArea dataOnly="0" fieldPosition="0">
        <references count="2">
          <reference field="1" count="1" selected="0">
            <x v="0"/>
          </reference>
          <reference field="6" count="1">
            <x v="27"/>
          </reference>
        </references>
      </pivotArea>
    </format>
    <format dxfId="1795">
      <pivotArea dataOnly="0" fieldPosition="0">
        <references count="1">
          <reference field="6" count="1">
            <x v="25"/>
          </reference>
        </references>
      </pivotArea>
    </format>
    <format dxfId="1796">
      <pivotArea collapsedLevelsAreSubtotals="1" fieldPosition="0">
        <references count="1">
          <reference field="1" count="1">
            <x v="14"/>
          </reference>
        </references>
      </pivotArea>
    </format>
    <format dxfId="1797">
      <pivotArea dataOnly="0" labelOnly="1" fieldPosition="0">
        <references count="1">
          <reference field="1" count="1">
            <x v="14"/>
          </reference>
        </references>
      </pivotArea>
    </format>
    <format dxfId="179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9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0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0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802">
      <pivotArea outline="0" fieldPosition="0">
        <references count="1">
          <reference field="4294967294" count="1">
            <x v="5"/>
          </reference>
        </references>
      </pivotArea>
    </format>
    <format dxfId="1803">
      <pivotArea dataOnly="0" fieldPosition="0">
        <references count="1">
          <reference field="6" count="1">
            <x v="27"/>
          </reference>
        </references>
      </pivotArea>
    </format>
    <format dxfId="1804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7"/>
          </reference>
        </references>
      </pivotArea>
    </format>
    <format dxfId="1805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4"/>
          </reference>
          <reference field="6" count="1">
            <x v="27"/>
          </reference>
        </references>
      </pivotArea>
    </format>
    <format dxfId="1806">
      <pivotArea dataOnly="0" fieldPosition="0">
        <references count="1">
          <reference field="6" count="1">
            <x v="26"/>
          </reference>
        </references>
      </pivotArea>
    </format>
    <format dxfId="1807">
      <pivotArea dataOnly="0" fieldPosition="0">
        <references count="1">
          <reference field="6" count="1">
            <x v="28"/>
          </reference>
        </references>
      </pivotArea>
    </format>
    <format dxfId="1808">
      <pivotArea dataOnly="0" labelOnly="1" fieldPosition="0">
        <references count="2">
          <reference field="1" count="1" selected="0">
            <x v="13"/>
          </reference>
          <reference field="6" count="1">
            <x v="24"/>
          </reference>
        </references>
      </pivotArea>
    </format>
    <format dxfId="1809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8"/>
          </reference>
        </references>
      </pivotArea>
    </format>
    <format dxfId="1810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2">
            <x v="26"/>
            <x v="27"/>
          </reference>
        </references>
      </pivotArea>
    </format>
    <format dxfId="1811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6" count="1">
            <x v="28"/>
          </reference>
        </references>
      </pivotArea>
    </format>
    <format dxfId="1812">
      <pivotArea dataOnly="0" fieldPosition="0">
        <references count="1">
          <reference field="6" count="1">
            <x v="29"/>
          </reference>
        </references>
      </pivotArea>
    </format>
    <format dxfId="1813">
      <pivotArea dataOnly="0" fieldPosition="0">
        <references count="1">
          <reference field="6" count="1">
            <x v="27"/>
          </reference>
        </references>
      </pivotArea>
    </format>
    <format dxfId="18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815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6" count="1">
            <x v="29"/>
          </reference>
        </references>
      </pivotArea>
    </format>
    <format dxfId="1816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1817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3"/>
          </reference>
          <reference field="6" count="1">
            <x v="29"/>
          </reference>
        </references>
      </pivotArea>
    </format>
    <format dxfId="1818">
      <pivotArea outline="0" fieldPosition="0">
        <references count="1">
          <reference field="4294967294" count="1">
            <x v="12"/>
          </reference>
        </references>
      </pivotArea>
    </format>
    <format dxfId="1819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820">
      <pivotArea outline="0" fieldPosition="0">
        <references count="1">
          <reference field="4294967294" count="1">
            <x v="3"/>
          </reference>
        </references>
      </pivotArea>
    </format>
    <format dxfId="1821">
      <pivotArea collapsedLevelsAreSubtotals="1" fieldPosition="0">
        <references count="1">
          <reference field="1" count="1">
            <x v="15"/>
          </reference>
        </references>
      </pivotArea>
    </format>
    <format dxfId="1822">
      <pivotArea dataOnly="0" labelOnly="1" fieldPosition="0">
        <references count="1">
          <reference field="1" count="1">
            <x v="15"/>
          </reference>
        </references>
      </pivotArea>
    </format>
    <format dxfId="1823">
      <pivotArea collapsedLevelsAreSubtotals="1" fieldPosition="0">
        <references count="1">
          <reference field="6" count="1">
            <x v="28"/>
          </reference>
        </references>
      </pivotArea>
    </format>
    <format dxfId="1824">
      <pivotArea dataOnly="0" labelOnly="1" fieldPosition="0">
        <references count="1">
          <reference field="6" count="1">
            <x v="28"/>
          </reference>
        </references>
      </pivotArea>
    </format>
    <format dxfId="1825">
      <pivotArea collapsedLevelsAreSubtotals="1" fieldPosition="0">
        <references count="1">
          <reference field="6" count="1">
            <x v="30"/>
          </reference>
        </references>
      </pivotArea>
    </format>
    <format dxfId="1826">
      <pivotArea dataOnly="0" labelOnly="1" fieldPosition="0">
        <references count="1">
          <reference field="6" count="1">
            <x v="30"/>
          </reference>
        </references>
      </pivotArea>
    </format>
    <format dxfId="1827">
      <pivotArea dataOnly="0" fieldPosition="0">
        <references count="1">
          <reference field="6" count="1">
            <x v="29"/>
          </reference>
        </references>
      </pivotArea>
    </format>
    <format dxfId="182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0"/>
        </references>
      </pivotArea>
    </format>
    <format dxfId="1829">
      <pivotArea dataOnly="0" fieldPosition="0">
        <references count="1">
          <reference field="6" count="1">
            <x v="30"/>
          </reference>
        </references>
      </pivotArea>
    </format>
    <format dxfId="1830">
      <pivotArea dataOnly="0" fieldPosition="0">
        <references count="1">
          <reference field="6" count="1">
            <x v="31"/>
          </reference>
        </references>
      </pivotArea>
    </format>
    <format dxfId="18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3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0"/>
        </references>
      </pivotArea>
    </format>
    <format dxfId="1833">
      <pivotArea dataOnly="0" fieldPosition="0">
        <references count="1">
          <reference field="6" count="1">
            <x v="32"/>
          </reference>
        </references>
      </pivotArea>
    </format>
    <format dxfId="183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>
            <x v="32"/>
          </reference>
        </references>
      </pivotArea>
    </format>
    <format dxfId="1835">
      <pivotArea dataOnly="0" fieldPosition="0">
        <references count="1">
          <reference field="6" count="1">
            <x v="33"/>
          </reference>
        </references>
      </pivotArea>
    </format>
    <format dxfId="183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33"/>
            <x v="34"/>
            <x v="35"/>
          </reference>
        </references>
      </pivotArea>
    </format>
    <format dxfId="1837">
      <pivotArea dataOnly="0" fieldPosition="0">
        <references count="1">
          <reference field="6" count="1">
            <x v="34"/>
          </reference>
        </references>
      </pivotArea>
    </format>
    <format dxfId="1838">
      <pivotArea dataOnly="0" fieldPosition="0">
        <references count="1">
          <reference field="6" count="1">
            <x v="35"/>
          </reference>
        </references>
      </pivotArea>
    </format>
    <format dxfId="1839">
      <pivotArea dataOnly="0" fieldPosition="0">
        <references count="1">
          <reference field="6" count="1">
            <x v="36"/>
          </reference>
        </references>
      </pivotArea>
    </format>
    <format dxfId="1840">
      <pivotArea collapsedLevelsAreSubtotals="1" fieldPosition="0">
        <references count="1">
          <reference field="1" count="1">
            <x v="16"/>
          </reference>
        </references>
      </pivotArea>
    </format>
    <format dxfId="1841">
      <pivotArea dataOnly="0" labelOnly="1" fieldPosition="0">
        <references count="1">
          <reference field="1" count="1">
            <x v="16"/>
          </reference>
        </references>
      </pivotArea>
    </format>
    <format dxfId="1842">
      <pivotArea dataOnly="0" fieldPosition="0">
        <references count="1">
          <reference field="6" count="1">
            <x v="37"/>
          </reference>
        </references>
      </pivotArea>
    </format>
    <format dxfId="1843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7">
            <x v="34"/>
            <x v="35"/>
            <x v="36"/>
            <x v="37"/>
            <x v="38"/>
            <x v="39"/>
            <x v="40"/>
          </reference>
        </references>
      </pivotArea>
    </format>
    <format dxfId="1844">
      <pivotArea dataOnly="0" fieldPosition="0">
        <references count="1">
          <reference field="6" count="3">
            <x v="38"/>
            <x v="39"/>
            <x v="40"/>
          </reference>
        </references>
      </pivotArea>
    </format>
    <format dxfId="1845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5">
            <x v="38"/>
            <x v="39"/>
            <x v="40"/>
            <x v="41"/>
            <x v="42"/>
          </reference>
        </references>
      </pivotArea>
    </format>
    <format dxfId="1846">
      <pivotArea dataOnly="0" fieldPosition="0">
        <references count="1">
          <reference field="6" count="1">
            <x v="41"/>
          </reference>
        </references>
      </pivotArea>
    </format>
    <format dxfId="1847">
      <pivotArea dataOnly="0" fieldPosition="0">
        <references count="1">
          <reference field="6" count="1">
            <x v="45"/>
          </reference>
        </references>
      </pivotArea>
    </format>
    <format dxfId="184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>
            <x v="41"/>
          </reference>
        </references>
      </pivotArea>
    </format>
    <format dxfId="1849">
      <pivotArea dataOnly="0" fieldPosition="0">
        <references count="1">
          <reference field="6" count="1">
            <x v="42"/>
          </reference>
        </references>
      </pivotArea>
    </format>
    <format dxfId="185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42"/>
            <x v="45"/>
            <x v="46"/>
          </reference>
        </references>
      </pivotArea>
    </format>
    <format dxfId="1851">
      <pivotArea dataOnly="0" fieldPosition="0">
        <references count="1">
          <reference field="6" count="1">
            <x v="45"/>
          </reference>
        </references>
      </pivotArea>
    </format>
    <format dxfId="185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45"/>
            <x v="46"/>
            <x v="47"/>
          </reference>
        </references>
      </pivotArea>
    </format>
    <format dxfId="1853">
      <pivotArea dataOnly="0" fieldPosition="0">
        <references count="1">
          <reference field="1" count="1">
            <x v="17"/>
          </reference>
        </references>
      </pivotArea>
    </format>
    <format dxfId="1854">
      <pivotArea dataOnly="0" fieldPosition="0">
        <references count="1">
          <reference field="6" count="1">
            <x v="46"/>
          </reference>
        </references>
      </pivotArea>
    </format>
    <format dxfId="1855">
      <pivotArea dataOnly="0" fieldPosition="0">
        <references count="1">
          <reference field="6" count="1">
            <x v="46"/>
          </reference>
        </references>
      </pivotArea>
    </format>
    <format dxfId="1856">
      <pivotArea dataOnly="0" fieldPosition="0">
        <references count="1">
          <reference field="6" count="1">
            <x v="47"/>
          </reference>
        </references>
      </pivotArea>
    </format>
    <format dxfId="1857">
      <pivotArea dataOnly="0" fieldPosition="0">
        <references count="1">
          <reference field="6" count="1">
            <x v="48"/>
          </reference>
        </references>
      </pivotArea>
    </format>
    <format dxfId="185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5">
            <x v="46"/>
            <x v="47"/>
            <x v="48"/>
            <x v="49"/>
            <x v="50"/>
          </reference>
        </references>
      </pivotArea>
    </format>
    <format dxfId="1859">
      <pivotArea dataOnly="0" fieldPosition="0">
        <references count="1">
          <reference field="6" count="1">
            <x v="49"/>
          </reference>
        </references>
      </pivotArea>
    </format>
    <format dxfId="1860">
      <pivotArea dataOnly="0" fieldPosition="0">
        <references count="1">
          <reference field="6" count="1">
            <x v="50"/>
          </reference>
        </references>
      </pivotArea>
    </format>
    <format dxfId="1861">
      <pivotArea dataOnly="0" fieldPosition="0">
        <references count="1">
          <reference field="6" count="1">
            <x v="51"/>
          </reference>
        </references>
      </pivotArea>
    </format>
    <format dxfId="186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6">
            <x v="49"/>
            <x v="50"/>
            <x v="51"/>
            <x v="52"/>
            <x v="53"/>
            <x v="54"/>
          </reference>
        </references>
      </pivotArea>
    </format>
    <format dxfId="1863">
      <pivotArea dataOnly="0" fieldPosition="0">
        <references count="1">
          <reference field="6" count="1">
            <x v="52"/>
          </reference>
        </references>
      </pivotArea>
    </format>
    <format dxfId="186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52"/>
            <x v="53"/>
            <x v="54"/>
          </reference>
        </references>
      </pivotArea>
    </format>
    <format dxfId="1865">
      <pivotArea collapsedLevelsAreSubtotals="1" fieldPosition="0">
        <references count="3">
          <reference field="4294967294" count="3" selected="0">
            <x v="7"/>
            <x v="8"/>
            <x v="9"/>
          </reference>
          <reference field="1" count="1" selected="0">
            <x v="18"/>
          </reference>
          <reference field="6" count="1">
            <x v="54"/>
          </reference>
        </references>
      </pivotArea>
    </format>
    <format dxfId="1866">
      <pivotArea dataOnly="0" fieldPosition="0">
        <references count="1">
          <reference field="6" count="2">
            <x v="53"/>
            <x v="54"/>
          </reference>
        </references>
      </pivotArea>
    </format>
    <format dxfId="1867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4">
            <x v="53"/>
            <x v="54"/>
            <x v="55"/>
            <x v="56"/>
          </reference>
        </references>
      </pivotArea>
    </format>
    <format dxfId="1868">
      <pivotArea dataOnly="0" fieldPosition="0">
        <references count="1">
          <reference field="6" count="2">
            <x v="54"/>
            <x v="55"/>
          </reference>
        </references>
      </pivotArea>
    </format>
    <format dxfId="1869">
      <pivotArea dataOnly="0" fieldPosition="0">
        <references count="1">
          <reference field="6" count="1">
            <x v="56"/>
          </reference>
        </references>
      </pivotArea>
    </format>
    <format dxfId="1870">
      <pivotArea dataOnly="0" fieldPosition="0">
        <references count="1">
          <reference field="6" count="1">
            <x v="57"/>
          </reference>
        </references>
      </pivotArea>
    </format>
    <format dxfId="1871">
      <pivotArea dataOnly="0" fieldPosition="0">
        <references count="1">
          <reference field="6" count="1">
            <x v="58"/>
          </reference>
        </references>
      </pivotArea>
    </format>
    <format dxfId="187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7">
            <x v="54"/>
            <x v="55"/>
            <x v="56"/>
            <x v="57"/>
            <x v="58"/>
            <x v="59"/>
            <x v="60"/>
          </reference>
        </references>
      </pivotArea>
    </format>
    <format dxfId="1873">
      <pivotArea dataOnly="0" fieldPosition="0">
        <references count="1">
          <reference field="6" count="1">
            <x v="59"/>
          </reference>
        </references>
      </pivotArea>
    </format>
    <format dxfId="1874">
      <pivotArea dataOnly="0" fieldPosition="0">
        <references count="1">
          <reference field="6" count="1">
            <x v="60"/>
          </reference>
        </references>
      </pivotArea>
    </format>
    <format dxfId="1875">
      <pivotArea dataOnly="0" fieldPosition="0">
        <references count="1">
          <reference field="6" count="2">
            <x v="61"/>
            <x v="62"/>
          </reference>
        </references>
      </pivotArea>
    </format>
    <format dxfId="1876">
      <pivotArea dataOnly="0" fieldPosition="0">
        <references count="1">
          <reference field="6" count="2">
            <x v="64"/>
            <x v="65"/>
          </reference>
        </references>
      </pivotArea>
    </format>
    <format dxfId="1877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6">
            <x v="60"/>
            <x v="61"/>
            <x v="62"/>
            <x v="63"/>
            <x v="64"/>
            <x v="65"/>
          </reference>
        </references>
      </pivotArea>
    </format>
    <format dxfId="1878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1879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>
            <x v="59"/>
          </reference>
        </references>
      </pivotArea>
    </format>
    <format dxfId="1880">
      <pivotArea dataOnly="0" fieldPosition="0">
        <references count="1">
          <reference field="6" count="1">
            <x v="67"/>
          </reference>
        </references>
      </pivotArea>
    </format>
    <format dxfId="1881">
      <pivotArea dataOnly="0" fieldPosition="0">
        <references count="1">
          <reference field="6" count="2">
            <x v="63"/>
            <x v="64"/>
          </reference>
        </references>
      </pivotArea>
    </format>
    <format dxfId="1882">
      <pivotArea dataOnly="0" fieldPosition="0">
        <references count="1">
          <reference field="6" count="1">
            <x v="68"/>
          </reference>
        </references>
      </pivotArea>
    </format>
    <format dxfId="1883">
      <pivotArea dataOnly="0" fieldPosition="0">
        <references count="1">
          <reference field="6" count="1">
            <x v="65"/>
          </reference>
        </references>
      </pivotArea>
    </format>
    <format dxfId="1884">
      <pivotArea dataOnly="0" fieldPosition="0">
        <references count="1">
          <reference field="6" count="1">
            <x v="69"/>
          </reference>
        </references>
      </pivotArea>
    </format>
    <format dxfId="1885">
      <pivotArea dataOnly="0" fieldPosition="0">
        <references count="1">
          <reference field="6" count="1">
            <x v="69"/>
          </reference>
        </references>
      </pivotArea>
    </format>
    <format dxfId="188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7">
            <x v="63"/>
            <x v="64"/>
            <x v="65"/>
            <x v="66"/>
            <x v="67"/>
            <x v="68"/>
            <x v="69"/>
          </reference>
        </references>
      </pivotArea>
    </format>
    <format dxfId="1887">
      <pivotArea dataOnly="0" fieldPosition="0">
        <references count="1">
          <reference field="6" count="1">
            <x v="71"/>
          </reference>
        </references>
      </pivotArea>
    </format>
    <format dxfId="1888">
      <pivotArea dataOnly="0" fieldPosition="0">
        <references count="1">
          <reference field="6" count="1">
            <x v="71"/>
          </reference>
        </references>
      </pivotArea>
    </format>
    <format dxfId="1889">
      <pivotArea dataOnly="0" fieldPosition="0">
        <references count="1">
          <reference field="6" count="1">
            <x v="70"/>
          </reference>
        </references>
      </pivotArea>
    </format>
    <format dxfId="1890">
      <pivotArea dataOnly="0" fieldPosition="0">
        <references count="1">
          <reference field="6" count="1">
            <x v="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FFA3A-23DF-9E47-974A-521F0D466616}" name="PivotTable29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G6:GS38" firstHeaderRow="0" firstDataRow="1" firstDataCol="1" rowPageCount="2" colPageCount="1"/>
  <pivotFields count="48">
    <pivotField axis="axisRow" showAll="0">
      <items count="4">
        <item x="1"/>
        <item x="0"/>
        <item x="2"/>
        <item t="default"/>
      </items>
    </pivotField>
    <pivotField axis="axisPage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22"/>
        <item x="17"/>
        <item x="14"/>
        <item x="6"/>
        <item x="16"/>
        <item x="4"/>
        <item x="20"/>
        <item x="18"/>
        <item m="1" x="24"/>
        <item x="23"/>
        <item t="default"/>
      </items>
    </pivotField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1" hier="-1"/>
    <pageField fld="2" hier="-1"/>
  </pageFields>
  <dataFields count="12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1">
    <format dxfId="1656">
      <pivotArea outline="0" fieldPosition="0">
        <references count="1">
          <reference field="4294967294" count="1">
            <x v="10"/>
          </reference>
        </references>
      </pivotArea>
    </format>
    <format dxfId="1657">
      <pivotArea field="0" type="button" dataOnly="0" labelOnly="1" outline="0" axis="axisRow" fieldPosition="0"/>
    </format>
    <format dxfId="1658">
      <pivotArea field="1" type="button" dataOnly="0" labelOnly="1" outline="0" axis="axisPage" fieldPosition="0"/>
    </format>
    <format dxfId="1659">
      <pivotArea field="1" type="button" dataOnly="0" labelOnly="1" outline="0" axis="axisPage" fieldPosition="0"/>
    </format>
    <format dxfId="1660">
      <pivotArea dataOnly="0" labelOnly="1" outline="0" fieldPosition="0">
        <references count="1">
          <reference field="4294967294" count="4">
            <x v="0"/>
            <x v="8"/>
            <x v="9"/>
            <x v="10"/>
          </reference>
        </references>
      </pivotArea>
    </format>
    <format dxfId="16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6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63">
      <pivotArea collapsedLevelsAreSubtotals="1" fieldPosition="0">
        <references count="2">
          <reference field="4294967294" count="1" selected="0">
            <x v="10"/>
          </reference>
          <reference field="0" count="1">
            <x v="1"/>
          </reference>
        </references>
      </pivotArea>
    </format>
    <format dxfId="1664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665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666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667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668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669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670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671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672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673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674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675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676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677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678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679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680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681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68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683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6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685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6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87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688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689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690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691">
      <pivotArea outline="0" fieldPosition="0">
        <references count="1">
          <reference field="4294967294" count="1">
            <x v="2"/>
          </reference>
        </references>
      </pivotArea>
    </format>
    <format dxfId="1692">
      <pivotArea field="0" type="button" dataOnly="0" labelOnly="1" outline="0" axis="axisRow" fieldPosition="0"/>
    </format>
    <format dxfId="1693">
      <pivotArea dataOnly="0" labelOnly="1" outline="0" fieldPosition="0">
        <references count="1">
          <reference field="4294967294" count="6">
            <x v="0"/>
            <x v="2"/>
            <x v="5"/>
            <x v="8"/>
            <x v="9"/>
            <x v="10"/>
          </reference>
        </references>
      </pivotArea>
    </format>
    <format dxfId="16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95">
      <pivotArea outline="0" fieldPosition="0">
        <references count="1">
          <reference field="4294967294" count="1">
            <x v="1"/>
          </reference>
        </references>
      </pivotArea>
    </format>
    <format dxfId="1696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697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698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699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700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701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702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703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170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05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70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0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08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709">
      <pivotArea outline="0" fieldPosition="0">
        <references count="1">
          <reference field="4294967294" count="1">
            <x v="3"/>
          </reference>
        </references>
      </pivotArea>
    </format>
    <format dxfId="1710">
      <pivotArea outline="0" fieldPosition="0">
        <references count="1">
          <reference field="4294967294" count="1">
            <x v="4"/>
          </reference>
        </references>
      </pivotArea>
    </format>
    <format dxfId="1711">
      <pivotArea outline="0" fieldPosition="0">
        <references count="1">
          <reference field="4294967294" count="1">
            <x v="11"/>
          </reference>
        </references>
      </pivotArea>
    </format>
    <format dxfId="17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714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715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716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A93A1-6A4F-499F-B7AD-DF85380BE779}" name="PivotTable15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G5:CH22" firstHeaderRow="1" firstDataRow="1" firstDataCol="1" rowPageCount="1" colPageCount="1"/>
  <pivotFields count="48">
    <pivotField axis="axisRow" showAll="0">
      <items count="4">
        <item x="1"/>
        <item x="0"/>
        <item x="2"/>
        <item t="default"/>
      </items>
    </pivotField>
    <pivotField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multipleItemSelectionAllowed="1" showAll="0">
      <items count="20">
        <item h="1" m="1" x="16"/>
        <item h="1" sd="0" x="1"/>
        <item h="1" sd="0" x="0"/>
        <item h="1" sd="0" x="7"/>
        <item h="1" sd="0" x="8"/>
        <item h="1" sd="0" x="11"/>
        <item x="10"/>
        <item h="1" x="9"/>
        <item h="1" sd="0" x="6"/>
        <item h="1" x="5"/>
        <item h="1" m="1" x="15"/>
        <item h="1" m="1" x="14"/>
        <item h="1" m="1" x="13"/>
        <item h="1" sd="0" x="4"/>
        <item h="1" sd="0" x="3"/>
        <item h="1" sd="0" x="2"/>
        <item h="1" m="1" x="18"/>
        <item h="1" m="1" x="17"/>
        <item sd="0" m="1"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0"/>
    <field x="7"/>
    <field x="2"/>
  </rowFields>
  <rowItems count="17">
    <i>
      <x/>
    </i>
    <i r="1">
      <x v="6"/>
    </i>
    <i r="2">
      <x v="10"/>
    </i>
    <i>
      <x v="1"/>
    </i>
    <i r="1">
      <x v="6"/>
    </i>
    <i r="2">
      <x v="1"/>
    </i>
    <i r="2">
      <x v="2"/>
    </i>
    <i r="2">
      <x v="3"/>
    </i>
    <i r="2">
      <x v="4"/>
    </i>
    <i r="2">
      <x v="9"/>
    </i>
    <i r="2">
      <x v="10"/>
    </i>
    <i r="2">
      <x v="11"/>
    </i>
    <i r="2">
      <x v="13"/>
    </i>
    <i r="2">
      <x v="14"/>
    </i>
    <i r="2">
      <x v="16"/>
    </i>
    <i r="2">
      <x v="18"/>
    </i>
    <i t="grand">
      <x/>
    </i>
  </rowItems>
  <colItems count="1">
    <i/>
  </colItems>
  <pageFields count="1">
    <pageField fld="4" hier="-1"/>
  </pageFields>
  <dataFields count="1">
    <dataField name="Sum of Total Selling (Clients Revenue)" fld="12" baseField="0" baseItem="0" numFmtId="166"/>
  </dataFields>
  <formats count="5">
    <format dxfId="1651">
      <pivotArea field="0" type="button" dataOnly="0" labelOnly="1" outline="0" axis="axisRow" fieldPosition="0"/>
    </format>
    <format dxfId="1652">
      <pivotArea field="1" type="button" dataOnly="0" labelOnly="1" outline="0"/>
    </format>
    <format dxfId="1653">
      <pivotArea field="1" type="button" dataOnly="0" labelOnly="1" outline="0"/>
    </format>
    <format dxfId="1654">
      <pivotArea field="0" type="button" dataOnly="0" labelOnly="1" outline="0" axis="axisRow" fieldPosition="0"/>
    </format>
    <format dxfId="16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AA6-7455-AD40-AE88-04A835D3A6E0}" name="PivotTable16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V122:AH134" firstHeaderRow="0" firstDataRow="1" firstDataCol="1" rowPageCount="2" colPageCount="1"/>
  <pivotFields count="48">
    <pivotField axis="axisPage" multipleItemSelectionAllowed="1" showAll="0">
      <items count="4">
        <item h="1" x="1"/>
        <item h="1" x="0"/>
        <item x="2"/>
        <item t="default"/>
      </items>
    </pivotField>
    <pivotField axis="axisRow" showAll="0">
      <items count="20">
        <item x="0"/>
        <item h="1" sd="0" x="1"/>
        <item h="1" sd="0" x="9"/>
        <item sd="0" x="2"/>
        <item h="1" sd="0" x="4"/>
        <item h="1" sd="0" x="11"/>
        <item h="1" sd="0" x="7"/>
        <item h="1" sd="0" x="8"/>
        <item h="1" sd="0" x="6"/>
        <item h="1" sd="0" x="10"/>
        <item h="1" sd="0" x="5"/>
        <item h="1" sd="0" x="3"/>
        <item m="1" x="18"/>
        <item x="12"/>
        <item sd="0" x="13"/>
        <item x="14"/>
        <item x="15"/>
        <item x="16"/>
        <item h="1" x="17"/>
        <item t="default"/>
      </items>
    </pivotField>
    <pivotField showAll="0" sortType="descending">
      <items count="26">
        <item sd="0" x="2"/>
        <item x="3"/>
        <item sd="0" x="8"/>
        <item x="5"/>
        <item x="7"/>
        <item x="0"/>
        <item sd="0" x="6"/>
        <item x="4"/>
        <item h="1" sd="0" m="1" x="24"/>
        <item x="13"/>
        <item x="14"/>
        <item x="12"/>
        <item h="1" x="1"/>
        <item h="1" x="9"/>
        <item h="1" x="10"/>
        <item h="1" x="15"/>
        <item h="1" x="16"/>
        <item h="1" x="17"/>
        <item h="1" x="18"/>
        <item h="1" x="11"/>
        <item h="1" x="19"/>
        <item h="1" x="20"/>
        <item h="1" x="21"/>
        <item h="1" x="22"/>
        <item h="1" x="23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axis="axisPage" multipleItemSelectionAllowed="1" showAll="0">
      <items count="8">
        <item x="1"/>
        <item x="0"/>
        <item x="2"/>
        <item x="4"/>
        <item x="3"/>
        <item m="1" x="6"/>
        <item x="5"/>
        <item t="default"/>
      </items>
    </pivotField>
    <pivotField showAll="0">
      <items count="73">
        <item x="6"/>
        <item x="5"/>
        <item x="4"/>
        <item x="3"/>
        <item x="2"/>
        <item x="1"/>
        <item x="0"/>
        <item h="1" x="37"/>
        <item x="29"/>
        <item x="30"/>
        <item x="31"/>
        <item x="32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3"/>
        <item h="1" x="24"/>
        <item h="1" x="22"/>
        <item h="1" x="21"/>
        <item h="1" x="25"/>
        <item h="1" x="26"/>
        <item h="1" x="27"/>
        <item h="1" x="28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axis="axisRow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numFmtId="41" showAll="0"/>
    <pivotField dataField="1" numFmtId="4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1"/>
    <field x="7"/>
  </rowFields>
  <rowItems count="12">
    <i>
      <x/>
    </i>
    <i r="1">
      <x/>
    </i>
    <i r="1">
      <x v="5"/>
    </i>
    <i r="1">
      <x v="6"/>
    </i>
    <i r="1">
      <x v="7"/>
    </i>
    <i>
      <x v="13"/>
    </i>
    <i r="1">
      <x/>
    </i>
    <i r="1">
      <x v="5"/>
    </i>
    <i>
      <x v="17"/>
    </i>
    <i r="1">
      <x/>
    </i>
    <i r="1"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5" hier="-1"/>
    <pageField fld="0" hier="-1"/>
  </pageFields>
  <dataFields count="12">
    <dataField name="Sum of Total Cups Sold" fld="11" baseField="0" baseItem="0" numFmtId="41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1" baseItem="0" numFmtId="164"/>
  </dataFields>
  <formats count="71">
    <format dxfId="15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8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82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583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58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8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86">
      <pivotArea field="2" type="button" dataOnly="0" labelOnly="1" outline="0"/>
    </format>
    <format dxfId="1587">
      <pivotArea dataOnly="0" labelOnly="1" outline="0" fieldPosition="0">
        <references count="1">
          <reference field="4294967294" count="5">
            <x v="0"/>
            <x v="5"/>
            <x v="6"/>
            <x v="7"/>
            <x v="9"/>
          </reference>
        </references>
      </pivotArea>
    </format>
    <format dxfId="1588">
      <pivotArea field="2" type="button" dataOnly="0" labelOnly="1" outline="0"/>
    </format>
    <format dxfId="1589">
      <pivotArea dataOnly="0" labelOnly="1" outline="0" fieldPosition="0">
        <references count="1">
          <reference field="4294967294" count="5">
            <x v="0"/>
            <x v="5"/>
            <x v="6"/>
            <x v="7"/>
            <x v="9"/>
          </reference>
        </references>
      </pivotArea>
    </format>
    <format dxfId="1590">
      <pivotArea outline="0" fieldPosition="0">
        <references count="1">
          <reference field="4294967294" count="1">
            <x v="10"/>
          </reference>
        </references>
      </pivotArea>
    </format>
    <format dxfId="159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9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9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94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595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1596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1597">
      <pivotArea dataOnly="0" fieldPosition="0">
        <references count="1">
          <reference field="1" count="1">
            <x v="0"/>
          </reference>
        </references>
      </pivotArea>
    </format>
    <format dxfId="1598">
      <pivotArea dataOnly="0" fieldPosition="0">
        <references count="1">
          <reference field="1" count="1">
            <x v="3"/>
          </reference>
        </references>
      </pivotArea>
    </format>
    <format dxfId="1599">
      <pivotArea dataOnly="0" fieldPosition="0">
        <references count="1">
          <reference field="1" count="1">
            <x v="8"/>
          </reference>
        </references>
      </pivotArea>
    </format>
    <format dxfId="1600">
      <pivotArea dataOnly="0" fieldPosition="0">
        <references count="1">
          <reference field="1" count="1">
            <x v="4"/>
          </reference>
        </references>
      </pivotArea>
    </format>
    <format dxfId="1601">
      <pivotArea dataOnly="0" fieldPosition="0">
        <references count="1">
          <reference field="1" count="1">
            <x v="6"/>
          </reference>
        </references>
      </pivotArea>
    </format>
    <format dxfId="1602">
      <pivotArea dataOnly="0" fieldPosition="0">
        <references count="1">
          <reference field="1" count="1">
            <x v="10"/>
          </reference>
        </references>
      </pivotArea>
    </format>
    <format dxfId="1603">
      <pivotArea dataOnly="0" fieldPosition="0">
        <references count="1">
          <reference field="1" count="1">
            <x v="9"/>
          </reference>
        </references>
      </pivotArea>
    </format>
    <format dxfId="1604">
      <pivotArea dataOnly="0" fieldPosition="0">
        <references count="1">
          <reference field="1" count="1">
            <x v="1"/>
          </reference>
        </references>
      </pivotArea>
    </format>
    <format dxfId="1605">
      <pivotArea dataOnly="0" fieldPosition="0">
        <references count="1">
          <reference field="1" count="1">
            <x v="11"/>
          </reference>
        </references>
      </pivotArea>
    </format>
    <format dxfId="1606">
      <pivotArea dataOnly="0" fieldPosition="0">
        <references count="1">
          <reference field="1" count="1">
            <x v="2"/>
          </reference>
        </references>
      </pivotArea>
    </format>
    <format dxfId="1607">
      <pivotArea dataOnly="0" fieldPosition="0">
        <references count="1">
          <reference field="1" count="1">
            <x v="7"/>
          </reference>
        </references>
      </pivotArea>
    </format>
    <format dxfId="1608">
      <pivotArea dataOnly="0" fieldPosition="0">
        <references count="1">
          <reference field="1" count="1">
            <x v="5"/>
          </reference>
        </references>
      </pivotArea>
    </format>
    <format dxfId="16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10">
      <pivotArea outline="0" fieldPosition="0">
        <references count="1">
          <reference field="4294967294" count="1">
            <x v="1"/>
          </reference>
        </references>
      </pivotArea>
    </format>
    <format dxfId="1611">
      <pivotArea dataOnly="0" fieldPosition="0">
        <references count="1">
          <reference field="1" count="1">
            <x v="13"/>
          </reference>
        </references>
      </pivotArea>
    </format>
    <format dxfId="1612">
      <pivotArea dataOnly="0" fieldPosition="0">
        <references count="1">
          <reference field="1" count="1">
            <x v="13"/>
          </reference>
        </references>
      </pivotArea>
    </format>
    <format dxfId="1613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16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15">
      <pivotArea field="1" type="button" dataOnly="0" labelOnly="1" outline="0" axis="axisRow" fieldPosition="0"/>
    </format>
    <format dxfId="1616">
      <pivotArea dataOnly="0" labelOnly="1" outline="0" fieldPosition="0">
        <references count="1">
          <reference field="4294967294" count="9">
            <x v="0"/>
            <x v="1"/>
            <x v="2"/>
            <x v="3"/>
            <x v="5"/>
            <x v="6"/>
            <x v="7"/>
            <x v="9"/>
            <x v="10"/>
          </reference>
        </references>
      </pivotArea>
    </format>
    <format dxfId="1617">
      <pivotArea outline="0" fieldPosition="0">
        <references count="1">
          <reference field="4294967294" count="1">
            <x v="3"/>
          </reference>
        </references>
      </pivotArea>
    </format>
    <format dxfId="161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19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1620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162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6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23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1624">
      <pivotArea collapsedLevelsAreSubtotals="1" fieldPosition="0">
        <references count="2">
          <reference field="4294967294" count="1" selected="0">
            <x v="2"/>
          </reference>
          <reference field="1" count="1">
            <x v="5"/>
          </reference>
        </references>
      </pivotArea>
    </format>
    <format dxfId="1625">
      <pivotArea collapsedLevelsAreSubtotals="1" fieldPosition="0">
        <references count="2">
          <reference field="4294967294" count="1" selected="0">
            <x v="2"/>
          </reference>
          <reference field="1" count="1">
            <x v="6"/>
          </reference>
        </references>
      </pivotArea>
    </format>
    <format dxfId="1626">
      <pivotArea collapsedLevelsAreSubtotals="1" fieldPosition="0">
        <references count="2">
          <reference field="4294967294" count="1" selected="0">
            <x v="2"/>
          </reference>
          <reference field="1" count="1">
            <x v="7"/>
          </reference>
        </references>
      </pivotArea>
    </format>
    <format dxfId="1627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1628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1629">
      <pivotArea collapsedLevelsAreSubtotals="1" fieldPosition="0">
        <references count="2">
          <reference field="4294967294" count="1" selected="0">
            <x v="2"/>
          </reference>
          <reference field="1" count="1">
            <x v="10"/>
          </reference>
        </references>
      </pivotArea>
    </format>
    <format dxfId="1630">
      <pivotArea collapsedLevelsAreSubtotals="1" fieldPosition="0">
        <references count="2">
          <reference field="4294967294" count="1" selected="0">
            <x v="2"/>
          </reference>
          <reference field="1" count="1">
            <x v="11"/>
          </reference>
        </references>
      </pivotArea>
    </format>
    <format dxfId="1631">
      <pivotArea collapsedLevelsAreSubtotals="1" fieldPosition="0">
        <references count="2">
          <reference field="4294967294" count="1" selected="0">
            <x v="2"/>
          </reference>
          <reference field="1" count="1">
            <x v="13"/>
          </reference>
        </references>
      </pivotArea>
    </format>
    <format dxfId="1632">
      <pivotArea collapsedLevelsAreSubtotals="1" fieldPosition="0">
        <references count="1">
          <reference field="1" count="1">
            <x v="14"/>
          </reference>
        </references>
      </pivotArea>
    </format>
    <format dxfId="1633">
      <pivotArea dataOnly="0" labelOnly="1" fieldPosition="0">
        <references count="1">
          <reference field="1" count="1">
            <x v="14"/>
          </reference>
        </references>
      </pivotArea>
    </format>
    <format dxfId="163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3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3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38">
      <pivotArea outline="0" fieldPosition="0">
        <references count="1">
          <reference field="4294967294" count="1">
            <x v="4"/>
          </reference>
        </references>
      </pivotArea>
    </format>
    <format dxfId="163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40">
      <pivotArea outline="0" fieldPosition="0">
        <references count="1">
          <reference field="4294967294" count="1">
            <x v="2"/>
          </reference>
        </references>
      </pivotArea>
    </format>
    <format dxfId="1641">
      <pivotArea outline="0" fieldPosition="0">
        <references count="1">
          <reference field="4294967294" count="1">
            <x v="11"/>
          </reference>
        </references>
      </pivotArea>
    </format>
    <format dxfId="164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43">
      <pivotArea collapsedLevelsAreSubtotals="1" fieldPosition="0">
        <references count="1">
          <reference field="1" count="1">
            <x v="15"/>
          </reference>
        </references>
      </pivotArea>
    </format>
    <format dxfId="1644">
      <pivotArea dataOnly="0" labelOnly="1" fieldPosition="0">
        <references count="1">
          <reference field="1" count="1">
            <x v="15"/>
          </reference>
        </references>
      </pivotArea>
    </format>
    <format dxfId="1645">
      <pivotArea collapsedLevelsAreSubtotals="1" fieldPosition="0">
        <references count="1">
          <reference field="1" count="1">
            <x v="16"/>
          </reference>
        </references>
      </pivotArea>
    </format>
    <format dxfId="1646">
      <pivotArea dataOnly="0" labelOnly="1" fieldPosition="0">
        <references count="1">
          <reference field="1" count="1">
            <x v="16"/>
          </reference>
        </references>
      </pivotArea>
    </format>
    <format dxfId="1647">
      <pivotArea dataOnly="0" fieldPosition="0">
        <references count="1">
          <reference field="7" count="1">
            <x v="12"/>
          </reference>
        </references>
      </pivotArea>
    </format>
    <format dxfId="1648">
      <pivotArea dataOnly="0" fieldPosition="0">
        <references count="1">
          <reference field="7" count="1">
            <x v="13"/>
          </reference>
        </references>
      </pivotArea>
    </format>
    <format dxfId="1649">
      <pivotArea dataOnly="0" fieldPosition="0">
        <references count="1">
          <reference field="7" count="1">
            <x v="14"/>
          </reference>
        </references>
      </pivotArea>
    </format>
    <format dxfId="1650">
      <pivotArea dataOnly="0" fieldPosition="0">
        <references count="1">
          <reference field="1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5CADD-2843-FF46-97D1-0668922558B8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5:AH37" firstHeaderRow="0" firstDataRow="1" firstDataCol="1" rowPageCount="2" colPageCount="1"/>
  <pivotFields count="48">
    <pivotField axis="axisRow" showAll="0">
      <items count="4">
        <item x="1"/>
        <item x="0"/>
        <item x="2"/>
        <item t="default"/>
      </items>
    </pivotField>
    <pivotField axis="axisPage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multipleItemSelectionAllowed="1" showAll="0">
      <items count="4">
        <item x="0"/>
        <item x="1"/>
        <item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1" hier="-1"/>
    <pageField fld="4" hier="-1"/>
  </pageFields>
  <dataFields count="12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4">
    <format dxfId="1516">
      <pivotArea outline="0" fieldPosition="0">
        <references count="1">
          <reference field="4294967294" count="1">
            <x v="10"/>
          </reference>
        </references>
      </pivotArea>
    </format>
    <format dxfId="1517">
      <pivotArea field="0" type="button" dataOnly="0" labelOnly="1" outline="0" axis="axisRow" fieldPosition="0"/>
    </format>
    <format dxfId="1518">
      <pivotArea field="1" type="button" dataOnly="0" labelOnly="1" outline="0" axis="axisPage" fieldPosition="0"/>
    </format>
    <format dxfId="1519">
      <pivotArea field="1" type="button" dataOnly="0" labelOnly="1" outline="0" axis="axisPage" fieldPosition="0"/>
    </format>
    <format dxfId="1520">
      <pivotArea dataOnly="0" labelOnly="1" outline="0" fieldPosition="0">
        <references count="1">
          <reference field="4294967294" count="4">
            <x v="0"/>
            <x v="8"/>
            <x v="9"/>
            <x v="10"/>
          </reference>
        </references>
      </pivotArea>
    </format>
    <format dxfId="15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2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23">
      <pivotArea collapsedLevelsAreSubtotals="1" fieldPosition="0">
        <references count="2">
          <reference field="4294967294" count="1" selected="0">
            <x v="10"/>
          </reference>
          <reference field="0" count="1">
            <x v="1"/>
          </reference>
        </references>
      </pivotArea>
    </format>
    <format dxfId="1524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525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526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527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528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529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530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531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532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533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534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535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536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537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538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539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540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541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54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543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5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545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5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47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548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549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550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551">
      <pivotArea outline="0" fieldPosition="0">
        <references count="1">
          <reference field="4294967294" count="1">
            <x v="2"/>
          </reference>
        </references>
      </pivotArea>
    </format>
    <format dxfId="1552">
      <pivotArea field="0" type="button" dataOnly="0" labelOnly="1" outline="0" axis="axisRow" fieldPosition="0"/>
    </format>
    <format dxfId="1553">
      <pivotArea dataOnly="0" labelOnly="1" outline="0" fieldPosition="0">
        <references count="1">
          <reference field="4294967294" count="6">
            <x v="0"/>
            <x v="2"/>
            <x v="5"/>
            <x v="8"/>
            <x v="9"/>
            <x v="10"/>
          </reference>
        </references>
      </pivotArea>
    </format>
    <format dxfId="15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55">
      <pivotArea outline="0" fieldPosition="0">
        <references count="1">
          <reference field="4294967294" count="1">
            <x v="1"/>
          </reference>
        </references>
      </pivotArea>
    </format>
    <format dxfId="1556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557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558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559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560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561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562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563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15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65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156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6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68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569">
      <pivotArea outline="0" fieldPosition="0">
        <references count="1">
          <reference field="4294967294" count="1">
            <x v="3"/>
          </reference>
        </references>
      </pivotArea>
    </format>
    <format dxfId="1570">
      <pivotArea outline="0" fieldPosition="0">
        <references count="1">
          <reference field="4294967294" count="1">
            <x v="4"/>
          </reference>
        </references>
      </pivotArea>
    </format>
    <format dxfId="1571">
      <pivotArea outline="0" fieldPosition="0">
        <references count="1">
          <reference field="4294967294" count="1">
            <x v="11"/>
          </reference>
        </references>
      </pivotArea>
    </format>
    <format dxfId="157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574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575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576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577">
      <pivotArea dataOnly="0" fieldPosition="0">
        <references count="1">
          <reference field="7" count="1">
            <x v="1"/>
          </reference>
        </references>
      </pivotArea>
    </format>
    <format dxfId="1578">
      <pivotArea dataOnly="0" fieldPosition="0">
        <references count="1">
          <reference field="7" count="1">
            <x v="2"/>
          </reference>
        </references>
      </pivotArea>
    </format>
    <format dxfId="1579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1"/>
          </reference>
          <reference field="7" count="2"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2F5C2-10BE-F142-A023-E2D69E834A46}" name="PivotTable5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O66:BU80" firstHeaderRow="0" firstDataRow="1" firstDataCol="1"/>
  <pivotFields count="48">
    <pivotField axis="axisRow" showAll="0">
      <items count="4">
        <item sd="0" x="1"/>
        <item sd="0" x="0"/>
        <item x="2"/>
        <item t="default"/>
      </items>
    </pivotField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29"/>
        <item x="37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 sortType="ascending">
      <items count="20">
        <item m="1" x="16"/>
        <item m="1" x="15"/>
        <item m="1" x="14"/>
        <item m="1" x="13"/>
        <item x="1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numFmtId="41" showAll="0"/>
    <pivotField numFmtId="41"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dataField="1" showAll="0"/>
    <pivotField showAll="0"/>
    <pivotField showAll="0"/>
    <pivotField numFmtId="41" showAll="0"/>
    <pivotField showAll="0"/>
    <pivotField dataField="1" showAll="0"/>
    <pivotField dataField="1" showAll="0"/>
    <pivotField showAll="0"/>
    <pivotField showAll="0"/>
    <pivotField showAll="0"/>
    <pivotField numFmtId="41" showAll="0"/>
    <pivotField numFmtId="41" showAll="0"/>
    <pivotField numFmtId="9" showAll="0"/>
    <pivotField dataField="1" numFmtId="4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0"/>
    <field x="7"/>
    <field x="3"/>
  </rowFields>
  <rowItems count="14">
    <i>
      <x/>
    </i>
    <i>
      <x v="1"/>
    </i>
    <i>
      <x v="2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1">
      <x v="7"/>
    </i>
    <i r="2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Potongan Molis (Weekly) " fld="26" baseField="0" baseItem="0" numFmtId="3"/>
    <dataField name="Sum of Total Subsidi Molis KSJ (Monthly)" fld="27" baseField="0" baseItem="0" numFmtId="3"/>
    <dataField name="Sum of Total EV Related Revenue" fld="42" baseField="0" baseItem="0" numFmtId="3"/>
    <dataField name="Sum of Total Cost Molis (Weekly)" fld="21" baseField="0" baseItem="0" numFmtId="3"/>
    <dataField name="Sum of EV Related PV" fld="34" baseField="0" baseItem="0" numFmtId="41"/>
    <dataField name="Sum of EV Related Profit %" fld="38" baseField="0" baseItem="0" numFmtId="9"/>
  </dataFields>
  <formats count="40">
    <format dxfId="1476">
      <pivotArea collapsedLevelsAreSubtotals="1" fieldPosition="0">
        <references count="3">
          <reference field="4294967294" count="3" selected="0">
            <x v="1"/>
            <x v="3"/>
            <x v="4"/>
          </reference>
          <reference field="0" count="1" selected="0">
            <x v="0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477">
      <pivotArea collapsedLevelsAreSubtotals="1" fieldPosition="0">
        <references count="3">
          <reference field="4294967294" count="3" selected="0">
            <x v="1"/>
            <x v="3"/>
            <x v="4"/>
          </reference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78">
      <pivotArea field="0" type="button" dataOnly="0" labelOnly="1" outline="0" axis="axisRow" fieldPosition="0"/>
    </format>
    <format dxfId="1479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1480">
      <pivotArea field="0" type="button" dataOnly="0" labelOnly="1" outline="0" axis="axisRow" fieldPosition="0"/>
    </format>
    <format dxfId="1481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14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8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85">
      <pivotArea field="0" grandRow="1" outline="0" collapsedLevelsAreSubtotals="1" axis="axisRow" fieldPosition="0">
        <references count="1">
          <reference field="4294967294" count="3" selected="0">
            <x v="1"/>
            <x v="3"/>
            <x v="4"/>
          </reference>
        </references>
      </pivotArea>
    </format>
    <format dxfId="148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8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8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8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9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9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93">
      <pivotArea outline="0" fieldPosition="0">
        <references count="1">
          <reference field="4294967294" count="1">
            <x v="2"/>
          </reference>
        </references>
      </pivotArea>
    </format>
    <format dxfId="1494">
      <pivotArea collapsedLevelsAreSubtotals="1" fieldPosition="0">
        <references count="2">
          <reference field="4294967294" count="4" selected="0">
            <x v="1"/>
            <x v="2"/>
            <x v="3"/>
            <x v="4"/>
          </reference>
          <reference field="0" count="1">
            <x v="0"/>
          </reference>
        </references>
      </pivotArea>
    </format>
    <format dxfId="1495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7" count="1">
            <x v="11"/>
          </reference>
        </references>
      </pivotArea>
    </format>
    <format dxfId="1496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1"/>
          </reference>
        </references>
      </pivotArea>
    </format>
    <format dxfId="1497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7" count="1">
            <x v="12"/>
          </reference>
        </references>
      </pivotArea>
    </format>
    <format dxfId="1498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2"/>
          </reference>
        </references>
      </pivotArea>
    </format>
    <format dxfId="1499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7" count="1">
            <x v="13"/>
          </reference>
        </references>
      </pivotArea>
    </format>
    <format dxfId="1500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3"/>
          </reference>
        </references>
      </pivotArea>
    </format>
    <format dxfId="1501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7" count="1">
            <x v="14"/>
          </reference>
        </references>
      </pivotArea>
    </format>
    <format dxfId="1502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4"/>
          </reference>
        </references>
      </pivotArea>
    </format>
    <format dxfId="1503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7" count="1">
            <x v="15"/>
          </reference>
        </references>
      </pivotArea>
    </format>
    <format dxfId="1504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5"/>
          </reference>
        </references>
      </pivotArea>
    </format>
    <format dxfId="1505">
      <pivotArea collapsedLevelsAreSubtotals="1" fieldPosition="0">
        <references count="2">
          <reference field="4294967294" count="4" selected="0">
            <x v="1"/>
            <x v="2"/>
            <x v="3"/>
            <x v="4"/>
          </reference>
          <reference field="0" count="1">
            <x v="1"/>
          </reference>
        </references>
      </pivotArea>
    </format>
    <format dxfId="1506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7" count="1">
            <x v="4"/>
          </reference>
        </references>
      </pivotArea>
    </format>
    <format dxfId="1507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3" count="0"/>
          <reference field="7" count="1" selected="0">
            <x v="4"/>
          </reference>
        </references>
      </pivotArea>
    </format>
    <format dxfId="1508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7" count="1">
            <x v="5"/>
          </reference>
        </references>
      </pivotArea>
    </format>
    <format dxfId="1509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3" count="0"/>
          <reference field="7" count="1" selected="0">
            <x v="5"/>
          </reference>
        </references>
      </pivotArea>
    </format>
    <format dxfId="1510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7" count="1">
            <x v="6"/>
          </reference>
        </references>
      </pivotArea>
    </format>
    <format dxfId="1511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0" count="1" selected="0">
            <x v="1"/>
          </reference>
          <reference field="3" count="2">
            <x v="0"/>
            <x v="1"/>
          </reference>
          <reference field="7" count="1" selected="0">
            <x v="6"/>
          </reference>
        </references>
      </pivotArea>
    </format>
    <format dxfId="15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13">
      <pivotArea outline="0" fieldPosition="0">
        <references count="1">
          <reference field="4294967294" count="1">
            <x v="0"/>
          </reference>
        </references>
      </pivotArea>
    </format>
    <format dxfId="1514">
      <pivotArea outline="0" fieldPosition="0">
        <references count="1">
          <reference field="4294967294" count="1">
            <x v="1"/>
          </reference>
        </references>
      </pivotArea>
    </format>
    <format dxfId="1515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89592-49FA-0548-AA99-58250B5D23C4}" name="PivotTable2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C5:EP37" firstHeaderRow="0" firstDataRow="1" firstDataCol="1" rowPageCount="1" colPageCount="1"/>
  <pivotFields count="48">
    <pivotField axis="axisRow" showAll="0">
      <items count="4">
        <item x="1"/>
        <item x="0"/>
        <item x="2"/>
        <item t="default"/>
      </items>
    </pivotField>
    <pivotField axis="axisPage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1" hier="-1"/>
  </pageFields>
  <dataFields count="13">
    <dataField name="Sum of Total Cost Molis (Weekly)" fld="21" baseField="0" baseItem="0"/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5">
    <format dxfId="1411">
      <pivotArea outline="0" fieldPosition="0">
        <references count="1">
          <reference field="4294967294" count="1">
            <x v="11"/>
          </reference>
        </references>
      </pivotArea>
    </format>
    <format dxfId="1412">
      <pivotArea field="0" type="button" dataOnly="0" labelOnly="1" outline="0" axis="axisRow" fieldPosition="0"/>
    </format>
    <format dxfId="1413">
      <pivotArea field="1" type="button" dataOnly="0" labelOnly="1" outline="0" axis="axisPage" fieldPosition="0"/>
    </format>
    <format dxfId="1414">
      <pivotArea field="1" type="button" dataOnly="0" labelOnly="1" outline="0" axis="axisPage" fieldPosition="0"/>
    </format>
    <format dxfId="1415">
      <pivotArea dataOnly="0" labelOnly="1" outline="0" fieldPosition="0">
        <references count="1">
          <reference field="4294967294" count="4">
            <x v="1"/>
            <x v="9"/>
            <x v="10"/>
            <x v="11"/>
          </reference>
        </references>
      </pivotArea>
    </format>
    <format dxfId="141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1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18">
      <pivotArea collapsedLevelsAreSubtotals="1" fieldPosition="0">
        <references count="2">
          <reference field="4294967294" count="1" selected="0">
            <x v="11"/>
          </reference>
          <reference field="0" count="1">
            <x v="1"/>
          </reference>
        </references>
      </pivotArea>
    </format>
    <format dxfId="1419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420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421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422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423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424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425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426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427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428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429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430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431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432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433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434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435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436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4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7" count="0"/>
        </references>
      </pivotArea>
    </format>
    <format dxfId="1438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143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440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44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42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43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44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45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46">
      <pivotArea outline="0" fieldPosition="0">
        <references count="1">
          <reference field="4294967294" count="1">
            <x v="3"/>
          </reference>
        </references>
      </pivotArea>
    </format>
    <format dxfId="1447">
      <pivotArea field="0" type="button" dataOnly="0" labelOnly="1" outline="0" axis="axisRow" fieldPosition="0"/>
    </format>
    <format dxfId="1448">
      <pivotArea dataOnly="0" labelOnly="1" outline="0" fieldPosition="0">
        <references count="1">
          <reference field="4294967294" count="6">
            <x v="1"/>
            <x v="3"/>
            <x v="6"/>
            <x v="9"/>
            <x v="10"/>
            <x v="11"/>
          </reference>
        </references>
      </pivotArea>
    </format>
    <format dxfId="14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50">
      <pivotArea outline="0" fieldPosition="0">
        <references count="1">
          <reference field="4294967294" count="1">
            <x v="2"/>
          </reference>
        </references>
      </pivotArea>
    </format>
    <format dxfId="1451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52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53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54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55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456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457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1458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14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6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146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46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6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464">
      <pivotArea outline="0" fieldPosition="0">
        <references count="1">
          <reference field="4294967294" count="1">
            <x v="4"/>
          </reference>
        </references>
      </pivotArea>
    </format>
    <format dxfId="1465">
      <pivotArea outline="0" fieldPosition="0">
        <references count="1">
          <reference field="4294967294" count="1">
            <x v="5"/>
          </reference>
        </references>
      </pivotArea>
    </format>
    <format dxfId="1466">
      <pivotArea outline="0" fieldPosition="0">
        <references count="1">
          <reference field="4294967294" count="1">
            <x v="12"/>
          </reference>
        </references>
      </pivotArea>
    </format>
    <format dxfId="1467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468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469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470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471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472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4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0"/>
        </references>
      </pivotArea>
    </format>
    <format dxfId="1474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4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1">
            <x v="1"/>
            <x v="2"/>
            <x v="3"/>
            <x v="4"/>
            <x v="5"/>
            <x v="6"/>
            <x v="7"/>
            <x v="8"/>
            <x v="9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C8C5C-A2FD-4D26-BE6E-E12398BAEAAA}" name="PivotTable8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P7:CS39" firstHeaderRow="0" firstDataRow="1" firstDataCol="1" rowPageCount="1" colPageCount="1"/>
  <pivotFields count="48">
    <pivotField axis="axisRow" showAll="0">
      <items count="4">
        <item x="1"/>
        <item x="0"/>
        <item x="2"/>
        <item t="default"/>
      </items>
    </pivotField>
    <pivotField name="GTV" axis="axisPage" multipleItemSelectionAllowed="1" showAll="0">
      <items count="20">
        <item h="1" x="1"/>
        <item h="1" x="2"/>
        <item h="1" x="7"/>
        <item h="1" x="4"/>
        <item h="1" x="6"/>
        <item x="0"/>
        <item h="1" x="5"/>
        <item h="1" x="3"/>
        <item h="1" m="1" x="18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h="1"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h="1" m="1" x="15"/>
        <item h="1" m="1" x="14"/>
        <item h="1" m="1" x="13"/>
        <item sd="0" x="4"/>
        <item sd="0" x="3"/>
        <item sd="0" x="2"/>
        <item h="1" m="1" x="18"/>
        <item h="1"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dataField="1"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</dataFields>
  <formats count="40">
    <format dxfId="1371">
      <pivotArea field="0" type="button" dataOnly="0" labelOnly="1" outline="0" axis="axisRow" fieldPosition="0"/>
    </format>
    <format dxfId="1372">
      <pivotArea field="1" type="button" dataOnly="0" labelOnly="1" outline="0" axis="axisPage" fieldPosition="0"/>
    </format>
    <format dxfId="1373">
      <pivotArea field="1" type="button" dataOnly="0" labelOnly="1" outline="0" axis="axisPage" fieldPosition="0"/>
    </format>
    <format dxfId="13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75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376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377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378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379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380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381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382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383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384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385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386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387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388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389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390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391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392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39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394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3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396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98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399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00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01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402">
      <pivotArea outline="0" fieldPosition="0">
        <references count="1">
          <reference field="4294967294" count="1">
            <x v="2"/>
          </reference>
        </references>
      </pivotArea>
    </format>
    <format dxfId="1403">
      <pivotArea field="0" type="button" dataOnly="0" labelOnly="1" outline="0" axis="axisRow" fieldPosition="0"/>
    </format>
    <format dxfId="140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4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06">
      <pivotArea outline="0" fieldPosition="0">
        <references count="1">
          <reference field="4294967294" count="1">
            <x v="1"/>
          </reference>
        </references>
      </pivotArea>
    </format>
    <format dxfId="1407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08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09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410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FB55E-0EB8-CA49-8B67-FA1C22D57B24}" name="PivotTable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O5:BZ19" firstHeaderRow="0" firstDataRow="1" firstDataCol="1"/>
  <pivotFields count="48">
    <pivotField axis="axisRow" showAll="0">
      <items count="4">
        <item sd="0" x="1"/>
        <item sd="0" x="0"/>
        <item x="2"/>
        <item t="default"/>
      </items>
    </pivotField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29"/>
        <item x="37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 sortType="ascending">
      <items count="20">
        <item m="1" x="16"/>
        <item m="1" x="15"/>
        <item m="1" x="14"/>
        <item m="1" x="13"/>
        <item x="1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numFmtId="41" showAll="0"/>
    <pivotField numFmtId="41" showAll="0"/>
    <pivotField showAll="0"/>
    <pivotField dataField="1" showAll="0"/>
    <pivotField dataField="1" numFmtId="41" showAll="0"/>
    <pivotField dataField="1" showAll="0"/>
    <pivotField showAll="0"/>
    <pivotField dataField="1" showAll="0"/>
    <pivotField showAll="0"/>
    <pivotField numFmtId="41" showAll="0"/>
    <pivotField dataField="1" showAll="0"/>
    <pivotField showAll="0"/>
    <pivotField showAll="0"/>
    <pivotField dataField="1" showAll="0"/>
    <pivotField numFmtId="41" showAll="0"/>
    <pivotField showAll="0"/>
    <pivotField showAll="0"/>
    <pivotField showAll="0"/>
    <pivotField showAll="0"/>
    <pivotField dataField="1" showAll="0"/>
    <pivotField showAll="0"/>
    <pivotField numFmtId="41" showAll="0"/>
    <pivotField dataField="1"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0"/>
    <field x="7"/>
    <field x="3"/>
  </rowFields>
  <rowItems count="14">
    <i>
      <x/>
    </i>
    <i>
      <x v="1"/>
    </i>
    <i>
      <x v="2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1">
      <x v="7"/>
    </i>
    <i r="2">
      <x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Rider Penalty (Claim, Other Denda to Riders)" fld="29" baseField="0" baseItem="0" numFmtId="166"/>
    <dataField name="Sum of Total Non EV Revenue" fld="40" baseField="0" baseItem="0" numFmtId="166"/>
    <dataField name="Sum of Total Selling Comission/Sales (Weekly)" fld="13" baseField="0" baseItem="0" numFmtId="166"/>
    <dataField name="Sum of Total Daily Incentive (Weekly)" fld="14" baseField="0" baseItem="0" numFmtId="166"/>
    <dataField name="Sum of Total 26 Days Attendance Bonus (Monthly)" fld="15" baseField="0" baseItem="0" numFmtId="166"/>
    <dataField name="Sum of Total Selling 20Mio Bonus (Monthly)" fld="17" baseField="0" baseItem="0" numFmtId="166"/>
    <dataField name="Sum of Manpower (Korlap)" fld="20" baseField="0" baseItem="0" numFmtId="166"/>
    <dataField name="Sum of Storing Cost" fld="23" baseField="0" baseItem="0" numFmtId="166"/>
    <dataField name="Sum of Total Non EV Costs" fld="41" baseField="0" baseItem="0" numFmtId="166"/>
    <dataField name="Sum of Delivery PV" fld="32" baseField="0" baseItem="0" numFmtId="166"/>
    <dataField name="Sum of Non EV Related Profit %" fld="43" baseField="0" baseItem="0" numFmtId="9"/>
  </dataFields>
  <formats count="60">
    <format dxfId="13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4">
      <pivotArea dataOnly="0" labelOnly="1" outline="0" fieldPosition="0">
        <references count="1">
          <reference field="4294967294" count="6">
            <x v="2"/>
            <x v="3"/>
            <x v="4"/>
            <x v="5"/>
            <x v="6"/>
            <x v="7"/>
          </reference>
        </references>
      </pivotArea>
    </format>
    <format dxfId="1315">
      <pivotArea dataOnly="0" labelOnly="1" outline="0" fieldPosition="0">
        <references count="1">
          <reference field="4294967294" count="6">
            <x v="2"/>
            <x v="3"/>
            <x v="4"/>
            <x v="5"/>
            <x v="6"/>
            <x v="7"/>
          </reference>
        </references>
      </pivotArea>
    </format>
    <format dxfId="1316">
      <pivotArea field="0" type="button" dataOnly="0" labelOnly="1" outline="0" axis="axisRow" fieldPosition="0"/>
    </format>
    <format dxfId="1317">
      <pivotArea dataOnly="0" labelOnly="1" outline="0" fieldPosition="0">
        <references count="1">
          <reference field="4294967294" count="7">
            <x v="0"/>
            <x v="2"/>
            <x v="3"/>
            <x v="4"/>
            <x v="5"/>
            <x v="6"/>
            <x v="7"/>
          </reference>
        </references>
      </pivotArea>
    </format>
    <format dxfId="1318">
      <pivotArea dataOnly="0" labelOnly="1" outline="0" fieldPosition="0">
        <references count="1">
          <reference field="4294967294" count="7">
            <x v="0"/>
            <x v="2"/>
            <x v="3"/>
            <x v="4"/>
            <x v="5"/>
            <x v="6"/>
            <x v="7"/>
          </reference>
        </references>
      </pivotArea>
    </format>
    <format dxfId="1319">
      <pivotArea collapsedLevelsAreSubtotals="1" fieldPosition="0">
        <references count="3">
          <reference field="4294967294" count="7" selected="0">
            <x v="0"/>
            <x v="2"/>
            <x v="3"/>
            <x v="4"/>
            <x v="5"/>
            <x v="6"/>
            <x v="7"/>
          </reference>
          <reference field="0" count="1" selected="0">
            <x v="0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320">
      <pivotArea collapsedLevelsAreSubtotals="1" fieldPosition="0">
        <references count="3">
          <reference field="4294967294" count="7" selected="0">
            <x v="0"/>
            <x v="2"/>
            <x v="3"/>
            <x v="4"/>
            <x v="5"/>
            <x v="6"/>
            <x v="7"/>
          </reference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32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2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2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24">
      <pivotArea dataOnly="0" labelOnly="1" outline="0" fieldPosition="0">
        <references count="1">
          <reference field="4294967294" count="6">
            <x v="2"/>
            <x v="3"/>
            <x v="4"/>
            <x v="5"/>
            <x v="6"/>
            <x v="7"/>
          </reference>
        </references>
      </pivotArea>
    </format>
    <format dxfId="1325">
      <pivotArea dataOnly="0" labelOnly="1" outline="0" fieldPosition="0">
        <references count="1">
          <reference field="4294967294" count="6">
            <x v="2"/>
            <x v="3"/>
            <x v="4"/>
            <x v="5"/>
            <x v="6"/>
            <x v="7"/>
          </reference>
        </references>
      </pivotArea>
    </format>
    <format dxfId="13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8">
      <pivotArea field="0" grandRow="1" outline="0" collapsedLevelsAreSubtotals="1" axis="axisRow" fieldPosition="0">
        <references count="1">
          <reference field="429496729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1329">
      <pivotArea outline="0" fieldPosition="0">
        <references count="1">
          <reference field="4294967294" count="1">
            <x v="1"/>
          </reference>
        </references>
      </pivotArea>
    </format>
    <format dxfId="13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3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38">
      <pivotArea outline="0" fieldPosition="0">
        <references count="1">
          <reference field="4294967294" count="1">
            <x v="8"/>
          </reference>
        </references>
      </pivotArea>
    </format>
    <format dxfId="133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40">
      <pivotArea outline="0" fieldPosition="0">
        <references count="1">
          <reference field="4294967294" count="1">
            <x v="10"/>
          </reference>
        </references>
      </pivotArea>
    </format>
    <format dxfId="134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4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4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44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5"/>
          </reference>
        </references>
      </pivotArea>
    </format>
    <format dxfId="1345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" count="0"/>
          <reference field="7" count="1" selected="0">
            <x v="4"/>
          </reference>
        </references>
      </pivotArea>
    </format>
    <format dxfId="1346">
      <pivotArea collapsedLevelsAreSubtotals="1" fieldPosition="0">
        <references count="3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7" count="1">
            <x v="11"/>
          </reference>
        </references>
      </pivotArea>
    </format>
    <format dxfId="1347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1"/>
          </reference>
        </references>
      </pivotArea>
    </format>
    <format dxfId="1348">
      <pivotArea collapsedLevelsAreSubtotals="1" fieldPosition="0">
        <references count="3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7" count="1">
            <x v="12"/>
          </reference>
        </references>
      </pivotArea>
    </format>
    <format dxfId="1349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2"/>
          </reference>
        </references>
      </pivotArea>
    </format>
    <format dxfId="1350">
      <pivotArea collapsedLevelsAreSubtotals="1" fieldPosition="0">
        <references count="3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7" count="1">
            <x v="13"/>
          </reference>
        </references>
      </pivotArea>
    </format>
    <format dxfId="1351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3"/>
          </reference>
        </references>
      </pivotArea>
    </format>
    <format dxfId="1352">
      <pivotArea collapsedLevelsAreSubtotals="1" fieldPosition="0">
        <references count="3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7" count="1">
            <x v="14"/>
          </reference>
        </references>
      </pivotArea>
    </format>
    <format dxfId="1353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4"/>
          </reference>
        </references>
      </pivotArea>
    </format>
    <format dxfId="1354">
      <pivotArea collapsedLevelsAreSubtotals="1" fieldPosition="0">
        <references count="3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7" count="1">
            <x v="15"/>
          </reference>
        </references>
      </pivotArea>
    </format>
    <format dxfId="1355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0"/>
          </reference>
          <reference field="3" count="1">
            <x v="0"/>
          </reference>
          <reference field="7" count="1" selected="0">
            <x v="15"/>
          </reference>
        </references>
      </pivotArea>
    </format>
    <format dxfId="1356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1"/>
          </reference>
          <reference field="3" count="0"/>
          <reference field="7" count="1" selected="0">
            <x v="4"/>
          </reference>
        </references>
      </pivotArea>
    </format>
    <format dxfId="1357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0" count="1" selected="0">
            <x v="1"/>
          </reference>
          <reference field="3" count="0"/>
          <reference field="7" count="1" selected="0">
            <x v="5"/>
          </reference>
        </references>
      </pivotArea>
    </format>
    <format dxfId="1358">
      <pivotArea collapsedLevelsAreSubtotals="1" fieldPosition="0">
        <references count="2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>
            <x v="0"/>
          </reference>
        </references>
      </pivotArea>
    </format>
    <format dxfId="1359">
      <pivotArea collapsedLevelsAreSubtotals="1" fieldPosition="0">
        <references count="2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>
            <x v="1"/>
          </reference>
        </references>
      </pivotArea>
    </format>
    <format dxfId="1360">
      <pivotArea collapsedLevelsAreSubtotals="1" fieldPosition="0">
        <references count="3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7" count="1">
            <x v="4"/>
          </reference>
        </references>
      </pivotArea>
    </format>
    <format dxfId="1361">
      <pivotArea collapsedLevelsAreSubtotals="1" fieldPosition="0">
        <references count="4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3" count="2">
            <x v="0"/>
            <x v="1"/>
          </reference>
          <reference field="7" count="1" selected="0">
            <x v="4"/>
          </reference>
        </references>
      </pivotArea>
    </format>
    <format dxfId="1362">
      <pivotArea collapsedLevelsAreSubtotals="1" fieldPosition="0">
        <references count="3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7" count="1">
            <x v="5"/>
          </reference>
        </references>
      </pivotArea>
    </format>
    <format dxfId="1363">
      <pivotArea collapsedLevelsAreSubtotals="1" fieldPosition="0">
        <references count="4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3" count="2">
            <x v="0"/>
            <x v="1"/>
          </reference>
          <reference field="7" count="1" selected="0">
            <x v="5"/>
          </reference>
        </references>
      </pivotArea>
    </format>
    <format dxfId="1364">
      <pivotArea collapsedLevelsAreSubtotals="1" fieldPosition="0">
        <references count="3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7" count="1">
            <x v="6"/>
          </reference>
        </references>
      </pivotArea>
    </format>
    <format dxfId="1365">
      <pivotArea collapsedLevelsAreSubtotals="1" fieldPosition="0">
        <references count="4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3" count="2">
            <x v="0"/>
            <x v="1"/>
          </reference>
          <reference field="7" count="1" selected="0">
            <x v="6"/>
          </reference>
        </references>
      </pivotArea>
    </format>
    <format dxfId="1366">
      <pivotArea collapsedLevelsAreSubtotals="1" fieldPosition="0">
        <references count="3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367">
      <pivotArea collapsedLevelsAreSubtotals="1" fieldPosition="0">
        <references count="4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0" count="1" selected="0">
            <x v="1"/>
          </reference>
          <reference field="3" count="2">
            <x v="0"/>
            <x v="1"/>
          </reference>
          <reference field="7" count="1" selected="0">
            <x v="7"/>
          </reference>
        </references>
      </pivotArea>
    </format>
    <format dxfId="1368">
      <pivotArea outline="0" collapsedLevelsAreSubtotals="1" fieldPosition="0">
        <references count="1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369">
      <pivotArea field="0" type="button" dataOnly="0" labelOnly="1" outline="0" axis="axisRow" fieldPosition="0"/>
    </format>
    <format dxfId="137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9B893-C7E1-5A4B-8FCF-ACC4910E29FC}" name="PivotTable23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L5:DR39" firstHeaderRow="0" firstDataRow="1" firstDataCol="1"/>
  <pivotFields count="48">
    <pivotField axis="axisRow" showAll="0">
      <items count="4">
        <item h="1" x="1"/>
        <item x="0"/>
        <item h="1" x="2"/>
        <item t="default"/>
      </items>
    </pivotField>
    <pivotField axis="axisRow" showAll="0">
      <items count="20">
        <item h="1" sd="0" x="1"/>
        <item h="1" sd="0" x="2"/>
        <item h="1" sd="0" x="7"/>
        <item h="1" sd="0" x="4"/>
        <item h="1" sd="0" x="6"/>
        <item x="0"/>
        <item h="1" sd="0" x="5"/>
        <item h="1" sd="0" x="3"/>
        <item m="1" x="18"/>
        <item h="1" sd="0" x="8"/>
        <item h="1" sd="0" x="9"/>
        <item h="1" sd="0" x="10"/>
        <item h="1" sd="0" x="11"/>
        <item x="12"/>
        <item h="1" sd="0" x="13"/>
        <item x="14"/>
        <item x="15"/>
        <item h="1" x="16"/>
        <item h="1"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3">
    <field x="0"/>
    <field x="1"/>
    <field x="7"/>
  </rowFields>
  <rowItems count="34">
    <i>
      <x v="1"/>
    </i>
    <i r="1">
      <x v="5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3"/>
    </i>
    <i r="2">
      <x v="14"/>
    </i>
    <i r="2">
      <x v="15"/>
    </i>
    <i r="1">
      <x v="13"/>
    </i>
    <i r="2">
      <x v="6"/>
    </i>
    <i r="2">
      <x v="7"/>
    </i>
    <i r="2">
      <x v="8"/>
    </i>
    <i r="2">
      <x v="9"/>
    </i>
    <i r="2">
      <x v="13"/>
    </i>
    <i r="2">
      <x v="14"/>
    </i>
    <i r="2">
      <x v="15"/>
    </i>
    <i r="1">
      <x v="15"/>
    </i>
    <i r="2">
      <x v="7"/>
    </i>
    <i r="2">
      <x v="8"/>
    </i>
    <i r="2">
      <x v="9"/>
    </i>
    <i r="2">
      <x v="13"/>
    </i>
    <i r="2">
      <x v="14"/>
    </i>
    <i r="2">
      <x v="15"/>
    </i>
    <i r="1">
      <x v="16"/>
    </i>
    <i r="2">
      <x v="9"/>
    </i>
    <i r="2">
      <x v="13"/>
    </i>
    <i r="2"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Cups Sold" fld="11" baseField="0" baseItem="0" numFmtId="3"/>
    <dataField name="Sum of Total Revenue" fld="30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45">
    <format dxfId="1266">
      <pivotArea outline="0" fieldPosition="0">
        <references count="1">
          <reference field="4294967294" count="1">
            <x v="4"/>
          </reference>
        </references>
      </pivotArea>
    </format>
    <format dxfId="1267">
      <pivotArea field="0" type="button" dataOnly="0" labelOnly="1" outline="0" axis="axisRow" fieldPosition="0"/>
    </format>
    <format dxfId="1268">
      <pivotArea field="1" type="button" dataOnly="0" labelOnly="1" outline="0" axis="axisRow" fieldPosition="1"/>
    </format>
    <format dxfId="1269">
      <pivotArea field="1" type="button" dataOnly="0" labelOnly="1" outline="0" axis="axisRow" fieldPosition="1"/>
    </format>
    <format dxfId="1270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271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1272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273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274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275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276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277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278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279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280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281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282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283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284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285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286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87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88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89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90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91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92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93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94">
      <pivotArea field="0" type="button" dataOnly="0" labelOnly="1" outline="0" axis="axisRow" fieldPosition="0"/>
    </format>
    <format dxfId="1295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296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97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98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99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300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301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3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30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5">
      <pivotArea outline="0" fieldPosition="0">
        <references count="1">
          <reference field="4294967294" count="1">
            <x v="5"/>
          </reference>
        </references>
      </pivotArea>
    </format>
    <format dxfId="130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07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308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309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31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F8462-5238-4EE7-A028-A98D03B331E6}" name="PivotTable1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N18" firstHeaderRow="0" firstDataRow="1" firstDataCol="1" rowPageCount="2" colPageCount="1"/>
  <pivotFields count="48">
    <pivotField axis="axisRow" showAll="0">
      <items count="4">
        <item h="1" x="1"/>
        <item x="0"/>
        <item h="1" x="2"/>
        <item t="default"/>
      </items>
    </pivotField>
    <pivotField axis="axisPage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multipleItemSelectionAllowed="1" showAll="0">
      <items count="4">
        <item x="0"/>
        <item x="1"/>
        <item h="1"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1" hier="-1"/>
    <pageField fld="4" hier="-1"/>
  </pageFields>
  <dataFields count="1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 Molis (Weekly)" fld="21" baseField="0" baseItem="0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3">
    <format dxfId="1203">
      <pivotArea outline="0" fieldPosition="0">
        <references count="1">
          <reference field="4294967294" count="1">
            <x v="11"/>
          </reference>
        </references>
      </pivotArea>
    </format>
    <format dxfId="1204">
      <pivotArea field="0" type="button" dataOnly="0" labelOnly="1" outline="0" axis="axisRow" fieldPosition="0"/>
    </format>
    <format dxfId="1205">
      <pivotArea field="1" type="button" dataOnly="0" labelOnly="1" outline="0" axis="axisPage" fieldPosition="0"/>
    </format>
    <format dxfId="1206">
      <pivotArea field="1" type="button" dataOnly="0" labelOnly="1" outline="0" axis="axisPage" fieldPosition="0"/>
    </format>
    <format dxfId="1207">
      <pivotArea dataOnly="0" labelOnly="1" outline="0" fieldPosition="0">
        <references count="1">
          <reference field="4294967294" count="4">
            <x v="0"/>
            <x v="9"/>
            <x v="10"/>
            <x v="11"/>
          </reference>
        </references>
      </pivotArea>
    </format>
    <format dxfId="120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0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10">
      <pivotArea collapsedLevelsAreSubtotals="1" fieldPosition="0">
        <references count="2">
          <reference field="4294967294" count="1" selected="0">
            <x v="11"/>
          </reference>
          <reference field="0" count="1">
            <x v="1"/>
          </reference>
        </references>
      </pivotArea>
    </format>
    <format dxfId="1211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212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213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214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215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216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217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218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219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220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221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222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223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224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225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26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27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28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22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230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2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232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34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35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36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37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238">
      <pivotArea outline="0" fieldPosition="0">
        <references count="1">
          <reference field="4294967294" count="1">
            <x v="2"/>
          </reference>
        </references>
      </pivotArea>
    </format>
    <format dxfId="1239">
      <pivotArea field="0" type="button" dataOnly="0" labelOnly="1" outline="0" axis="axisRow" fieldPosition="0"/>
    </format>
    <format dxfId="1240">
      <pivotArea dataOnly="0" labelOnly="1" outline="0" fieldPosition="0">
        <references count="1">
          <reference field="4294967294" count="6">
            <x v="0"/>
            <x v="2"/>
            <x v="5"/>
            <x v="9"/>
            <x v="10"/>
            <x v="11"/>
          </reference>
        </references>
      </pivotArea>
    </format>
    <format dxfId="12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2">
      <pivotArea outline="0" fieldPosition="0">
        <references count="1">
          <reference field="4294967294" count="1">
            <x v="1"/>
          </reference>
        </references>
      </pivotArea>
    </format>
    <format dxfId="1243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44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45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46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247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248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249">
      <pivotArea dataOnly="0" labelOnly="1" outline="0" fieldPosition="0">
        <references count="1">
          <reference field="4294967294" count="3">
            <x v="6"/>
            <x v="7"/>
            <x v="9"/>
          </reference>
        </references>
      </pivotArea>
    </format>
    <format dxfId="1250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12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52">
      <pivotArea dataOnly="0" labelOnly="1" outline="0" fieldPosition="0">
        <references count="1">
          <reference field="4294967294" count="2">
            <x v="7"/>
            <x v="9"/>
          </reference>
        </references>
      </pivotArea>
    </format>
    <format dxfId="125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5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55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256">
      <pivotArea outline="0" fieldPosition="0">
        <references count="1">
          <reference field="4294967294" count="1">
            <x v="3"/>
          </reference>
        </references>
      </pivotArea>
    </format>
    <format dxfId="1257">
      <pivotArea outline="0" fieldPosition="0">
        <references count="1">
          <reference field="4294967294" count="1">
            <x v="4"/>
          </reference>
        </references>
      </pivotArea>
    </format>
    <format dxfId="1258">
      <pivotArea outline="0" fieldPosition="0">
        <references count="1">
          <reference field="4294967294" count="1">
            <x v="12"/>
          </reference>
        </references>
      </pivotArea>
    </format>
    <format dxfId="1259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2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261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262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263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264">
      <pivotArea collapsedLevelsAreSubtotals="1" fieldPosition="0">
        <references count="3">
          <reference field="4294967294" count="1" selected="0">
            <x v="11"/>
          </reference>
          <reference field="0" count="1" selected="0">
            <x v="1"/>
          </reference>
          <reference field="7" count="2">
            <x v="13"/>
            <x v="14"/>
          </reference>
        </references>
      </pivotArea>
    </format>
    <format dxfId="1265">
      <pivotArea dataOnly="0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5F737-BA2B-4557-8F1C-23E33BF721FC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AG55" firstHeaderRow="0" firstDataRow="1" firstDataCol="1" rowPageCount="2" colPageCount="1"/>
  <pivotFields count="48">
    <pivotField axis="axisRow" showAll="0">
      <items count="4">
        <item h="1" x="1"/>
        <item x="0"/>
        <item x="2"/>
        <item t="default"/>
      </items>
    </pivotField>
    <pivotField axis="axisPage" showAll="0">
      <items count="20">
        <item h="1" x="1"/>
        <item h="1" x="2"/>
        <item h="1" x="7"/>
        <item h="1" x="4"/>
        <item h="1" x="6"/>
        <item x="0"/>
        <item h="1" x="5"/>
        <item h="1" x="3"/>
        <item m="1" x="18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22"/>
        <item x="17"/>
        <item x="14"/>
        <item x="6"/>
        <item x="16"/>
        <item x="4"/>
        <item x="23"/>
        <item x="20"/>
        <item x="18"/>
        <item m="1" x="24"/>
        <item t="default"/>
      </items>
    </pivotField>
    <pivotField showAll="0"/>
    <pivotField axis="axisPage" multipleItemSelectionAllowed="1" showAll="0">
      <items count="4">
        <item x="0"/>
        <item x="1"/>
        <item h="1"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x="1"/>
        <item x="0"/>
        <item x="7"/>
        <item sd="0" x="8"/>
        <item sd="0"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3">
    <field x="0"/>
    <field x="7"/>
    <field x="2"/>
  </rowFields>
  <rowItems count="51">
    <i>
      <x v="1"/>
    </i>
    <i r="1">
      <x v="1"/>
    </i>
    <i r="2">
      <x v="10"/>
    </i>
    <i r="2">
      <x v="11"/>
    </i>
    <i r="2">
      <x v="13"/>
    </i>
    <i r="2">
      <x v="14"/>
    </i>
    <i r="1">
      <x v="2"/>
    </i>
    <i r="2">
      <x v="10"/>
    </i>
    <i r="2">
      <x v="11"/>
    </i>
    <i r="2">
      <x v="13"/>
    </i>
    <i r="2">
      <x v="14"/>
    </i>
    <i r="1">
      <x v="3"/>
    </i>
    <i r="2">
      <x v="10"/>
    </i>
    <i r="2">
      <x v="11"/>
    </i>
    <i r="2">
      <x v="13"/>
    </i>
    <i r="2">
      <x v="1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 r="2">
      <x v="10"/>
    </i>
    <i r="2">
      <x v="11"/>
    </i>
    <i r="2">
      <x v="12"/>
    </i>
    <i r="2">
      <x v="13"/>
    </i>
    <i r="2">
      <x v="14"/>
    </i>
    <i>
      <x v="2"/>
    </i>
    <i r="1">
      <x v="1"/>
    </i>
    <i r="2">
      <x v="10"/>
    </i>
    <i r="2">
      <x v="11"/>
    </i>
    <i r="2">
      <x v="12"/>
    </i>
    <i r="2">
      <x v="13"/>
    </i>
    <i r="2">
      <x v="14"/>
    </i>
    <i r="1">
      <x v="2"/>
    </i>
    <i r="2">
      <x v="10"/>
    </i>
    <i r="2">
      <x v="11"/>
    </i>
    <i r="2">
      <x v="12"/>
    </i>
    <i r="2">
      <x v="13"/>
    </i>
    <i r="2">
      <x v="14"/>
    </i>
    <i r="1">
      <x v="3"/>
    </i>
    <i r="2">
      <x v="10"/>
    </i>
    <i r="2">
      <x v="11"/>
    </i>
    <i r="2">
      <x v="12"/>
    </i>
    <i r="2">
      <x v="13"/>
    </i>
    <i r="2">
      <x v="14"/>
    </i>
    <i r="1"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1" item="5" hier="-1"/>
    <pageField fld="4" hier="-1"/>
  </pageFields>
  <dataFields count="1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 Molis (Weekly)" fld="21" baseField="0" baseItem="0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3">
    <format dxfId="1140">
      <pivotArea outline="0" fieldPosition="0">
        <references count="1">
          <reference field="4294967294" count="1">
            <x v="11"/>
          </reference>
        </references>
      </pivotArea>
    </format>
    <format dxfId="1141">
      <pivotArea field="0" type="button" dataOnly="0" labelOnly="1" outline="0" axis="axisRow" fieldPosition="0"/>
    </format>
    <format dxfId="1142">
      <pivotArea field="1" type="button" dataOnly="0" labelOnly="1" outline="0" axis="axisPage" fieldPosition="0"/>
    </format>
    <format dxfId="1143">
      <pivotArea field="1" type="button" dataOnly="0" labelOnly="1" outline="0" axis="axisPage" fieldPosition="0"/>
    </format>
    <format dxfId="1144">
      <pivotArea dataOnly="0" labelOnly="1" outline="0" fieldPosition="0">
        <references count="1">
          <reference field="4294967294" count="4">
            <x v="0"/>
            <x v="9"/>
            <x v="10"/>
            <x v="11"/>
          </reference>
        </references>
      </pivotArea>
    </format>
    <format dxfId="114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47">
      <pivotArea collapsedLevelsAreSubtotals="1" fieldPosition="0">
        <references count="2">
          <reference field="4294967294" count="1" selected="0">
            <x v="11"/>
          </reference>
          <reference field="0" count="1">
            <x v="1"/>
          </reference>
        </references>
      </pivotArea>
    </format>
    <format dxfId="1148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149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150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151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152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153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154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155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156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157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158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159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160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161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162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63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64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65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167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1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169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1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1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72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73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74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75">
      <pivotArea outline="0" fieldPosition="0">
        <references count="1">
          <reference field="4294967294" count="1">
            <x v="2"/>
          </reference>
        </references>
      </pivotArea>
    </format>
    <format dxfId="1176">
      <pivotArea field="0" type="button" dataOnly="0" labelOnly="1" outline="0" axis="axisRow" fieldPosition="0"/>
    </format>
    <format dxfId="1177">
      <pivotArea dataOnly="0" labelOnly="1" outline="0" fieldPosition="0">
        <references count="1">
          <reference field="4294967294" count="6">
            <x v="0"/>
            <x v="2"/>
            <x v="5"/>
            <x v="9"/>
            <x v="10"/>
            <x v="11"/>
          </reference>
        </references>
      </pivotArea>
    </format>
    <format dxfId="11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9">
      <pivotArea outline="0" fieldPosition="0">
        <references count="1">
          <reference field="4294967294" count="1">
            <x v="1"/>
          </reference>
        </references>
      </pivotArea>
    </format>
    <format dxfId="1180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81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82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83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84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185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186">
      <pivotArea dataOnly="0" labelOnly="1" outline="0" fieldPosition="0">
        <references count="1">
          <reference field="4294967294" count="3">
            <x v="6"/>
            <x v="7"/>
            <x v="9"/>
          </reference>
        </references>
      </pivotArea>
    </format>
    <format dxfId="1187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11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89">
      <pivotArea dataOnly="0" labelOnly="1" outline="0" fieldPosition="0">
        <references count="1">
          <reference field="4294967294" count="2">
            <x v="7"/>
            <x v="9"/>
          </reference>
        </references>
      </pivotArea>
    </format>
    <format dxfId="119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9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9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193">
      <pivotArea outline="0" fieldPosition="0">
        <references count="1">
          <reference field="4294967294" count="1">
            <x v="3"/>
          </reference>
        </references>
      </pivotArea>
    </format>
    <format dxfId="1194">
      <pivotArea outline="0" fieldPosition="0">
        <references count="1">
          <reference field="4294967294" count="1">
            <x v="4"/>
          </reference>
        </references>
      </pivotArea>
    </format>
    <format dxfId="1195">
      <pivotArea outline="0" fieldPosition="0">
        <references count="1">
          <reference field="4294967294" count="1">
            <x v="12"/>
          </reference>
        </references>
      </pivotArea>
    </format>
    <format dxfId="1196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1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198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199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200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201">
      <pivotArea collapsedLevelsAreSubtotals="1" fieldPosition="0">
        <references count="3">
          <reference field="4294967294" count="1" selected="0">
            <x v="11"/>
          </reference>
          <reference field="0" count="1" selected="0">
            <x v="1"/>
          </reference>
          <reference field="7" count="2">
            <x v="13"/>
            <x v="14"/>
          </reference>
        </references>
      </pivotArea>
    </format>
    <format dxfId="1202">
      <pivotArea dataOnly="0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A3AD-6EFB-B845-A9BD-A57C1052C3D3}" name="PivotTable25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P37" firstHeaderRow="0" firstDataRow="1" firstDataCol="1" rowPageCount="1" colPageCount="1"/>
  <pivotFields count="48">
    <pivotField axis="axisRow" showAll="0">
      <items count="4">
        <item x="1"/>
        <item x="0"/>
        <item x="2"/>
        <item t="default"/>
      </items>
    </pivotField>
    <pivotField axis="axisPage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Row" showAll="0">
      <items count="20">
        <item m="1" x="16"/>
        <item x="1"/>
        <item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numFmtId="4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1" hier="-1"/>
  </pageFields>
  <dataFields count="1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Subsidi Molis KSJ (Monthly)" fld="27" baseField="0" baseItem="0" numFmtId="3"/>
    <dataField name="Sum of Total Potongan Molis (Weekly) " fld="26" baseField="0" baseItem="0" numFmtId="3"/>
    <dataField name="Sum of Total Cost Molis (Weekly)" fld="21" baseField="0" baseItem="0" numFmtId="43"/>
    <dataField name="Sum of Total Revenue" fld="30" baseField="0" baseItem="0" numFmtId="41"/>
    <dataField name="Sum of Total Income Sales (Weekly)" fld="19" baseField="0" baseItem="0" numFmtId="41"/>
    <dataField name="Sum of Total Operational Cost" fld="24" baseField="0" baseItem="0" numFmtId="41"/>
    <dataField name="Sum of Total Cost" fld="39" baseField="0" baseItem="0" numFmtId="41"/>
    <dataField name="Sum of Profit" fld="31" baseField="0" baseItem="0" numFmtId="41"/>
    <dataField name="Sum of Profit %" fld="37" baseField="0" baseItem="0" numFmtId="9"/>
    <dataField name="Sum of Avg Price per Cup" fld="46" baseField="0" baseItem="0" numFmtId="164"/>
  </dataFields>
  <formats count="65">
    <format dxfId="1075">
      <pivotArea outline="0" fieldPosition="0">
        <references count="1">
          <reference field="4294967294" count="1">
            <x v="11"/>
          </reference>
        </references>
      </pivotArea>
    </format>
    <format dxfId="1076">
      <pivotArea field="0" type="button" dataOnly="0" labelOnly="1" outline="0" axis="axisRow" fieldPosition="0"/>
    </format>
    <format dxfId="1077">
      <pivotArea field="1" type="button" dataOnly="0" labelOnly="1" outline="0" axis="axisPage" fieldPosition="0"/>
    </format>
    <format dxfId="1078">
      <pivotArea field="1" type="button" dataOnly="0" labelOnly="1" outline="0" axis="axisPage" fieldPosition="0"/>
    </format>
    <format dxfId="1079">
      <pivotArea dataOnly="0" labelOnly="1" outline="0" fieldPosition="0">
        <references count="1">
          <reference field="4294967294" count="4">
            <x v="0"/>
            <x v="9"/>
            <x v="10"/>
            <x v="11"/>
          </reference>
        </references>
      </pivotArea>
    </format>
    <format dxfId="10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8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82">
      <pivotArea collapsedLevelsAreSubtotals="1" fieldPosition="0">
        <references count="2">
          <reference field="4294967294" count="1" selected="0">
            <x v="11"/>
          </reference>
          <reference field="0" count="1">
            <x v="1"/>
          </reference>
        </references>
      </pivotArea>
    </format>
    <format dxfId="1083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084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085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086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087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088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089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090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091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092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093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094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095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096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097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98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99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00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1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7" count="0"/>
        </references>
      </pivotArea>
    </format>
    <format dxfId="1102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1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7" count="5">
            <x v="1"/>
            <x v="2"/>
            <x v="3"/>
            <x v="4"/>
            <x v="5"/>
          </reference>
        </references>
      </pivotArea>
    </format>
    <format dxfId="1104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1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06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07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08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09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110">
      <pivotArea outline="0" fieldPosition="0">
        <references count="1">
          <reference field="4294967294" count="1">
            <x v="2"/>
          </reference>
        </references>
      </pivotArea>
    </format>
    <format dxfId="1111">
      <pivotArea field="0" type="button" dataOnly="0" labelOnly="1" outline="0" axis="axisRow" fieldPosition="0"/>
    </format>
    <format dxfId="1112">
      <pivotArea dataOnly="0" labelOnly="1" outline="0" fieldPosition="0">
        <references count="1">
          <reference field="4294967294" count="6">
            <x v="0"/>
            <x v="2"/>
            <x v="6"/>
            <x v="9"/>
            <x v="10"/>
            <x v="11"/>
          </reference>
        </references>
      </pivotArea>
    </format>
    <format dxfId="11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14">
      <pivotArea outline="0" fieldPosition="0">
        <references count="1">
          <reference field="4294967294" count="1">
            <x v="1"/>
          </reference>
        </references>
      </pivotArea>
    </format>
    <format dxfId="1115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16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17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18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119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120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121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1122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11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24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112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2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128">
      <pivotArea outline="0" fieldPosition="0">
        <references count="1">
          <reference field="4294967294" count="1">
            <x v="3"/>
          </reference>
        </references>
      </pivotArea>
    </format>
    <format dxfId="1129">
      <pivotArea outline="0" fieldPosition="0">
        <references count="1">
          <reference field="4294967294" count="1">
            <x v="4"/>
          </reference>
        </references>
      </pivotArea>
    </format>
    <format dxfId="1130">
      <pivotArea outline="0" fieldPosition="0">
        <references count="1">
          <reference field="4294967294" count="1">
            <x v="12"/>
          </reference>
        </references>
      </pivotArea>
    </format>
    <format dxfId="113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13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7" count="1">
            <x v="7"/>
          </reference>
        </references>
      </pivotArea>
    </format>
    <format dxfId="1133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134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135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136">
      <pivotArea collapsedLevelsAreSubtotals="1" fieldPosition="0">
        <references count="3">
          <reference field="4294967294" count="1" selected="0">
            <x v="11"/>
          </reference>
          <reference field="0" count="1" selected="0">
            <x v="1"/>
          </reference>
          <reference field="7" count="2">
            <x v="13"/>
            <x v="14"/>
          </reference>
        </references>
      </pivotArea>
    </format>
    <format dxfId="113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38">
      <pivotArea collapsedLevelsAreSubtotals="1" fieldPosition="0">
        <references count="3">
          <reference field="4294967294" count="1" selected="0">
            <x v="5"/>
          </reference>
          <reference field="0" count="1" selected="0">
            <x v="1"/>
          </reference>
          <reference field="7" count="1">
            <x v="15"/>
          </reference>
        </references>
      </pivotArea>
    </format>
    <format dxfId="113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C7678-83EB-4329-9E8B-BFD629B53595}" name="PivotTable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1:Y55" firstHeaderRow="1" firstDataRow="3" firstDataCol="1"/>
  <pivotFields count="48">
    <pivotField axis="axisCol" showAll="0">
      <items count="4">
        <item h="1" x="1"/>
        <item h="1" x="0"/>
        <item x="2"/>
        <item t="default"/>
      </items>
    </pivotField>
    <pivotField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Row" showAll="0">
      <items count="4">
        <item h="1" x="0"/>
        <item x="1"/>
        <item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Col" showAll="0">
      <items count="20">
        <item m="1" x="16"/>
        <item sd="0" x="1"/>
        <item sd="0" x="0"/>
        <item h="1"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2">
    <field x="0"/>
    <field x="7"/>
  </colFields>
  <colItems count="5">
    <i>
      <x v="2"/>
      <x v="1"/>
    </i>
    <i r="1">
      <x v="2"/>
    </i>
    <i r="1">
      <x v="4"/>
    </i>
    <i t="default">
      <x v="2"/>
    </i>
    <i t="grand">
      <x/>
    </i>
  </colItems>
  <dataFields count="1">
    <dataField name="Sum of Total Cost" fld="39" baseField="0" baseItem="0"/>
  </dataFields>
  <formats count="52">
    <format dxfId="1023">
      <pivotArea field="0" type="button" dataOnly="0" labelOnly="1" outline="0" axis="axisCol" fieldPosition="0"/>
    </format>
    <format dxfId="1024">
      <pivotArea field="1" type="button" dataOnly="0" labelOnly="1" outline="0"/>
    </format>
    <format dxfId="1025">
      <pivotArea field="1" type="button" dataOnly="0" labelOnly="1" outline="0"/>
    </format>
    <format dxfId="1026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027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028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029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1030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1031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1032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1033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1034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1035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1036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1037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1038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1039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040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41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42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43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1044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045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046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047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1048">
      <pivotArea field="0" type="button" dataOnly="0" labelOnly="1" outline="0" axis="axisCol" fieldPosition="0"/>
    </format>
    <format dxfId="1049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050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051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052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1053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054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055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056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057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058">
      <pivotArea dataOnly="0" fieldPosition="0">
        <references count="1">
          <reference field="7" count="1">
            <x v="1"/>
          </reference>
        </references>
      </pivotArea>
    </format>
    <format dxfId="1059">
      <pivotArea dataOnly="0" fieldPosition="0">
        <references count="1">
          <reference field="7" count="1">
            <x v="2"/>
          </reference>
        </references>
      </pivotArea>
    </format>
    <format dxfId="1060">
      <pivotArea type="all" dataOnly="0" outline="0" fieldPosition="0"/>
    </format>
    <format dxfId="1061">
      <pivotArea outline="0" collapsedLevelsAreSubtotals="1" fieldPosition="0"/>
    </format>
    <format dxfId="1062">
      <pivotArea type="origin" dataOnly="0" labelOnly="1" outline="0" fieldPosition="0"/>
    </format>
    <format dxfId="1063">
      <pivotArea field="0" type="button" dataOnly="0" labelOnly="1" outline="0" axis="axisCol" fieldPosition="0"/>
    </format>
    <format dxfId="1064">
      <pivotArea field="7" type="button" dataOnly="0" labelOnly="1" outline="0" axis="axisCol" fieldPosition="1"/>
    </format>
    <format dxfId="1065">
      <pivotArea type="topRight" dataOnly="0" labelOnly="1" outline="0" fieldPosition="0"/>
    </format>
    <format dxfId="1066">
      <pivotArea field="1" type="button" dataOnly="0" labelOnly="1" outline="0"/>
    </format>
    <format dxfId="1067">
      <pivotArea dataOnly="0" labelOnly="1" grandRow="1" outline="0" fieldPosition="0"/>
    </format>
    <format dxfId="1068">
      <pivotArea dataOnly="0" labelOnly="1" fieldPosition="0">
        <references count="1">
          <reference field="0" count="0"/>
        </references>
      </pivotArea>
    </format>
    <format dxfId="1069">
      <pivotArea dataOnly="0" labelOnly="1" fieldPosition="0">
        <references count="1">
          <reference field="0" count="0" defaultSubtotal="1"/>
        </references>
      </pivotArea>
    </format>
    <format dxfId="1070">
      <pivotArea dataOnly="0" labelOnly="1" grandCol="1" outline="0" fieldPosition="0"/>
    </format>
    <format dxfId="1071">
      <pivotArea dataOnly="0" labelOnly="1" fieldPosition="0">
        <references count="2">
          <reference field="0" count="1" selected="0">
            <x v="0"/>
          </reference>
          <reference field="7" count="0"/>
        </references>
      </pivotArea>
    </format>
    <format dxfId="1072">
      <pivotArea dataOnly="0" labelOnly="1" fieldPosition="0">
        <references count="2">
          <reference field="0" count="1" selected="0">
            <x v="1"/>
          </reference>
          <reference field="7" count="0"/>
        </references>
      </pivotArea>
    </format>
    <format dxfId="1073">
      <pivotArea dataOnly="0" labelOnly="1" fieldPosition="0">
        <references count="2">
          <reference field="0" count="1" selected="0">
            <x v="2"/>
          </reference>
          <reference field="7" count="3">
            <x v="1"/>
            <x v="2"/>
            <x v="3"/>
          </reference>
        </references>
      </pivotArea>
    </format>
    <format dxfId="1074">
      <pivotArea dataOnly="0" labelOnly="1" fieldPosition="0">
        <references count="1">
          <reference field="0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42D2D-DD62-43EE-B966-2EAACA93CE9A}" name="PivotTable3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8:AD44" firstHeaderRow="1" firstDataRow="4" firstDataCol="1" rowPageCount="1" colPageCount="1"/>
  <pivotFields count="48">
    <pivotField axis="axisCol" showAll="0">
      <items count="4">
        <item h="1" x="1"/>
        <item h="1" x="0"/>
        <item x="2"/>
        <item t="default"/>
      </items>
    </pivotField>
    <pivotField axis="axisRow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showAll="0">
      <items count="4">
        <item h="1" x="0"/>
        <item x="1"/>
        <item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Col" showAll="0">
      <items count="20">
        <item m="1" x="16"/>
        <item x="1"/>
        <item sd="0" x="0"/>
        <item h="1"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dataField="1"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 v="5"/>
    </i>
    <i>
      <x v="17"/>
    </i>
    <i t="grand">
      <x/>
    </i>
  </rowItems>
  <colFields count="3">
    <field x="0"/>
    <field x="7"/>
    <field x="-2"/>
  </colFields>
  <colItems count="10">
    <i>
      <x v="2"/>
      <x v="1"/>
      <x/>
    </i>
    <i r="2" i="1">
      <x v="1"/>
    </i>
    <i r="1">
      <x v="2"/>
      <x/>
    </i>
    <i r="2" i="1">
      <x v="1"/>
    </i>
    <i r="1">
      <x v="4"/>
      <x/>
    </i>
    <i r="2" i="1">
      <x v="1"/>
    </i>
    <i t="default">
      <x v="2"/>
    </i>
    <i t="default" i="1">
      <x v="2"/>
    </i>
    <i t="grand">
      <x/>
    </i>
    <i t="grand" i="1">
      <x/>
    </i>
  </colItems>
  <pageFields count="1">
    <pageField fld="4" item="1" hier="-1"/>
  </pageFields>
  <dataFields count="2">
    <dataField name="Sum of Total Revenue" fld="30" baseField="0" baseItem="0" numFmtId="41"/>
    <dataField name="Sum of Total Cups Sold" fld="11" baseField="0" baseItem="0"/>
  </dataFields>
  <formats count="54">
    <format dxfId="969">
      <pivotArea field="0" type="button" dataOnly="0" labelOnly="1" outline="0" axis="axisCol" fieldPosition="0"/>
    </format>
    <format dxfId="970">
      <pivotArea field="1" type="button" dataOnly="0" labelOnly="1" outline="0" axis="axisRow" fieldPosition="0"/>
    </format>
    <format dxfId="971">
      <pivotArea field="1" type="button" dataOnly="0" labelOnly="1" outline="0" axis="axisRow" fieldPosition="0"/>
    </format>
    <format dxfId="972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973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974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975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976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977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978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979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980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981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982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983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984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985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986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87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88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89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90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91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92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93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94">
      <pivotArea field="0" type="button" dataOnly="0" labelOnly="1" outline="0" axis="axisCol" fieldPosition="0"/>
    </format>
    <format dxfId="995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96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97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98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99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000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1001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1002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003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1004">
      <pivotArea dataOnly="0" fieldPosition="0">
        <references count="1">
          <reference field="7" count="1">
            <x v="1"/>
          </reference>
        </references>
      </pivotArea>
    </format>
    <format dxfId="1005">
      <pivotArea dataOnly="0" fieldPosition="0">
        <references count="1">
          <reference field="7" count="1">
            <x v="2"/>
          </reference>
        </references>
      </pivotArea>
    </format>
    <format dxfId="1006">
      <pivotArea type="all" dataOnly="0" outline="0" fieldPosition="0"/>
    </format>
    <format dxfId="1007">
      <pivotArea outline="0" collapsedLevelsAreSubtotals="1" fieldPosition="0"/>
    </format>
    <format dxfId="1008">
      <pivotArea type="origin" dataOnly="0" labelOnly="1" outline="0" fieldPosition="0"/>
    </format>
    <format dxfId="1009">
      <pivotArea field="0" type="button" dataOnly="0" labelOnly="1" outline="0" axis="axisCol" fieldPosition="0"/>
    </format>
    <format dxfId="1010">
      <pivotArea field="7" type="button" dataOnly="0" labelOnly="1" outline="0" axis="axisCol" fieldPosition="1"/>
    </format>
    <format dxfId="1011">
      <pivotArea type="topRight" dataOnly="0" labelOnly="1" outline="0" fieldPosition="0"/>
    </format>
    <format dxfId="1012">
      <pivotArea field="1" type="button" dataOnly="0" labelOnly="1" outline="0" axis="axisRow" fieldPosition="0"/>
    </format>
    <format dxfId="1013">
      <pivotArea dataOnly="0" labelOnly="1" fieldPosition="0">
        <references count="1">
          <reference field="1" count="0"/>
        </references>
      </pivotArea>
    </format>
    <format dxfId="1014">
      <pivotArea dataOnly="0" labelOnly="1" grandRow="1" outline="0" fieldPosition="0"/>
    </format>
    <format dxfId="1015">
      <pivotArea dataOnly="0" labelOnly="1" fieldPosition="0">
        <references count="1">
          <reference field="0" count="0"/>
        </references>
      </pivotArea>
    </format>
    <format dxfId="1016">
      <pivotArea dataOnly="0" labelOnly="1" fieldPosition="0">
        <references count="1">
          <reference field="0" count="0" defaultSubtotal="1"/>
        </references>
      </pivotArea>
    </format>
    <format dxfId="1017">
      <pivotArea dataOnly="0" labelOnly="1" grandCol="1" outline="0" fieldPosition="0"/>
    </format>
    <format dxfId="1018">
      <pivotArea dataOnly="0" labelOnly="1" fieldPosition="0">
        <references count="2">
          <reference field="0" count="1" selected="0">
            <x v="0"/>
          </reference>
          <reference field="7" count="0"/>
        </references>
      </pivotArea>
    </format>
    <format dxfId="1019">
      <pivotArea dataOnly="0" labelOnly="1" fieldPosition="0">
        <references count="2">
          <reference field="0" count="1" selected="0">
            <x v="1"/>
          </reference>
          <reference field="7" count="0"/>
        </references>
      </pivotArea>
    </format>
    <format dxfId="1020">
      <pivotArea dataOnly="0" labelOnly="1" fieldPosition="0">
        <references count="2">
          <reference field="0" count="1" selected="0">
            <x v="2"/>
          </reference>
          <reference field="7" count="3">
            <x v="1"/>
            <x v="2"/>
            <x v="3"/>
          </reference>
        </references>
      </pivotArea>
    </format>
    <format dxfId="1021">
      <pivotArea collapsedLevelsAreSubtotals="1" fieldPosition="0">
        <references count="2">
          <reference field="0" count="1" selected="0" defaultSubtotal="1">
            <x v="0"/>
          </reference>
          <reference field="1" count="0"/>
        </references>
      </pivotArea>
    </format>
    <format dxfId="1022">
      <pivotArea dataOnly="0" labelOnly="1" fieldPosition="0">
        <references count="1">
          <reference field="0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3E2A1-BBB9-465E-BF57-07F45155711B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8:Y33" firstHeaderRow="1" firstDataRow="3" firstDataCol="1" rowPageCount="1" colPageCount="1"/>
  <pivotFields count="48">
    <pivotField axis="axisCol" showAll="0">
      <items count="4">
        <item h="1" x="1"/>
        <item h="1" x="0"/>
        <item x="2"/>
        <item t="default"/>
      </items>
    </pivotField>
    <pivotField axis="axisRow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showAll="0">
      <items count="4">
        <item h="1" x="0"/>
        <item x="1"/>
        <item m="1" x="2"/>
        <item t="default"/>
      </items>
    </pivotField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Col" showAll="0">
      <items count="20">
        <item m="1" x="16"/>
        <item sd="0" x="1"/>
        <item sd="0" x="0"/>
        <item h="1"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dataField="1"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 v="5"/>
    </i>
    <i>
      <x v="17"/>
    </i>
    <i t="grand">
      <x/>
    </i>
  </rowItems>
  <colFields count="2">
    <field x="0"/>
    <field x="7"/>
  </colFields>
  <colItems count="5">
    <i>
      <x v="2"/>
      <x v="1"/>
    </i>
    <i r="1">
      <x v="2"/>
    </i>
    <i r="1">
      <x v="4"/>
    </i>
    <i t="default">
      <x v="2"/>
    </i>
    <i t="grand">
      <x/>
    </i>
  </colItems>
  <pageFields count="1">
    <pageField fld="4" item="1" hier="-1"/>
  </pageFields>
  <dataFields count="1">
    <dataField name="Sum of Total Revenue" fld="30" baseField="0" baseItem="0" numFmtId="41"/>
  </dataFields>
  <formats count="54">
    <format dxfId="915">
      <pivotArea field="0" type="button" dataOnly="0" labelOnly="1" outline="0" axis="axisCol" fieldPosition="0"/>
    </format>
    <format dxfId="916">
      <pivotArea field="1" type="button" dataOnly="0" labelOnly="1" outline="0" axis="axisRow" fieldPosition="0"/>
    </format>
    <format dxfId="917">
      <pivotArea field="1" type="button" dataOnly="0" labelOnly="1" outline="0" axis="axisRow" fieldPosition="0"/>
    </format>
    <format dxfId="918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919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920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921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922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923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924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925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926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927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928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929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930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931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932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33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34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35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936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37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38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39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940">
      <pivotArea field="0" type="button" dataOnly="0" labelOnly="1" outline="0" axis="axisCol" fieldPosition="0"/>
    </format>
    <format dxfId="941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42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43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44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945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946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947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948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949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950">
      <pivotArea dataOnly="0" fieldPosition="0">
        <references count="1">
          <reference field="7" count="1">
            <x v="1"/>
          </reference>
        </references>
      </pivotArea>
    </format>
    <format dxfId="951">
      <pivotArea dataOnly="0" fieldPosition="0">
        <references count="1">
          <reference field="7" count="1">
            <x v="2"/>
          </reference>
        </references>
      </pivotArea>
    </format>
    <format dxfId="952">
      <pivotArea type="all" dataOnly="0" outline="0" fieldPosition="0"/>
    </format>
    <format dxfId="953">
      <pivotArea outline="0" collapsedLevelsAreSubtotals="1" fieldPosition="0"/>
    </format>
    <format dxfId="954">
      <pivotArea type="origin" dataOnly="0" labelOnly="1" outline="0" fieldPosition="0"/>
    </format>
    <format dxfId="955">
      <pivotArea field="0" type="button" dataOnly="0" labelOnly="1" outline="0" axis="axisCol" fieldPosition="0"/>
    </format>
    <format dxfId="956">
      <pivotArea field="7" type="button" dataOnly="0" labelOnly="1" outline="0" axis="axisCol" fieldPosition="1"/>
    </format>
    <format dxfId="957">
      <pivotArea type="topRight" dataOnly="0" labelOnly="1" outline="0" fieldPosition="0"/>
    </format>
    <format dxfId="958">
      <pivotArea field="1" type="button" dataOnly="0" labelOnly="1" outline="0" axis="axisRow" fieldPosition="0"/>
    </format>
    <format dxfId="959">
      <pivotArea dataOnly="0" labelOnly="1" fieldPosition="0">
        <references count="1">
          <reference field="1" count="0"/>
        </references>
      </pivotArea>
    </format>
    <format dxfId="960">
      <pivotArea dataOnly="0" labelOnly="1" grandRow="1" outline="0" fieldPosition="0"/>
    </format>
    <format dxfId="961">
      <pivotArea dataOnly="0" labelOnly="1" fieldPosition="0">
        <references count="1">
          <reference field="0" count="0"/>
        </references>
      </pivotArea>
    </format>
    <format dxfId="962">
      <pivotArea dataOnly="0" labelOnly="1" fieldPosition="0">
        <references count="1">
          <reference field="0" count="0" defaultSubtotal="1"/>
        </references>
      </pivotArea>
    </format>
    <format dxfId="963">
      <pivotArea dataOnly="0" labelOnly="1" grandCol="1" outline="0" fieldPosition="0"/>
    </format>
    <format dxfId="964">
      <pivotArea dataOnly="0" labelOnly="1" fieldPosition="0">
        <references count="2">
          <reference field="0" count="1" selected="0">
            <x v="0"/>
          </reference>
          <reference field="7" count="0"/>
        </references>
      </pivotArea>
    </format>
    <format dxfId="965">
      <pivotArea dataOnly="0" labelOnly="1" fieldPosition="0">
        <references count="2">
          <reference field="0" count="1" selected="0">
            <x v="1"/>
          </reference>
          <reference field="7" count="0"/>
        </references>
      </pivotArea>
    </format>
    <format dxfId="966">
      <pivotArea dataOnly="0" labelOnly="1" fieldPosition="0">
        <references count="2">
          <reference field="0" count="1" selected="0">
            <x v="2"/>
          </reference>
          <reference field="7" count="3">
            <x v="1"/>
            <x v="2"/>
            <x v="3"/>
          </reference>
        </references>
      </pivotArea>
    </format>
    <format dxfId="967">
      <pivotArea collapsedLevelsAreSubtotals="1" fieldPosition="0">
        <references count="2">
          <reference field="0" count="1" selected="0" defaultSubtotal="1">
            <x v="0"/>
          </reference>
          <reference field="1" count="0"/>
        </references>
      </pivotArea>
    </format>
    <format dxfId="968">
      <pivotArea dataOnly="0" labelOnly="1" fieldPosition="0">
        <references count="1">
          <reference field="0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7A0A1-8008-49CD-9F85-80FF96438621}" name="PivotTable1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AZ24" firstHeaderRow="1" firstDataRow="3" firstDataCol="1"/>
  <pivotFields count="48">
    <pivotField axis="axisCol" showAll="0">
      <items count="4">
        <item x="1"/>
        <item x="0"/>
        <item x="2"/>
        <item t="default"/>
      </items>
    </pivotField>
    <pivotField axis="axisRow" showAll="0">
      <items count="20">
        <item x="1"/>
        <item x="2"/>
        <item x="7"/>
        <item x="4"/>
        <item x="6"/>
        <item x="0"/>
        <item x="5"/>
        <item x="3"/>
        <item m="1" x="18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>
      <items count="73">
        <item x="6"/>
        <item x="5"/>
        <item x="4"/>
        <item x="3"/>
        <item x="2"/>
        <item x="1"/>
        <item x="0"/>
        <item x="37"/>
        <item x="29"/>
        <item x="30"/>
        <item x="31"/>
        <item x="32"/>
        <item x="33"/>
        <item x="34"/>
        <item x="3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2"/>
        <item x="21"/>
        <item x="25"/>
        <item x="26"/>
        <item x="27"/>
        <item x="28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f="1" x="69"/>
        <item x="67"/>
        <item f="1" x="70"/>
        <item x="68"/>
        <item f="1" x="71"/>
        <item t="default"/>
      </items>
    </pivotField>
    <pivotField axis="axisCol" showAll="0">
      <items count="20">
        <item m="1" x="16"/>
        <item sd="0" x="1"/>
        <item sd="0" x="0"/>
        <item sd="0" x="7"/>
        <item sd="0" x="8"/>
        <item x="11"/>
        <item sd="0" x="10"/>
        <item sd="0" x="9"/>
        <item sd="0" x="6"/>
        <item sd="0" x="5"/>
        <item m="1" x="15"/>
        <item m="1" x="14"/>
        <item m="1" x="13"/>
        <item sd="0" x="4"/>
        <item sd="0" x="3"/>
        <item sd="0" x="2"/>
        <item m="1" x="18"/>
        <item m="1" x="17"/>
        <item sd="0" m="1"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9" showAll="0"/>
    <pivotField numFmtId="4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0"/>
    <field x="7"/>
  </colFields>
  <colItems count="32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5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Sum of Total Cups Sold" fld="11" baseField="0" baseItem="0" numFmtId="3"/>
  </dataFields>
  <formats count="56">
    <format dxfId="859">
      <pivotArea field="0" type="button" dataOnly="0" labelOnly="1" outline="0" axis="axisCol" fieldPosition="0"/>
    </format>
    <format dxfId="860">
      <pivotArea field="1" type="button" dataOnly="0" labelOnly="1" outline="0" axis="axisRow" fieldPosition="0"/>
    </format>
    <format dxfId="861">
      <pivotArea field="1" type="button" dataOnly="0" labelOnly="1" outline="0" axis="axisRow" fieldPosition="0"/>
    </format>
    <format dxfId="8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3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864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865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866">
      <pivotArea collapsedLevelsAreSubtotals="1" fieldPosition="0">
        <references count="2">
          <reference field="0" count="1" selected="0">
            <x v="0"/>
          </reference>
          <reference field="7" count="1">
            <x v="8"/>
          </reference>
        </references>
      </pivotArea>
    </format>
    <format dxfId="867">
      <pivotArea collapsedLevelsAreSubtotals="1" fieldPosition="0">
        <references count="2">
          <reference field="0" count="1" selected="0">
            <x v="0"/>
          </reference>
          <reference field="7" count="1">
            <x v="9"/>
          </reference>
        </references>
      </pivotArea>
    </format>
    <format dxfId="868">
      <pivotArea dataOnly="0" labelOnly="1" fieldPosition="0">
        <references count="2">
          <reference field="0" count="1" selected="0">
            <x v="0"/>
          </reference>
          <reference field="7" count="2">
            <x v="8"/>
            <x v="9"/>
          </reference>
        </references>
      </pivotArea>
    </format>
    <format dxfId="869">
      <pivotArea collapsedLevelsAreSubtotals="1" fieldPosition="0">
        <references count="2">
          <reference field="0" count="1" selected="0">
            <x v="0"/>
          </reference>
          <reference field="7" count="1">
            <x v="13"/>
          </reference>
        </references>
      </pivotArea>
    </format>
    <format dxfId="870">
      <pivotArea collapsedLevelsAreSubtotals="1" fieldPosition="0">
        <references count="2">
          <reference field="0" count="1" selected="0">
            <x v="0"/>
          </reference>
          <reference field="7" count="1">
            <x v="14"/>
          </reference>
        </references>
      </pivotArea>
    </format>
    <format dxfId="871">
      <pivotArea collapsedLevelsAreSubtotals="1" fieldPosition="0">
        <references count="2">
          <reference field="0" count="1" selected="0">
            <x v="0"/>
          </reference>
          <reference field="7" count="1">
            <x v="15"/>
          </reference>
        </references>
      </pivotArea>
    </format>
    <format dxfId="872">
      <pivotArea dataOnly="0" labelOnly="1" fieldPosition="0">
        <references count="2">
          <reference field="0" count="1" selected="0">
            <x v="0"/>
          </reference>
          <reference field="7" count="3">
            <x v="13"/>
            <x v="14"/>
            <x v="15"/>
          </reference>
        </references>
      </pivotArea>
    </format>
    <format dxfId="873">
      <pivotArea collapsedLevelsAreSubtotals="1" fieldPosition="0">
        <references count="2">
          <reference field="0" count="1" selected="0">
            <x v="1"/>
          </reference>
          <reference field="7" count="1">
            <x v="1"/>
          </reference>
        </references>
      </pivotArea>
    </format>
    <format dxfId="874">
      <pivotArea collapsedLevelsAreSubtotals="1" fieldPosition="0">
        <references count="2">
          <reference field="0" count="1" selected="0">
            <x v="1"/>
          </reference>
          <reference field="7" count="1">
            <x v="2"/>
          </reference>
        </references>
      </pivotArea>
    </format>
    <format dxfId="875">
      <pivotArea collapsedLevelsAreSubtotals="1" fieldPosition="0">
        <references count="2">
          <reference field="0" count="1" selected="0">
            <x v="1"/>
          </reference>
          <reference field="7" count="1">
            <x v="3"/>
          </reference>
        </references>
      </pivotArea>
    </format>
    <format dxfId="876">
      <pivotArea dataOnly="0" labelOnly="1" fieldPosition="0">
        <references count="2">
          <reference field="0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877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878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879">
      <pivotArea collapsedLevelsAreSubtotals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880">
      <pivotArea dataOnly="0" labelOnly="1" fieldPosition="0">
        <references count="2">
          <reference field="0" count="1" selected="0">
            <x v="0"/>
          </reference>
          <reference field="7" count="1">
            <x v="7"/>
          </reference>
        </references>
      </pivotArea>
    </format>
    <format dxfId="881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882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883">
      <pivotArea collapsedLevelsAreSubtotals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884">
      <pivotArea dataOnly="0" labelOnly="1" fieldPosition="0">
        <references count="2">
          <reference field="0" count="1" selected="0">
            <x v="1"/>
          </reference>
          <reference field="7" count="2">
            <x v="4"/>
            <x v="5"/>
          </reference>
        </references>
      </pivotArea>
    </format>
    <format dxfId="885">
      <pivotArea field="0" type="button" dataOnly="0" labelOnly="1" outline="0" axis="axisCol" fieldPosition="0"/>
    </format>
    <format dxfId="8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7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888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889">
      <pivotArea collapsedLevelsAreSubtotals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890">
      <pivotArea dataOnly="0" labelOnly="1" fieldPosition="0">
        <references count="2">
          <reference field="0" count="1" selected="0">
            <x v="1"/>
          </reference>
          <reference field="7" count="1">
            <x v="6"/>
          </reference>
        </references>
      </pivotArea>
    </format>
    <format dxfId="891">
      <pivotArea collapsedLevelsAreSubtotals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892">
      <pivotArea dataOnly="0" labelOnly="1" fieldPosition="0">
        <references count="2">
          <reference field="0" count="1" selected="0">
            <x v="1"/>
          </reference>
          <reference field="7" count="1">
            <x v="7"/>
          </reference>
        </references>
      </pivotArea>
    </format>
    <format dxfId="893">
      <pivotArea dataOnly="0" labelOnly="1" fieldPosition="0">
        <references count="2">
          <reference field="0" count="1" selected="0">
            <x v="1"/>
          </reference>
          <reference field="7" count="1">
            <x v="8"/>
          </reference>
        </references>
      </pivotArea>
    </format>
    <format dxfId="894">
      <pivotArea collapsedLevelsAreSubtotals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895">
      <pivotArea dataOnly="0" labelOnly="1" fieldPosition="0">
        <references count="2">
          <reference field="0" count="1" selected="0">
            <x v="1"/>
          </reference>
          <reference field="7" count="2">
            <x v="8"/>
            <x v="9"/>
          </reference>
        </references>
      </pivotArea>
    </format>
    <format dxfId="896">
      <pivotArea dataOnly="0" fieldPosition="0">
        <references count="1">
          <reference field="7" count="1">
            <x v="1"/>
          </reference>
        </references>
      </pivotArea>
    </format>
    <format dxfId="897">
      <pivotArea dataOnly="0" fieldPosition="0">
        <references count="1">
          <reference field="7" count="1">
            <x v="2"/>
          </reference>
        </references>
      </pivotArea>
    </format>
    <format dxfId="898">
      <pivotArea type="all" dataOnly="0" outline="0" fieldPosition="0"/>
    </format>
    <format dxfId="899">
      <pivotArea outline="0" collapsedLevelsAreSubtotals="1" fieldPosition="0"/>
    </format>
    <format dxfId="900">
      <pivotArea type="origin" dataOnly="0" labelOnly="1" outline="0" fieldPosition="0"/>
    </format>
    <format dxfId="901">
      <pivotArea field="0" type="button" dataOnly="0" labelOnly="1" outline="0" axis="axisCol" fieldPosition="0"/>
    </format>
    <format dxfId="902">
      <pivotArea field="7" type="button" dataOnly="0" labelOnly="1" outline="0" axis="axisCol" fieldPosition="1"/>
    </format>
    <format dxfId="903">
      <pivotArea type="topRight" dataOnly="0" labelOnly="1" outline="0" fieldPosition="0"/>
    </format>
    <format dxfId="904">
      <pivotArea field="1" type="button" dataOnly="0" labelOnly="1" outline="0" axis="axisRow" fieldPosition="0"/>
    </format>
    <format dxfId="905">
      <pivotArea dataOnly="0" labelOnly="1" fieldPosition="0">
        <references count="1">
          <reference field="1" count="0"/>
        </references>
      </pivotArea>
    </format>
    <format dxfId="906">
      <pivotArea dataOnly="0" labelOnly="1" grandRow="1" outline="0" fieldPosition="0"/>
    </format>
    <format dxfId="907">
      <pivotArea dataOnly="0" labelOnly="1" fieldPosition="0">
        <references count="1">
          <reference field="0" count="0"/>
        </references>
      </pivotArea>
    </format>
    <format dxfId="908">
      <pivotArea dataOnly="0" labelOnly="1" fieldPosition="0">
        <references count="1">
          <reference field="0" count="0" defaultSubtotal="1"/>
        </references>
      </pivotArea>
    </format>
    <format dxfId="909">
      <pivotArea dataOnly="0" labelOnly="1" grandCol="1" outline="0" fieldPosition="0"/>
    </format>
    <format dxfId="910">
      <pivotArea dataOnly="0" labelOnly="1" fieldPosition="0">
        <references count="2">
          <reference field="0" count="1" selected="0">
            <x v="0"/>
          </reference>
          <reference field="7" count="0"/>
        </references>
      </pivotArea>
    </format>
    <format dxfId="911">
      <pivotArea dataOnly="0" labelOnly="1" fieldPosition="0">
        <references count="2">
          <reference field="0" count="1" selected="0">
            <x v="1"/>
          </reference>
          <reference field="7" count="0"/>
        </references>
      </pivotArea>
    </format>
    <format dxfId="912">
      <pivotArea dataOnly="0" labelOnly="1" fieldPosition="0">
        <references count="2">
          <reference field="0" count="1" selected="0">
            <x v="2"/>
          </reference>
          <reference field="7" count="3">
            <x v="1"/>
            <x v="2"/>
            <x v="3"/>
          </reference>
        </references>
      </pivotArea>
    </format>
    <format dxfId="913">
      <pivotArea collapsedLevelsAreSubtotals="1" fieldPosition="0">
        <references count="2">
          <reference field="0" count="1" selected="0" defaultSubtotal="1">
            <x v="0"/>
          </reference>
          <reference field="1" count="0"/>
        </references>
      </pivotArea>
    </format>
    <format dxfId="914">
      <pivotArea dataOnly="0" labelOnly="1" fieldPosition="0">
        <references count="1">
          <reference field="0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38C9F-6B36-8E45-8B00-C2C0ED0D13C6}" name="PivotTable27" cacheId="16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F6:CE25" firstHeaderRow="0" firstDataRow="1" firstDataCol="1" rowPageCount="2" colPageCount="1"/>
  <pivotFields count="48">
    <pivotField axis="axisRow" multipleItemSelectionAllowed="1" showAll="0">
      <items count="4">
        <item h="1" x="1"/>
        <item x="0"/>
        <item x="2"/>
        <item t="default"/>
      </items>
    </pivotField>
    <pivotField showAll="0">
      <items count="20">
        <item x="0"/>
        <item x="2"/>
        <item h="1" x="9"/>
        <item h="1" x="6"/>
        <item h="1" x="4"/>
        <item h="1" x="11"/>
        <item h="1" x="10"/>
        <item h="1" x="7"/>
        <item h="1" x="5"/>
        <item h="1" x="3"/>
        <item h="1" m="1" x="18"/>
        <item h="1" x="8"/>
        <item h="1" x="1"/>
        <item x="12"/>
        <item x="13"/>
        <item x="14"/>
        <item x="15"/>
        <item h="1" x="16"/>
        <item h="1" x="17"/>
        <item t="default"/>
      </items>
    </pivotField>
    <pivotField axis="axisPage" multipleItemSelectionAllowed="1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multipleItemSelectionAllowed="1" showAll="0"/>
    <pivotField showAll="0">
      <items count="73">
        <item x="6"/>
        <item x="5"/>
        <item x="4"/>
        <item x="3"/>
        <item x="2"/>
        <item x="1"/>
        <item x="0"/>
        <item x="29"/>
        <item h="1" x="37"/>
        <item x="30"/>
        <item x="31"/>
        <item x="32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3"/>
        <item h="1" x="24"/>
        <item h="1" x="22"/>
        <item h="1" x="21"/>
        <item h="1" x="25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axis="axisRow" showAll="0">
      <items count="20">
        <item m="1" x="16"/>
        <item m="1" x="15"/>
        <item m="1" x="14"/>
        <item m="1" x="13"/>
        <item x="1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numFmtId="41" showAll="0"/>
    <pivotField dataField="1" numFmtId="4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dataField="1" numFmtId="41"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7"/>
  </rowFields>
  <rowItems count="19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2">
    <pageField fld="2" hier="-1"/>
    <pageField fld="4" hier="-1"/>
  </pageFields>
  <dataFields count="25">
    <dataField name="Sum of Total Cups Sold" fld="11" baseField="0" baseItem="0" numFmtId="41"/>
    <dataField name="Max of Total Active Riders" fld="10" subtotal="max" baseField="0" baseItem="0" numFmtId="41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/>
    <dataField name="Sum of Biaya Registrasi" fld="28" baseField="0" baseItem="0"/>
    <dataField name="Sum of Rider Penalty (Claim, Other Denda to Riders)" fld="29" baseField="0" baseItem="0"/>
    <dataField name="Sum of Total Revenue" fld="30" baseField="0" baseItem="0"/>
    <dataField name="Sum of Total Selling Comission/Sales (Weekly)" fld="13" baseField="1" baseItem="0" numFmtId="164"/>
    <dataField name="Sum of Total Daily Incentive (Weekly)" fld="14" baseField="0" baseItem="0" numFmtId="41"/>
    <dataField name="Sum of Total 26 Days Attendance Bonus (Monthly)" fld="15" baseField="0" baseItem="0" numFmtId="3"/>
    <dataField name="Sum of Total Selling 20Mio Bonus (Monthly)" fld="17" baseField="0" baseItem="0"/>
    <dataField name="Sum of Referral" fld="16" baseField="0" baseItem="0"/>
    <dataField name="Sum of Total Income Sales (Weekly)" fld="19" baseField="0" baseItem="0" numFmtId="41"/>
    <dataField name="Sum of Manpower (Korlap)" fld="20" baseField="0" baseItem="0"/>
    <dataField name="Sum of Total Cost Molis (Weekly)" fld="21" baseField="0" baseItem="0"/>
    <dataField name="Sum of Cost Claim" fld="22" baseField="0" baseItem="0"/>
    <dataField name="Sum of Storing Cost" fld="23" baseField="0" baseItem="0"/>
    <dataField name="Sum of Total Operational Cost" fld="24" baseField="0" baseItem="0" numFmtId="41"/>
    <dataField name="Sum of Profit" fld="31" baseField="0" baseItem="0" numFmtId="37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1" baseItem="0" numFmtId="164"/>
    <dataField name="Sum of Rider Daily Incentives as a % of Total Selling (Client)" fld="47" baseField="1" baseItem="0" numFmtId="9"/>
  </dataFields>
  <formats count="44">
    <format dxfId="815">
      <pivotArea dataOnly="0" labelOnly="1" outline="0" fieldPosition="0">
        <references count="1">
          <reference field="4294967294" count="10">
            <x v="9"/>
            <x v="10"/>
            <x v="11"/>
            <x v="12"/>
            <x v="14"/>
            <x v="15"/>
            <x v="16"/>
            <x v="17"/>
            <x v="18"/>
            <x v="19"/>
          </reference>
        </references>
      </pivotArea>
    </format>
    <format dxfId="816">
      <pivotArea dataOnly="0" labelOnly="1" outline="0" fieldPosition="0">
        <references count="1">
          <reference field="4294967294" count="10">
            <x v="9"/>
            <x v="10"/>
            <x v="11"/>
            <x v="12"/>
            <x v="14"/>
            <x v="15"/>
            <x v="16"/>
            <x v="17"/>
            <x v="18"/>
            <x v="19"/>
          </reference>
        </references>
      </pivotArea>
    </format>
    <format dxfId="817">
      <pivotArea dataOnly="0" labelOnly="1" outline="0" fieldPosition="0">
        <references count="1">
          <reference field="4294967294" count="3">
            <x v="5"/>
            <x v="7"/>
            <x v="8"/>
          </reference>
        </references>
      </pivotArea>
    </format>
    <format dxfId="818">
      <pivotArea dataOnly="0" labelOnly="1" outline="0" fieldPosition="0">
        <references count="1">
          <reference field="4294967294" count="3">
            <x v="5"/>
            <x v="7"/>
            <x v="8"/>
          </reference>
        </references>
      </pivotArea>
    </format>
    <format dxfId="819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820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821">
      <pivotArea field="1" type="button" dataOnly="0" labelOnly="1" outline="0"/>
    </format>
    <format dxfId="822">
      <pivotArea dataOnly="0" labelOnly="1" outline="0" fieldPosition="0">
        <references count="1">
          <reference field="4294967294" count="16">
            <x v="0"/>
            <x v="5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823">
      <pivotArea field="1" type="button" dataOnly="0" labelOnly="1" outline="0"/>
    </format>
    <format dxfId="824">
      <pivotArea dataOnly="0" labelOnly="1" outline="0" fieldPosition="0">
        <references count="1">
          <reference field="4294967294" count="16">
            <x v="0"/>
            <x v="5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82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826">
      <pivotArea dataOnly="0" labelOnly="1" outline="0" fieldPosition="0">
        <references count="1">
          <reference field="4294967294" count="9">
            <x v="9"/>
            <x v="10"/>
            <x v="11"/>
            <x v="12"/>
            <x v="14"/>
            <x v="15"/>
            <x v="16"/>
            <x v="17"/>
            <x v="18"/>
          </reference>
        </references>
      </pivotArea>
    </format>
    <format dxfId="827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828">
      <pivotArea outline="0" fieldPosition="0">
        <references count="1">
          <reference field="4294967294" count="1">
            <x v="21"/>
          </reference>
        </references>
      </pivotArea>
    </format>
    <format dxfId="829">
      <pivotArea dataOnly="0" outline="0" fieldPosition="0">
        <references count="1">
          <reference field="4294967294" count="12">
            <x v="5"/>
            <x v="7"/>
            <x v="8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8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3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3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3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3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35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36">
      <pivotArea outline="0" fieldPosition="0">
        <references count="1">
          <reference field="4294967294" count="1">
            <x v="3"/>
          </reference>
        </references>
      </pivotArea>
    </format>
    <format dxfId="837">
      <pivotArea outline="0" fieldPosition="0">
        <references count="1">
          <reference field="4294967294" count="1">
            <x v="4"/>
          </reference>
        </references>
      </pivotArea>
    </format>
    <format dxfId="838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39">
      <pivotArea dataOnly="0" outline="0" fieldPosition="0">
        <references count="1">
          <reference field="4294967294" count="1">
            <x v="2"/>
          </reference>
        </references>
      </pivotArea>
    </format>
    <format dxfId="840">
      <pivotArea outline="0" fieldPosition="0">
        <references count="1">
          <reference field="4294967294" count="1">
            <x v="2"/>
          </reference>
        </references>
      </pivotArea>
    </format>
    <format dxfId="841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42">
      <pivotArea field="1" type="button" dataOnly="0" labelOnly="1" outline="0"/>
    </format>
    <format dxfId="843">
      <pivotArea dataOnly="0" labelOnly="1" outline="0" fieldPosition="0">
        <references count="1">
          <reference field="4294967294" count="20">
            <x v="0"/>
            <x v="2"/>
            <x v="3"/>
            <x v="4"/>
            <x v="5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844">
      <pivotArea outline="0" fieldPosition="0">
        <references count="1">
          <reference field="4294967294" count="1">
            <x v="23"/>
          </reference>
        </references>
      </pivotArea>
    </format>
    <format dxfId="845">
      <pivotArea outline="0" fieldPosition="0">
        <references count="1">
          <reference field="4294967294" count="1">
            <x v="24"/>
          </reference>
        </references>
      </pivotArea>
    </format>
    <format dxfId="846">
      <pivotArea dataOnly="0" labelOnly="1" outline="0" fieldPosition="0">
        <references count="1">
          <reference field="4294967294" count="2">
            <x v="23"/>
            <x v="24"/>
          </reference>
        </references>
      </pivotArea>
    </format>
    <format dxfId="847">
      <pivotArea outline="0" fieldPosition="0">
        <references count="1">
          <reference field="4294967294" count="1">
            <x v="9"/>
          </reference>
        </references>
      </pivotArea>
    </format>
    <format dxfId="848">
      <pivotArea outline="0" collapsedLevelsAreSubtotals="1" fieldPosition="0">
        <references count="1">
          <reference field="4294967294" count="2" selected="0">
            <x v="21"/>
            <x v="22"/>
          </reference>
        </references>
      </pivotArea>
    </format>
    <format dxfId="8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0">
      <pivotArea outline="0" fieldPosition="0">
        <references count="1">
          <reference field="4294967294" count="1">
            <x v="20"/>
          </reference>
        </references>
      </pivotArea>
    </format>
    <format dxfId="851">
      <pivotArea dataOnly="0" fieldPosition="0">
        <references count="1">
          <reference field="7" count="1">
            <x v="11"/>
          </reference>
        </references>
      </pivotArea>
    </format>
    <format dxfId="852">
      <pivotArea dataOnly="0" fieldPosition="0">
        <references count="1">
          <reference field="7" count="1">
            <x v="12"/>
          </reference>
        </references>
      </pivotArea>
    </format>
    <format dxfId="853">
      <pivotArea dataOnly="0" fieldPosition="0">
        <references count="1">
          <reference field="7" count="1">
            <x v="13"/>
          </reference>
        </references>
      </pivotArea>
    </format>
    <format dxfId="854">
      <pivotArea dataOnly="0" fieldPosition="0">
        <references count="1">
          <reference field="7" count="1">
            <x v="14"/>
          </reference>
        </references>
      </pivotArea>
    </format>
    <format dxfId="855">
      <pivotArea collapsedLevelsAreSubtotals="1" fieldPosition="0">
        <references count="2">
          <reference field="4294967294" count="1" selected="0">
            <x v="1"/>
          </reference>
          <reference field="7" count="11"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856">
      <pivotArea collapsedLevelsAreSubtotals="1" fieldPosition="0">
        <references count="2">
          <reference field="4294967294" count="1" selected="0">
            <x v="21"/>
          </reference>
          <reference field="7" count="0"/>
        </references>
      </pivotArea>
    </format>
    <format dxfId="857">
      <pivotArea collapsedLevelsAreSubtotals="1" fieldPosition="0">
        <references count="2">
          <reference field="4294967294" count="1" selected="0">
            <x v="13"/>
          </reference>
          <reference field="7" count="0"/>
        </references>
      </pivotArea>
    </format>
    <format dxfId="858">
      <pivotArea collapsedLevelsAreSubtotals="1" fieldPosition="0">
        <references count="2">
          <reference field="4294967294" count="1" selected="0">
            <x v="6"/>
          </reference>
          <reference field="7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E2070-836C-474E-BD55-BDEF3D94D355}" name="PivotTable1" cacheId="16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6:AB175" firstHeaderRow="0" firstDataRow="1" firstDataCol="1" rowPageCount="3" colPageCount="1"/>
  <pivotFields count="48">
    <pivotField axis="axisPage" multipleItemSelectionAllowed="1" showAll="0">
      <items count="4">
        <item h="1" x="1"/>
        <item x="0"/>
        <item x="2"/>
        <item t="default"/>
      </items>
    </pivotField>
    <pivotField axis="axisRow" showAll="0">
      <items count="20">
        <item x="0"/>
        <item sd="0" x="2"/>
        <item h="1" sd="0" x="9"/>
        <item h="1" x="6"/>
        <item h="1" sd="0" x="4"/>
        <item h="1" x="11"/>
        <item h="1" sd="0" x="10"/>
        <item h="1" x="7"/>
        <item h="1" x="5"/>
        <item h="1" x="3"/>
        <item h="1" m="1" x="18"/>
        <item h="1" x="8"/>
        <item h="1" x="1"/>
        <item x="12"/>
        <item sd="0" x="13"/>
        <item x="14"/>
        <item x="15"/>
        <item x="16"/>
        <item x="17"/>
        <item t="default"/>
      </items>
    </pivotField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8">
        <item x="1"/>
        <item x="0"/>
        <item x="2"/>
        <item x="4"/>
        <item x="3"/>
        <item m="1" x="6"/>
        <item x="5"/>
        <item t="default"/>
      </items>
    </pivotField>
    <pivotField axis="axisRow" showAll="0">
      <items count="73">
        <item x="6"/>
        <item x="5"/>
        <item x="4"/>
        <item x="3"/>
        <item x="2"/>
        <item x="1"/>
        <item x="0"/>
        <item x="29"/>
        <item h="1" x="37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54"/>
        <item x="55"/>
        <item x="56"/>
        <item x="57"/>
        <item x="58"/>
        <item x="59"/>
        <item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showAll="0"/>
    <pivotField showAll="0"/>
    <pivotField showAll="0"/>
    <pivotField dataField="1" numFmtId="41" showAll="0"/>
    <pivotField dataField="1" numFmtId="4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dataField="1" numFmtId="41"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1"/>
    <field x="6"/>
  </rowFields>
  <rowItems count="16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7"/>
    </i>
    <i r="1">
      <x v="69"/>
    </i>
    <i r="1">
      <x v="71"/>
    </i>
    <i>
      <x v="1"/>
    </i>
    <i>
      <x v="13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7"/>
    </i>
    <i r="1">
      <x v="69"/>
    </i>
    <i r="1">
      <x v="71"/>
    </i>
    <i>
      <x v="14"/>
    </i>
    <i>
      <x v="15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>
      <x v="16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67"/>
    </i>
    <i r="1">
      <x v="69"/>
    </i>
    <i r="1">
      <x v="71"/>
    </i>
    <i>
      <x v="17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7"/>
    </i>
    <i r="1">
      <x v="69"/>
    </i>
    <i r="1">
      <x v="71"/>
    </i>
    <i>
      <x v="18"/>
    </i>
    <i r="1">
      <x v="52"/>
    </i>
    <i r="1">
      <x v="53"/>
    </i>
    <i r="1">
      <x v="54"/>
    </i>
    <i r="1">
      <x v="67"/>
    </i>
    <i r="1">
      <x v="69"/>
    </i>
    <i r="1">
      <x v="7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3">
    <pageField fld="0" hier="-1"/>
    <pageField fld="4" hier="-1"/>
    <pageField fld="5" hier="-1"/>
  </pageFields>
  <dataFields count="24">
    <dataField name="Sum of Total Cups Sold" fld="11" baseField="0" baseItem="0" numFmtId="41"/>
    <dataField name="Max of Total Active Riders" fld="10" subtotal="max" baseField="0" baseItem="0" numFmtId="41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/>
    <dataField name="Sum of Rider Penalty (Claim, Other Denda to Riders)" fld="29" baseField="0" baseItem="0"/>
    <dataField name="Sum of Total Revenue" fld="30" baseField="0" baseItem="0"/>
    <dataField name="Sum of Total Selling Comission/Sales (Weekly)" fld="13" baseField="1" baseItem="0" numFmtId="164"/>
    <dataField name="Sum of Total Daily Incentive (Weekly)" fld="14" baseField="0" baseItem="0" numFmtId="41"/>
    <dataField name="Sum of Total 26 Days Attendance Bonus (Monthly)" fld="15" baseField="0" baseItem="0" numFmtId="3"/>
    <dataField name="Sum of Referral" fld="16" baseField="0" baseItem="0" numFmtId="3"/>
    <dataField name="Sum of Total Selling 20Mio Bonus (Monthly)" fld="17" baseField="0" baseItem="0"/>
    <dataField name="Sum of Total Income Sales (Weekly)" fld="19" baseField="0" baseItem="0" numFmtId="41"/>
    <dataField name="Sum of Manpower (Korlap)" fld="20" baseField="0" baseItem="0"/>
    <dataField name="Sum of Total Cost Molis (Weekly)" fld="21" baseField="0" baseItem="0"/>
    <dataField name="Sum of Cost Claim" fld="22" baseField="0" baseItem="0"/>
    <dataField name="Sum of Storing Cost" fld="23" baseField="0" baseItem="0"/>
    <dataField name="Sum of Total Operational Cost" fld="24" baseField="0" baseItem="0" numFmtId="41"/>
    <dataField name="Sum of Profit" fld="31" baseField="0" baseItem="0" numFmtId="37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1" baseItem="0" numFmtId="164"/>
    <dataField name="Sum of Rider Daily Incentives as a % of Total Selling (Client)" fld="47" baseField="1" baseItem="0" numFmtId="9"/>
  </dataFields>
  <formats count="137">
    <format dxfId="678">
      <pivotArea collapsedLevelsAreSubtotals="1" fieldPosition="0">
        <references count="2">
          <reference field="4294967294" count="13" selected="0"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</reference>
          <reference field="6" count="1">
            <x v="5"/>
          </reference>
        </references>
      </pivotArea>
    </format>
    <format dxfId="679">
      <pivotArea collapsedLevelsAreSubtotals="1" fieldPosition="0">
        <references count="2">
          <reference field="4294967294" count="14" selected="0"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</reference>
          <reference field="6" count="1">
            <x v="6"/>
          </reference>
        </references>
      </pivotArea>
    </format>
    <format dxfId="680">
      <pivotArea collapsedLevelsAreSubtotals="1" fieldPosition="0">
        <references count="2">
          <reference field="4294967294" count="14" selected="0"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</reference>
          <reference field="6" count="1">
            <x v="7"/>
          </reference>
        </references>
      </pivotArea>
    </format>
    <format dxfId="681">
      <pivotArea dataOnly="0" labelOnly="1" outline="0" fieldPosition="0">
        <references count="1">
          <reference field="4294967294" count="10">
            <x v="8"/>
            <x v="9"/>
            <x v="10"/>
            <x v="12"/>
            <x v="13"/>
            <x v="14"/>
            <x v="15"/>
            <x v="16"/>
            <x v="17"/>
            <x v="18"/>
          </reference>
        </references>
      </pivotArea>
    </format>
    <format dxfId="682">
      <pivotArea dataOnly="0" labelOnly="1" outline="0" fieldPosition="0">
        <references count="1">
          <reference field="4294967294" count="10">
            <x v="8"/>
            <x v="9"/>
            <x v="10"/>
            <x v="12"/>
            <x v="13"/>
            <x v="14"/>
            <x v="15"/>
            <x v="16"/>
            <x v="17"/>
            <x v="18"/>
          </reference>
        </references>
      </pivotArea>
    </format>
    <format dxfId="683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84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85">
      <pivotArea dataOnly="0" labelOnly="1" outline="0" fieldPosition="0">
        <references count="1">
          <reference field="4294967294" count="2">
            <x v="19"/>
            <x v="20"/>
          </reference>
        </references>
      </pivotArea>
    </format>
    <format dxfId="686">
      <pivotArea dataOnly="0" labelOnly="1" outline="0" fieldPosition="0">
        <references count="1">
          <reference field="4294967294" count="2">
            <x v="19"/>
            <x v="20"/>
          </reference>
        </references>
      </pivotArea>
    </format>
    <format dxfId="687">
      <pivotArea field="1" type="button" dataOnly="0" labelOnly="1" outline="0" axis="axisRow" fieldPosition="0"/>
    </format>
    <format dxfId="688">
      <pivotArea dataOnly="0" labelOnly="1" outline="0" fieldPosition="0">
        <references count="1">
          <reference field="4294967294" count="16">
            <x v="0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689">
      <pivotArea field="1" type="button" dataOnly="0" labelOnly="1" outline="0" axis="axisRow" fieldPosition="0"/>
    </format>
    <format dxfId="690">
      <pivotArea dataOnly="0" labelOnly="1" outline="0" fieldPosition="0">
        <references count="1">
          <reference field="4294967294" count="16">
            <x v="0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69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92">
      <pivotArea dataOnly="0" labelOnly="1" outline="0" fieldPosition="0">
        <references count="1">
          <reference field="4294967294" count="9">
            <x v="8"/>
            <x v="9"/>
            <x v="10"/>
            <x v="12"/>
            <x v="13"/>
            <x v="14"/>
            <x v="15"/>
            <x v="16"/>
            <x v="17"/>
          </reference>
        </references>
      </pivotArea>
    </format>
    <format dxfId="693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94">
      <pivotArea outline="0" fieldPosition="0">
        <references count="1">
          <reference field="4294967294" count="1">
            <x v="20"/>
          </reference>
        </references>
      </pivotArea>
    </format>
    <format dxfId="695">
      <pivotArea collapsedLevelsAreSubtotals="1" fieldPosition="0">
        <references count="1">
          <reference field="6" count="1">
            <x v="11"/>
          </reference>
        </references>
      </pivotArea>
    </format>
    <format dxfId="696">
      <pivotArea collapsedLevelsAreSubtotals="1" fieldPosition="0">
        <references count="1">
          <reference field="6" count="1">
            <x v="12"/>
          </reference>
        </references>
      </pivotArea>
    </format>
    <format dxfId="697">
      <pivotArea dataOnly="0" labelOnly="1" fieldPosition="0">
        <references count="1">
          <reference field="6" count="0"/>
        </references>
      </pivotArea>
    </format>
    <format dxfId="698">
      <pivotArea collapsedLevelsAreSubtotals="1" fieldPosition="0">
        <references count="1">
          <reference field="6" count="1">
            <x v="7"/>
          </reference>
        </references>
      </pivotArea>
    </format>
    <format dxfId="699">
      <pivotArea collapsedLevelsAreSubtotals="1" fieldPosition="0">
        <references count="1">
          <reference field="6" count="1">
            <x v="9"/>
          </reference>
        </references>
      </pivotArea>
    </format>
    <format dxfId="700">
      <pivotArea dataOnly="0" labelOnly="1" fieldPosition="0">
        <references count="1">
          <reference field="6" count="2">
            <x v="7"/>
            <x v="9"/>
          </reference>
        </references>
      </pivotArea>
    </format>
    <format dxfId="701">
      <pivotArea dataOnly="0" outline="0" fieldPosition="0">
        <references count="1">
          <reference field="4294967294" count="12">
            <x v="5"/>
            <x v="6"/>
            <x v="7"/>
            <x v="10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70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0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0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0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0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08">
      <pivotArea outline="0" fieldPosition="0">
        <references count="1">
          <reference field="4294967294" count="1">
            <x v="3"/>
          </reference>
        </references>
      </pivotArea>
    </format>
    <format dxfId="709">
      <pivotArea outline="0" fieldPosition="0">
        <references count="1">
          <reference field="4294967294" count="1">
            <x v="4"/>
          </reference>
        </references>
      </pivotArea>
    </format>
    <format dxfId="71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11">
      <pivotArea dataOnly="0" fieldPosition="0">
        <references count="1">
          <reference field="6" count="1">
            <x v="17"/>
          </reference>
        </references>
      </pivotArea>
    </format>
    <format dxfId="712">
      <pivotArea dataOnly="0" fieldPosition="0">
        <references count="1">
          <reference field="6" count="1">
            <x v="19"/>
          </reference>
        </references>
      </pivotArea>
    </format>
    <format dxfId="713">
      <pivotArea dataOnly="0" fieldPosition="0">
        <references count="1">
          <reference field="6" count="1">
            <x v="18"/>
          </reference>
        </references>
      </pivotArea>
    </format>
    <format dxfId="714">
      <pivotArea dataOnly="0" fieldPosition="0">
        <references count="1">
          <reference field="6" count="1">
            <x v="20"/>
          </reference>
        </references>
      </pivotArea>
    </format>
    <format dxfId="715">
      <pivotArea dataOnly="0" fieldPosition="0">
        <references count="1">
          <reference field="6" count="1">
            <x v="21"/>
          </reference>
        </references>
      </pivotArea>
    </format>
    <format dxfId="716">
      <pivotArea dataOnly="0" fieldPosition="0">
        <references count="1">
          <reference field="6" count="1">
            <x v="19"/>
          </reference>
        </references>
      </pivotArea>
    </format>
    <format dxfId="717">
      <pivotArea collapsedLevelsAreSubtotals="1" fieldPosition="0">
        <references count="1">
          <reference field="6" count="1">
            <x v="20"/>
          </reference>
        </references>
      </pivotArea>
    </format>
    <format dxfId="718">
      <pivotArea dataOnly="0" labelOnly="1" fieldPosition="0">
        <references count="1">
          <reference field="6" count="1">
            <x v="20"/>
          </reference>
        </references>
      </pivotArea>
    </format>
    <format dxfId="719">
      <pivotArea collapsedLevelsAreSubtotals="1" fieldPosition="0">
        <references count="1">
          <reference field="6" count="1">
            <x v="21"/>
          </reference>
        </references>
      </pivotArea>
    </format>
    <format dxfId="720">
      <pivotArea dataOnly="0" labelOnly="1" fieldPosition="0">
        <references count="1">
          <reference field="6" count="1">
            <x v="21"/>
          </reference>
        </references>
      </pivotArea>
    </format>
    <format dxfId="721">
      <pivotArea dataOnly="0" fieldPosition="0">
        <references count="1">
          <reference field="6" count="1">
            <x v="24"/>
          </reference>
        </references>
      </pivotArea>
    </format>
    <format dxfId="722">
      <pivotArea dataOnly="0" fieldPosition="0">
        <references count="1">
          <reference field="6" count="1">
            <x v="25"/>
          </reference>
        </references>
      </pivotArea>
    </format>
    <format dxfId="723">
      <pivotArea collapsedLevelsAreSubtotals="1" fieldPosition="0">
        <references count="2">
          <reference field="1" count="1" selected="0">
            <x v="0"/>
          </reference>
          <reference field="6" count="1">
            <x v="27"/>
          </reference>
        </references>
      </pivotArea>
    </format>
    <format dxfId="724">
      <pivotArea dataOnly="0" labelOnly="1" fieldPosition="0">
        <references count="2">
          <reference field="1" count="1" selected="0">
            <x v="0"/>
          </reference>
          <reference field="6" count="1">
            <x v="27"/>
          </reference>
        </references>
      </pivotArea>
    </format>
    <format dxfId="725">
      <pivotArea dataOnly="0" fieldPosition="0">
        <references count="1">
          <reference field="6" count="1">
            <x v="26"/>
          </reference>
        </references>
      </pivotArea>
    </format>
    <format dxfId="726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21"/>
          </reference>
        </references>
      </pivotArea>
    </format>
    <format dxfId="727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17"/>
          </reference>
        </references>
      </pivotArea>
    </format>
    <format dxfId="728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13"/>
          </reference>
        </references>
      </pivotArea>
    </format>
    <format dxfId="729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3"/>
          </reference>
        </references>
      </pivotArea>
    </format>
    <format dxfId="730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7"/>
          </reference>
        </references>
      </pivotArea>
    </format>
    <format dxfId="731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3"/>
          </reference>
        </references>
      </pivotArea>
    </format>
    <format dxfId="732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7"/>
          </reference>
        </references>
      </pivotArea>
    </format>
    <format dxfId="733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13"/>
          </reference>
        </references>
      </pivotArea>
    </format>
    <format dxfId="734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17"/>
          </reference>
        </references>
      </pivotArea>
    </format>
    <format dxfId="735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21"/>
          </reference>
        </references>
      </pivotArea>
    </format>
    <format dxfId="736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22"/>
          </reference>
        </references>
      </pivotArea>
    </format>
    <format dxfId="737">
      <pivotArea dataOnly="0" outline="0" fieldPosition="0">
        <references count="1">
          <reference field="4294967294" count="1">
            <x v="2"/>
          </reference>
        </references>
      </pivotArea>
    </format>
    <format dxfId="738">
      <pivotArea outline="0" fieldPosition="0">
        <references count="1">
          <reference field="4294967294" count="1">
            <x v="2"/>
          </reference>
        </references>
      </pivotArea>
    </format>
    <format dxfId="739">
      <pivotArea dataOnly="0" fieldPosition="0">
        <references count="1">
          <reference field="6" count="1">
            <x v="27"/>
          </reference>
        </references>
      </pivotArea>
    </format>
    <format dxfId="740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27"/>
          </reference>
        </references>
      </pivotArea>
    </format>
    <format dxfId="741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27"/>
          </reference>
        </references>
      </pivotArea>
    </format>
    <format dxfId="742">
      <pivotArea dataOnly="0" fieldPosition="0">
        <references count="1">
          <reference field="6" count="1">
            <x v="28"/>
          </reference>
        </references>
      </pivotArea>
    </format>
    <format dxfId="743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744">
      <pivotArea field="1" type="button" dataOnly="0" labelOnly="1" outline="0" axis="axisRow" fieldPosition="0"/>
    </format>
    <format dxfId="745">
      <pivotArea dataOnly="0" labelOnly="1" outline="0" fieldPosition="0">
        <references count="1">
          <reference field="4294967294" count="20">
            <x v="0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746">
      <pivotArea collapsedLevelsAreSubtotals="1" fieldPosition="0">
        <references count="2">
          <reference field="1" count="1" selected="0">
            <x v="13"/>
          </reference>
          <reference field="6" count="1">
            <x v="31"/>
          </reference>
        </references>
      </pivotArea>
    </format>
    <format dxfId="747">
      <pivotArea dataOnly="0" labelOnly="1" fieldPosition="0">
        <references count="2">
          <reference field="1" count="1" selected="0">
            <x v="13"/>
          </reference>
          <reference field="6" count="1">
            <x v="31"/>
          </reference>
        </references>
      </pivotArea>
    </format>
    <format dxfId="748">
      <pivotArea collapsedLevelsAreSubtotals="1" fieldPosition="0">
        <references count="2">
          <reference field="1" count="1" selected="0">
            <x v="14"/>
          </reference>
          <reference field="6" count="1">
            <x v="31"/>
          </reference>
        </references>
      </pivotArea>
    </format>
    <format dxfId="749">
      <pivotArea dataOnly="0" labelOnly="1" fieldPosition="0">
        <references count="2">
          <reference field="1" count="1" selected="0">
            <x v="14"/>
          </reference>
          <reference field="6" count="1">
            <x v="31"/>
          </reference>
        </references>
      </pivotArea>
    </format>
    <format dxfId="750">
      <pivotArea collapsedLevelsAreSubtotals="1" fieldPosition="0">
        <references count="2">
          <reference field="1" count="1" selected="0">
            <x v="14"/>
          </reference>
          <reference field="6" count="2">
            <x v="29"/>
            <x v="30"/>
          </reference>
        </references>
      </pivotArea>
    </format>
    <format dxfId="751">
      <pivotArea dataOnly="0" labelOnly="1" fieldPosition="0">
        <references count="2">
          <reference field="1" count="1" selected="0">
            <x v="14"/>
          </reference>
          <reference field="6" count="2">
            <x v="29"/>
            <x v="30"/>
          </reference>
        </references>
      </pivotArea>
    </format>
    <format dxfId="752">
      <pivotArea collapsedLevelsAreSubtotals="1" fieldPosition="0">
        <references count="2">
          <reference field="1" count="1" selected="0">
            <x v="14"/>
          </reference>
          <reference field="6" count="2">
            <x v="29"/>
            <x v="30"/>
          </reference>
        </references>
      </pivotArea>
    </format>
    <format dxfId="753">
      <pivotArea dataOnly="0" labelOnly="1" fieldPosition="0">
        <references count="2">
          <reference field="1" count="1" selected="0">
            <x v="14"/>
          </reference>
          <reference field="6" count="2">
            <x v="29"/>
            <x v="30"/>
          </reference>
        </references>
      </pivotArea>
    </format>
    <format dxfId="754">
      <pivotArea collapsedLevelsAreSubtotals="1" fieldPosition="0">
        <references count="2">
          <reference field="1" count="1" selected="0">
            <x v="1"/>
          </reference>
          <reference field="6" count="1">
            <x v="31"/>
          </reference>
        </references>
      </pivotArea>
    </format>
    <format dxfId="755">
      <pivotArea dataOnly="0" labelOnly="1" fieldPosition="0">
        <references count="2">
          <reference field="1" count="1" selected="0">
            <x v="1"/>
          </reference>
          <reference field="6" count="1">
            <x v="31"/>
          </reference>
        </references>
      </pivotArea>
    </format>
    <format dxfId="756">
      <pivotArea outline="0" fieldPosition="0">
        <references count="1">
          <reference field="4294967294" count="1">
            <x v="22"/>
          </reference>
        </references>
      </pivotArea>
    </format>
    <format dxfId="757">
      <pivotArea outline="0" fieldPosition="0">
        <references count="1">
          <reference field="4294967294" count="1">
            <x v="23"/>
          </reference>
        </references>
      </pivotArea>
    </format>
    <format dxfId="758">
      <pivotArea dataOnly="0" labelOnly="1" outline="0" fieldPosition="0">
        <references count="1">
          <reference field="4294967294" count="2">
            <x v="22"/>
            <x v="23"/>
          </reference>
        </references>
      </pivotArea>
    </format>
    <format dxfId="759">
      <pivotArea outline="0" fieldPosition="0">
        <references count="1">
          <reference field="4294967294" count="1">
            <x v="8"/>
          </reference>
        </references>
      </pivotArea>
    </format>
    <format dxfId="760">
      <pivotArea dataOnly="0" fieldPosition="0">
        <references count="1">
          <reference field="6" count="1">
            <x v="30"/>
          </reference>
        </references>
      </pivotArea>
    </format>
    <format dxfId="761">
      <pivotArea outline="0" collapsedLevelsAreSubtotals="1" fieldPosition="0">
        <references count="1">
          <reference field="4294967294" count="2" selected="0">
            <x v="20"/>
            <x v="21"/>
          </reference>
        </references>
      </pivotArea>
    </format>
    <format dxfId="762">
      <pivotArea dataOnly="0" fieldPosition="0">
        <references count="1">
          <reference field="6" count="1">
            <x v="31"/>
          </reference>
        </references>
      </pivotArea>
    </format>
    <format dxfId="763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31"/>
          </reference>
        </references>
      </pivotArea>
    </format>
    <format dxfId="764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31"/>
          </reference>
        </references>
      </pivotArea>
    </format>
    <format dxfId="765">
      <pivotArea dataOnly="0" fieldPosition="0">
        <references count="1">
          <reference field="6" count="1">
            <x v="32"/>
          </reference>
        </references>
      </pivotArea>
    </format>
    <format dxfId="766">
      <pivotArea dataOnly="0" fieldPosition="0">
        <references count="1">
          <reference field="6" count="1">
            <x v="29"/>
          </reference>
        </references>
      </pivotArea>
    </format>
    <format dxfId="767">
      <pivotArea dataOnly="0" fieldPosition="0">
        <references count="1">
          <reference field="6" count="1">
            <x v="33"/>
          </reference>
        </references>
      </pivotArea>
    </format>
    <format dxfId="7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77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3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771">
      <pivotArea outline="0" fieldPosition="0">
        <references count="1">
          <reference field="4294967294" count="1">
            <x v="19"/>
          </reference>
        </references>
      </pivotArea>
    </format>
    <format dxfId="772">
      <pivotArea dataOnly="0" fieldPosition="0">
        <references count="1">
          <reference field="6" count="1">
            <x v="34"/>
          </reference>
        </references>
      </pivotArea>
    </format>
    <format dxfId="773">
      <pivotArea dataOnly="0" fieldPosition="0">
        <references count="1">
          <reference field="6" count="1">
            <x v="35"/>
          </reference>
        </references>
      </pivotArea>
    </format>
    <format dxfId="774">
      <pivotArea dataOnly="0" fieldPosition="0">
        <references count="1">
          <reference field="6" count="1">
            <x v="36"/>
          </reference>
        </references>
      </pivotArea>
    </format>
    <format dxfId="775">
      <pivotArea dataOnly="0" fieldPosition="0">
        <references count="1">
          <reference field="6" count="1">
            <x v="37"/>
          </reference>
        </references>
      </pivotArea>
    </format>
    <format dxfId="776">
      <pivotArea dataOnly="0" fieldPosition="0">
        <references count="1">
          <reference field="6" count="1">
            <x v="38"/>
          </reference>
        </references>
      </pivotArea>
    </format>
    <format dxfId="777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40"/>
          </reference>
        </references>
      </pivotArea>
    </format>
    <format dxfId="778">
      <pivotArea collapsedLevelsAreSubtotals="1" fieldPosition="0">
        <references count="3">
          <reference field="4294967294" count="2" selected="0">
            <x v="10"/>
            <x v="12"/>
          </reference>
          <reference field="1" count="1" selected="0">
            <x v="0"/>
          </reference>
          <reference field="6" count="1">
            <x v="36"/>
          </reference>
        </references>
      </pivotArea>
    </format>
    <format dxfId="779">
      <pivotArea dataOnly="0" fieldPosition="0">
        <references count="1">
          <reference field="6" count="1">
            <x v="39"/>
          </reference>
        </references>
      </pivotArea>
    </format>
    <format dxfId="78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8"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781">
      <pivotArea dataOnly="0" fieldPosition="0">
        <references count="1">
          <reference field="6" count="1">
            <x v="40"/>
          </reference>
        </references>
      </pivotArea>
    </format>
    <format dxfId="78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40"/>
            <x v="41"/>
            <x v="42"/>
          </reference>
        </references>
      </pivotArea>
    </format>
    <format dxfId="783">
      <pivotArea dataOnly="0" fieldPosition="0">
        <references count="1">
          <reference field="6" count="2">
            <x v="41"/>
            <x v="42"/>
          </reference>
        </references>
      </pivotArea>
    </format>
    <format dxfId="78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3">
            <x v="42"/>
            <x v="43"/>
            <x v="44"/>
          </reference>
        </references>
      </pivotArea>
    </format>
    <format dxfId="785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>
            <x v="41"/>
          </reference>
        </references>
      </pivotArea>
    </format>
    <format dxfId="786">
      <pivotArea dataOnly="0" fieldPosition="0">
        <references count="1">
          <reference field="6" count="1">
            <x v="43"/>
          </reference>
        </references>
      </pivotArea>
    </format>
    <format dxfId="787">
      <pivotArea dataOnly="0" fieldPosition="0">
        <references count="1">
          <reference field="6" count="1">
            <x v="44"/>
          </reference>
        </references>
      </pivotArea>
    </format>
    <format dxfId="78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4">
            <x v="43"/>
            <x v="44"/>
            <x v="45"/>
            <x v="46"/>
          </reference>
        </references>
      </pivotArea>
    </format>
    <format dxfId="789">
      <pivotArea collapsedLevelsAreSubtotals="1" fieldPosition="0">
        <references count="3">
          <reference field="4294967294" count="1" selected="0">
            <x v="10"/>
          </reference>
          <reference field="1" count="1" selected="0">
            <x v="0"/>
          </reference>
          <reference field="6" count="1">
            <x v="40"/>
          </reference>
        </references>
      </pivotArea>
    </format>
    <format dxfId="790">
      <pivotArea collapsedLevelsAreSubtotals="1" fieldPosition="0">
        <references count="3">
          <reference field="4294967294" count="1" selected="0">
            <x v="10"/>
          </reference>
          <reference field="1" count="1" selected="0">
            <x v="0"/>
          </reference>
          <reference field="6" count="1">
            <x v="44"/>
          </reference>
        </references>
      </pivotArea>
    </format>
    <format dxfId="791">
      <pivotArea dataOnly="0" fieldPosition="0">
        <references count="1">
          <reference field="6" count="1">
            <x v="45"/>
          </reference>
        </references>
      </pivotArea>
    </format>
    <format dxfId="792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36"/>
          </reference>
        </references>
      </pivotArea>
    </format>
    <format dxfId="793">
      <pivotArea collapsedLevelsAreSubtotals="1" fieldPosition="0">
        <references count="3">
          <reference field="4294967294" count="1" selected="0">
            <x v="12"/>
          </reference>
          <reference field="1" count="1" selected="0">
            <x v="0"/>
          </reference>
          <reference field="6" count="1">
            <x v="40"/>
          </reference>
        </references>
      </pivotArea>
    </format>
    <format dxfId="794">
      <pivotArea collapsedLevelsAreSubtotals="1" fieldPosition="0">
        <references count="3">
          <reference field="4294967294" count="1" selected="0">
            <x v="12"/>
          </reference>
          <reference field="1" count="1" selected="0">
            <x v="0"/>
          </reference>
          <reference field="6" count="1">
            <x v="44"/>
          </reference>
        </references>
      </pivotArea>
    </format>
    <format dxfId="795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40"/>
          </reference>
        </references>
      </pivotArea>
    </format>
    <format dxfId="796">
      <pivotArea collapsedLevelsAreSubtotals="1" fieldPosition="0">
        <references count="3">
          <reference field="4294967294" count="1" selected="0">
            <x v="20"/>
          </reference>
          <reference field="1" count="1" selected="0">
            <x v="0"/>
          </reference>
          <reference field="6" count="1">
            <x v="44"/>
          </reference>
        </references>
      </pivotArea>
    </format>
    <format dxfId="797">
      <pivotArea dataOnly="0" fieldPosition="0">
        <references count="1">
          <reference field="6" count="1">
            <x v="46"/>
          </reference>
        </references>
      </pivotArea>
    </format>
    <format dxfId="798">
      <pivotArea dataOnly="0" fieldPosition="0">
        <references count="1">
          <reference field="6" count="1">
            <x v="47"/>
          </reference>
        </references>
      </pivotArea>
    </format>
    <format dxfId="79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800">
      <pivotArea outline="0" fieldPosition="0">
        <references count="1">
          <reference field="4294967294" count="1">
            <x v="11"/>
          </reference>
        </references>
      </pivotArea>
    </format>
    <format dxfId="801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17"/>
          </reference>
        </references>
      </pivotArea>
    </format>
    <format dxfId="802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21"/>
          </reference>
        </references>
      </pivotArea>
    </format>
    <format dxfId="803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27"/>
          </reference>
        </references>
      </pivotArea>
    </format>
    <format dxfId="804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31"/>
          </reference>
        </references>
      </pivotArea>
    </format>
    <format dxfId="805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36"/>
          </reference>
        </references>
      </pivotArea>
    </format>
    <format dxfId="806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40"/>
          </reference>
        </references>
      </pivotArea>
    </format>
    <format dxfId="807">
      <pivotArea collapsedLevelsAreSubtotals="1" fieldPosition="0">
        <references count="3">
          <reference field="4294967294" count="1" selected="0">
            <x v="11"/>
          </reference>
          <reference field="1" count="1" selected="0">
            <x v="0"/>
          </reference>
          <reference field="6" count="1">
            <x v="44"/>
          </reference>
        </references>
      </pivotArea>
    </format>
    <format dxfId="808">
      <pivotArea dataOnly="0" fieldPosition="0">
        <references count="1">
          <reference field="6" count="2">
            <x v="48"/>
            <x v="49"/>
          </reference>
        </references>
      </pivotArea>
    </format>
    <format dxfId="809">
      <pivotArea dataOnly="0" fieldPosition="0">
        <references count="1">
          <reference field="6" count="1">
            <x v="50"/>
          </reference>
        </references>
      </pivotArea>
    </format>
    <format dxfId="810">
      <pivotArea dataOnly="0" fieldPosition="0">
        <references count="1">
          <reference field="6" count="1">
            <x v="51"/>
          </reference>
        </references>
      </pivotArea>
    </format>
    <format dxfId="811">
      <pivotArea dataOnly="0" fieldPosition="0">
        <references count="1">
          <reference field="6" count="1">
            <x v="52"/>
          </reference>
        </references>
      </pivotArea>
    </format>
    <format dxfId="812">
      <pivotArea dataOnly="0" fieldPosition="0">
        <references count="1">
          <reference field="6" count="2">
            <x v="53"/>
            <x v="54"/>
          </reference>
        </references>
      </pivotArea>
    </format>
    <format dxfId="813">
      <pivotArea dataOnly="0" fieldPosition="0">
        <references count="1">
          <reference field="6" count="1">
            <x v="55"/>
          </reference>
        </references>
      </pivotArea>
    </format>
    <format dxfId="814">
      <pivotArea dataOnly="0" fieldPosition="0">
        <references count="1">
          <reference field="6" count="1">
            <x v="5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80882-7F41-6D41-89CA-C33EF0CE51D1}" name="PivotTable2" cacheId="16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G6:BD17" firstHeaderRow="0" firstDataRow="1" firstDataCol="1" rowPageCount="3" colPageCount="1"/>
  <pivotFields count="48">
    <pivotField axis="axisPage" multipleItemSelectionAllowed="1" showAll="0">
      <items count="4">
        <item h="1" x="1"/>
        <item h="1" x="0"/>
        <item x="2"/>
        <item t="default"/>
      </items>
    </pivotField>
    <pivotField axis="axisRow" showAll="0">
      <items count="20">
        <item x="0"/>
        <item x="2"/>
        <item h="1" x="9"/>
        <item h="1" x="6"/>
        <item h="1" x="4"/>
        <item h="1" x="11"/>
        <item h="1" x="10"/>
        <item h="1" x="7"/>
        <item h="1" x="5"/>
        <item h="1" x="3"/>
        <item h="1" m="1" x="18"/>
        <item h="1" x="8"/>
        <item h="1" x="1"/>
        <item x="12"/>
        <item x="13"/>
        <item x="14"/>
        <item x="15"/>
        <item x="16"/>
        <item h="1" x="17"/>
        <item t="default"/>
      </items>
    </pivotField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8">
        <item h="1" x="1"/>
        <item h="1" x="0"/>
        <item h="1" x="2"/>
        <item x="4"/>
        <item x="3"/>
        <item m="1" x="6"/>
        <item x="5"/>
        <item t="default"/>
      </items>
    </pivotField>
    <pivotField showAll="0">
      <items count="73">
        <item x="6"/>
        <item x="5"/>
        <item x="4"/>
        <item x="3"/>
        <item x="2"/>
        <item x="1"/>
        <item x="0"/>
        <item x="29"/>
        <item h="1" x="37"/>
        <item x="30"/>
        <item x="31"/>
        <item x="32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3"/>
        <item h="1" x="24"/>
        <item h="1" x="22"/>
        <item h="1" x="21"/>
        <item h="1" x="25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axis="axisRow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numFmtId="41" showAll="0"/>
    <pivotField dataField="1" numFmtId="41" showAll="0"/>
    <pivotField dataField="1" showAll="0"/>
    <pivotField dataField="1" showAll="0"/>
    <pivotField dataField="1" numFmtId="41" showAll="0"/>
    <pivotField dataField="1" showAll="0"/>
    <pivotField showAll="0"/>
    <pivotField dataField="1" showAll="0"/>
    <pivotField showAll="0"/>
    <pivotField dataField="1" numFmtId="41"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numFmtId="41" showAll="0"/>
    <pivotField numFmtId="41" showAll="0"/>
    <pivotField numFmtId="9" showAll="0"/>
    <pivotField numFmtId="4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7"/>
    <field x="1"/>
  </rowFields>
  <rowItems count="11">
    <i>
      <x/>
    </i>
    <i r="1">
      <x/>
    </i>
    <i r="1">
      <x v="17"/>
    </i>
    <i>
      <x v="5"/>
    </i>
    <i r="1">
      <x/>
    </i>
    <i r="1">
      <x v="17"/>
    </i>
    <i>
      <x v="6"/>
    </i>
    <i r="1">
      <x/>
    </i>
    <i>
      <x v="7"/>
    </i>
    <i r="1">
      <x/>
    </i>
    <i t="grand">
      <x/>
    </i>
  </rowItems>
  <colFields count="1">
    <field x="-2"/>
  </colFields>
  <colItems count="2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</colItems>
  <pageFields count="3">
    <pageField fld="0" hier="-1"/>
    <pageField fld="4" hier="-1"/>
    <pageField fld="5" hier="-1"/>
  </pageFields>
  <dataFields count="23">
    <dataField name="Sum of Total Cups Sold" fld="11" baseField="0" baseItem="0" numFmtId="41"/>
    <dataField name="Max of Total Active Riders" fld="10" subtotal="max" baseField="0" baseItem="0" numFmtId="41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/>
    <dataField name="Sum of Rider Penalty (Claim, Other Denda to Riders)" fld="29" baseField="0" baseItem="0"/>
    <dataField name="Sum of Total Revenue" fld="30" baseField="0" baseItem="0"/>
    <dataField name="Sum of Total Selling Comission/Sales (Weekly)" fld="13" baseField="1" baseItem="0" numFmtId="164"/>
    <dataField name="Sum of Total Daily Incentive (Weekly)" fld="14" baseField="0" baseItem="0" numFmtId="41"/>
    <dataField name="Sum of Total 26 Days Attendance Bonus (Monthly)" fld="15" baseField="0" baseItem="0" numFmtId="3"/>
    <dataField name="Sum of Total Selling 20Mio Bonus (Monthly)" fld="17" baseField="0" baseItem="0"/>
    <dataField name="Sum of Total Income Sales (Weekly)" fld="19" baseField="0" baseItem="0" numFmtId="41"/>
    <dataField name="Sum of Manpower (Korlap)" fld="20" baseField="0" baseItem="0"/>
    <dataField name="Sum of Total Cost Molis (Weekly)" fld="21" baseField="0" baseItem="0"/>
    <dataField name="Sum of Cost Claim" fld="22" baseField="0" baseItem="0"/>
    <dataField name="Sum of Storing Cost" fld="23" baseField="0" baseItem="0"/>
    <dataField name="Sum of Total Operational Cost" fld="24" baseField="0" baseItem="0" numFmtId="41"/>
    <dataField name="Sum of Profit" fld="31" baseField="0" baseItem="0" numFmtId="37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1" baseItem="0" numFmtId="164"/>
    <dataField name="Sum of Rider Daily Incentives as a % of Total Selling (Client)" fld="47" baseField="1" baseItem="0" numFmtId="9"/>
  </dataFields>
  <formats count="45">
    <format dxfId="633">
      <pivotArea dataOnly="0" labelOnly="1" outline="0" fieldPosition="0">
        <references count="1">
          <reference field="4294967294" count="10"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34">
      <pivotArea dataOnly="0" labelOnly="1" outline="0" fieldPosition="0">
        <references count="1">
          <reference field="4294967294" count="10"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35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36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37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638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639">
      <pivotArea field="1" type="button" dataOnly="0" labelOnly="1" outline="0" axis="axisRow" fieldPosition="1"/>
    </format>
    <format dxfId="640">
      <pivotArea dataOnly="0" labelOnly="1" outline="0" fieldPosition="0">
        <references count="1">
          <reference field="4294967294" count="16">
            <x v="0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641">
      <pivotArea field="1" type="button" dataOnly="0" labelOnly="1" outline="0" axis="axisRow" fieldPosition="1"/>
    </format>
    <format dxfId="642">
      <pivotArea dataOnly="0" labelOnly="1" outline="0" fieldPosition="0">
        <references count="1">
          <reference field="4294967294" count="16">
            <x v="0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64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44">
      <pivotArea dataOnly="0" labelOnly="1" outline="0" fieldPosition="0">
        <references count="1">
          <reference field="4294967294" count="9"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64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46">
      <pivotArea outline="0" fieldPosition="0">
        <references count="1">
          <reference field="4294967294" count="1">
            <x v="19"/>
          </reference>
        </references>
      </pivotArea>
    </format>
    <format dxfId="647">
      <pivotArea dataOnly="0" outline="0" fieldPosition="0">
        <references count="1">
          <reference field="4294967294" count="12">
            <x v="5"/>
            <x v="6"/>
            <x v="7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64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4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5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5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5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5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54">
      <pivotArea outline="0" fieldPosition="0">
        <references count="1">
          <reference field="4294967294" count="1">
            <x v="3"/>
          </reference>
        </references>
      </pivotArea>
    </format>
    <format dxfId="655">
      <pivotArea outline="0" fieldPosition="0">
        <references count="1">
          <reference field="4294967294" count="1">
            <x v="4"/>
          </reference>
        </references>
      </pivotArea>
    </format>
    <format dxfId="65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57">
      <pivotArea dataOnly="0" outline="0" fieldPosition="0">
        <references count="1">
          <reference field="4294967294" count="1">
            <x v="2"/>
          </reference>
        </references>
      </pivotArea>
    </format>
    <format dxfId="658">
      <pivotArea outline="0" fieldPosition="0">
        <references count="1">
          <reference field="4294967294" count="1">
            <x v="2"/>
          </reference>
        </references>
      </pivotArea>
    </format>
    <format dxfId="659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660">
      <pivotArea field="1" type="button" dataOnly="0" labelOnly="1" outline="0" axis="axisRow" fieldPosition="1"/>
    </format>
    <format dxfId="661">
      <pivotArea dataOnly="0" labelOnly="1" outline="0" fieldPosition="0">
        <references count="1">
          <reference field="4294967294" count="2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662">
      <pivotArea outline="0" fieldPosition="0">
        <references count="1">
          <reference field="4294967294" count="1">
            <x v="21"/>
          </reference>
        </references>
      </pivotArea>
    </format>
    <format dxfId="663">
      <pivotArea outline="0" fieldPosition="0">
        <references count="1">
          <reference field="4294967294" count="1">
            <x v="22"/>
          </reference>
        </references>
      </pivotArea>
    </format>
    <format dxfId="664">
      <pivotArea dataOnly="0" labelOnly="1" outline="0" fieldPosition="0">
        <references count="1">
          <reference field="4294967294" count="2">
            <x v="21"/>
            <x v="22"/>
          </reference>
        </references>
      </pivotArea>
    </format>
    <format dxfId="665">
      <pivotArea outline="0" fieldPosition="0">
        <references count="1">
          <reference field="4294967294" count="1">
            <x v="8"/>
          </reference>
        </references>
      </pivotArea>
    </format>
    <format dxfId="666">
      <pivotArea outline="0" collapsedLevelsAreSubtotals="1" fieldPosition="0">
        <references count="1">
          <reference field="4294967294" count="2" selected="0">
            <x v="19"/>
            <x v="20"/>
          </reference>
        </references>
      </pivotArea>
    </format>
    <format dxfId="6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8">
      <pivotArea outline="0" fieldPosition="0">
        <references count="1">
          <reference field="4294967294" count="1">
            <x v="18"/>
          </reference>
        </references>
      </pivotArea>
    </format>
    <format dxfId="66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67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8">
            <x v="0"/>
            <x v="5"/>
            <x v="6"/>
            <x v="7"/>
            <x v="8"/>
            <x v="9"/>
            <x v="10"/>
            <x v="11"/>
          </reference>
        </references>
      </pivotArea>
    </format>
    <format dxfId="671">
      <pivotArea dataOnly="0" fieldPosition="0">
        <references count="1">
          <reference field="7" count="1">
            <x v="11"/>
          </reference>
        </references>
      </pivotArea>
    </format>
    <format dxfId="67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2">
            <x v="11"/>
            <x v="12"/>
          </reference>
        </references>
      </pivotArea>
    </format>
    <format dxfId="673">
      <pivotArea dataOnly="0" fieldPosition="0">
        <references count="1">
          <reference field="7" count="1">
            <x v="12"/>
          </reference>
        </references>
      </pivotArea>
    </format>
    <format dxfId="674">
      <pivotArea dataOnly="0" fieldPosition="0">
        <references count="1">
          <reference field="7" count="1">
            <x v="13"/>
          </reference>
        </references>
      </pivotArea>
    </format>
    <format dxfId="675">
      <pivotArea dataOnly="0" fieldPosition="0">
        <references count="1">
          <reference field="7" count="1">
            <x v="14"/>
          </reference>
        </references>
      </pivotArea>
    </format>
    <format dxfId="67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2">
            <x v="13"/>
            <x v="14"/>
          </reference>
        </references>
      </pivotArea>
    </format>
    <format dxfId="677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>
            <x v="1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4D872-8422-E54B-B9D9-175A66969615}" name="PivotTable17" cacheId="164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 chartFormat="1">
  <location ref="E7:AD319" firstHeaderRow="0" firstDataRow="1" firstDataCol="1" rowPageCount="1" colPageCount="1"/>
  <pivotFields count="48">
    <pivotField axis="axisPage" multipleItemSelectionAllowed="1" showAll="0">
      <items count="4">
        <item h="1" x="1"/>
        <item x="0"/>
        <item x="2"/>
        <item t="default"/>
      </items>
    </pivotField>
    <pivotField axis="axisRow" multipleItemSelectionAllowed="1" showAll="0" sortType="descending">
      <items count="20">
        <item h="1" x="1"/>
        <item h="1" x="2"/>
        <item h="1" x="7"/>
        <item h="1" x="4"/>
        <item h="1" x="8"/>
        <item h="1" x="6"/>
        <item x="0"/>
        <item h="1" x="5"/>
        <item h="1" x="3"/>
        <item h="1" m="1" x="1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6">
        <item h="1" x="2"/>
        <item h="1" x="13"/>
        <item h="1" x="3"/>
        <item h="1" x="8"/>
        <item h="1" x="5"/>
        <item h="1" x="11"/>
        <item h="1" x="19"/>
        <item h="1" x="12"/>
        <item h="1" x="15"/>
        <item h="1" x="7"/>
        <item x="0"/>
        <item x="1"/>
        <item x="21"/>
        <item x="9"/>
        <item x="10"/>
        <item h="1" x="17"/>
        <item h="1" x="14"/>
        <item h="1" x="6"/>
        <item h="1" x="16"/>
        <item h="1" x="4"/>
        <item h="1" x="20"/>
        <item h="1" x="18"/>
        <item h="1" m="1" x="24"/>
        <item h="1" x="22"/>
        <item h="1"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7"/>
        <item x="33"/>
        <item x="34"/>
        <item x="35"/>
        <item x="36"/>
        <item x="38"/>
        <item x="39"/>
        <item x="40"/>
        <item x="41"/>
        <item x="42"/>
        <item x="43"/>
        <item x="44"/>
        <item x="7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f="1" x="69"/>
        <item x="67"/>
        <item f="1" x="70"/>
        <item x="68"/>
        <item f="1" x="71"/>
        <item t="default"/>
      </items>
    </pivotField>
    <pivotField multipleItemSelectionAllowe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"/>
    <field x="2"/>
    <field x="6"/>
  </rowFields>
  <rowItems count="312">
    <i>
      <x v="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r="1">
      <x v="12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r="1">
      <x v="1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r="1">
      <x v="1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0" hier="-1"/>
  </pageFields>
  <dataFields count="25">
    <dataField name="Sum of Total Cups Sold" fld="11" baseField="0" baseItem="0" numFmtId="3"/>
    <dataField name="Max of Total Active Riders" fld="10" subtotal="max" baseField="0" baseItem="0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Biaya Registrasi" fld="28" baseField="0" baseItem="0" numFmtId="166"/>
    <dataField name="Sum of Total Revenue" fld="30" baseField="0" baseItem="0" numFmtId="3"/>
    <dataField name="Sum of Total Selling Comission/Sales (Weekly)" fld="13" baseField="0" baseItem="0" numFmtId="3"/>
    <dataField name="Sum of Total Daily Incentive (Weekly)" fld="14" baseField="0" baseItem="0" numFmtId="3"/>
    <dataField name="Sum of Total 26 Days Attendance Bonus (Monthly)" fld="15" baseField="0" baseItem="0" numFmtId="3"/>
    <dataField name="Sum of Referral" fld="16" baseField="0" baseItem="0" numFmtId="3"/>
    <dataField name="Sum of Total Selling 20Mio Bonus (Monthly)" fld="17" baseField="0" baseItem="0" numFmtId="3"/>
    <dataField name="Sum of Bonus+Beras" fld="18" baseField="0" baseItem="0"/>
    <dataField name="Sum of Total Income Sales (Weekly)" fld="19" baseField="0" baseItem="0" numFmtId="41"/>
    <dataField name="Sum of Total Cost Molis (Weekly)" fld="21" baseField="0" baseItem="0" numFmtId="3"/>
    <dataField name="Sum of Cost Claim" fld="22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0" baseItem="0" numFmtId="3"/>
    <dataField name="Sum of Rider Daily Incentives as a % of Total Selling (Client)" fld="47" baseField="5" baseItem="0" numFmtId="9"/>
  </dataFields>
  <formats count="129">
    <format dxfId="505">
      <pivotArea field="6" type="button" dataOnly="0" labelOnly="1" outline="0" axis="axisRow" fieldPosition="2"/>
    </format>
    <format dxfId="506">
      <pivotArea dataOnly="0" labelOnly="1" outline="0" fieldPosition="0">
        <references count="1">
          <reference field="4294967294" count="7">
            <x v="0"/>
            <x v="1"/>
            <x v="7"/>
            <x v="14"/>
            <x v="19"/>
            <x v="20"/>
            <x v="21"/>
          </reference>
        </references>
      </pivotArea>
    </format>
    <format dxfId="507">
      <pivotArea field="6" type="button" dataOnly="0" labelOnly="1" outline="0" axis="axisRow" fieldPosition="2"/>
    </format>
    <format dxfId="508">
      <pivotArea dataOnly="0" labelOnly="1" outline="0" fieldPosition="0">
        <references count="1">
          <reference field="4294967294" count="7">
            <x v="0"/>
            <x v="1"/>
            <x v="7"/>
            <x v="14"/>
            <x v="19"/>
            <x v="20"/>
            <x v="21"/>
          </reference>
        </references>
      </pivotArea>
    </format>
    <format dxfId="509">
      <pivotArea outline="0" fieldPosition="0">
        <references count="1">
          <reference field="4294967294" count="1">
            <x v="0"/>
          </reference>
        </references>
      </pivotArea>
    </format>
    <format dxfId="510">
      <pivotArea outline="0" fieldPosition="0">
        <references count="1">
          <reference field="4294967294" count="1">
            <x v="21"/>
          </reference>
        </references>
      </pivotArea>
    </format>
    <format dxfId="511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512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513">
      <pivotArea dataOnly="0" labelOnly="1" outline="0" fieldPosition="0">
        <references count="1">
          <reference field="4294967294" count="2">
            <x v="14"/>
            <x v="19"/>
          </reference>
        </references>
      </pivotArea>
    </format>
    <format dxfId="51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1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16">
      <pivotArea dataOnly="0" labelOnly="1" outline="0" fieldPosition="0">
        <references count="1">
          <reference field="4294967294" count="2">
            <x v="14"/>
            <x v="19"/>
          </reference>
        </references>
      </pivotArea>
    </format>
    <format dxfId="517">
      <pivotArea field="5" type="button" dataOnly="0" labelOnly="1" outline="0"/>
    </format>
    <format dxfId="518">
      <pivotArea dataOnly="0" labelOnly="1" grandRow="1" outline="0" fieldPosition="0"/>
    </format>
    <format dxfId="51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1">
      <pivotArea outline="0" fieldPosition="0">
        <references count="1">
          <reference field="4294967294" count="1">
            <x v="2"/>
          </reference>
        </references>
      </pivotArea>
    </format>
    <format dxfId="522">
      <pivotArea outline="0" fieldPosition="0">
        <references count="1">
          <reference field="4294967294" count="1">
            <x v="8"/>
          </reference>
        </references>
      </pivotArea>
    </format>
    <format dxfId="523">
      <pivotArea outline="0" fieldPosition="0">
        <references count="1">
          <reference field="4294967294" count="1">
            <x v="9"/>
          </reference>
        </references>
      </pivotArea>
    </format>
    <format dxfId="524">
      <pivotArea outline="0" fieldPosition="0">
        <references count="1">
          <reference field="4294967294" count="1">
            <x v="10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2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527">
      <pivotArea outline="0" fieldPosition="0">
        <references count="1">
          <reference field="4294967294" count="1">
            <x v="12"/>
          </reference>
        </references>
      </pivotArea>
    </format>
    <format dxfId="5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2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30">
      <pivotArea outline="0" fieldPosition="0">
        <references count="1">
          <reference field="4294967294" count="1">
            <x v="3"/>
          </reference>
        </references>
      </pivotArea>
    </format>
    <format dxfId="5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32">
      <pivotArea dataOnly="0" outline="0" fieldPosition="0">
        <references count="1">
          <reference field="4294967294" count="1">
            <x v="15"/>
          </reference>
        </references>
      </pivotArea>
    </format>
    <format dxfId="533">
      <pivotArea field="5" type="button" dataOnly="0" labelOnly="1" outline="0"/>
    </format>
    <format dxfId="534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7"/>
            <x v="8"/>
            <x v="9"/>
            <x v="10"/>
            <x v="12"/>
            <x v="14"/>
            <x v="15"/>
            <x v="19"/>
            <x v="20"/>
            <x v="21"/>
          </reference>
        </references>
      </pivotArea>
    </format>
    <format dxfId="535">
      <pivotArea field="5" type="button" dataOnly="0" labelOnly="1" outline="0"/>
    </format>
    <format dxfId="536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7"/>
            <x v="8"/>
            <x v="9"/>
            <x v="10"/>
            <x v="12"/>
            <x v="14"/>
            <x v="15"/>
            <x v="19"/>
            <x v="20"/>
            <x v="21"/>
          </reference>
        </references>
      </pivotArea>
    </format>
    <format dxfId="537">
      <pivotArea outline="0" fieldPosition="0">
        <references count="1">
          <reference field="4294967294" count="1">
            <x v="5"/>
          </reference>
        </references>
      </pivotArea>
    </format>
    <format dxfId="538">
      <pivotArea outline="0" fieldPosition="0">
        <references count="1">
          <reference field="4294967294" count="1">
            <x v="4"/>
          </reference>
        </references>
      </pivotArea>
    </format>
    <format dxfId="539">
      <pivotArea outline="0" fieldPosition="0">
        <references count="1">
          <reference field="4294967294" count="1">
            <x v="15"/>
          </reference>
        </references>
      </pivotArea>
    </format>
    <format dxfId="540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7"/>
            <x v="8"/>
            <x v="9"/>
            <x v="10"/>
            <x v="12"/>
            <x v="14"/>
            <x v="15"/>
            <x v="19"/>
            <x v="20"/>
            <x v="21"/>
          </reference>
        </references>
      </pivotArea>
    </format>
    <format dxfId="541">
      <pivotArea outline="0" collapsedLevelsAreSubtotals="1" fieldPosition="0">
        <references count="1">
          <reference field="4294967294" count="2" selected="0">
            <x v="17"/>
            <x v="18"/>
          </reference>
        </references>
      </pivotArea>
    </format>
    <format dxfId="542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544">
      <pivotArea outline="0" fieldPosition="0">
        <references count="1">
          <reference field="4294967294" count="1">
            <x v="22"/>
          </reference>
        </references>
      </pivotArea>
    </format>
    <format dxfId="545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7"/>
            <x v="8"/>
            <x v="9"/>
            <x v="10"/>
            <x v="12"/>
            <x v="14"/>
            <x v="15"/>
            <x v="17"/>
            <x v="18"/>
            <x v="19"/>
            <x v="20"/>
            <x v="21"/>
            <x v="22"/>
          </reference>
        </references>
      </pivotArea>
    </format>
    <format dxfId="546">
      <pivotArea outline="0" fieldPosition="0">
        <references count="1">
          <reference field="4294967294" count="1">
            <x v="24"/>
          </reference>
        </references>
      </pivotArea>
    </format>
    <format dxfId="547">
      <pivotArea dataOnly="0" labelOnly="1" outline="0" fieldPosition="0">
        <references count="1">
          <reference field="4294967294" count="2">
            <x v="23"/>
            <x v="24"/>
          </reference>
        </references>
      </pivotArea>
    </format>
    <format dxfId="548">
      <pivotArea field="5" type="button" dataOnly="0" labelOnly="1" outline="0"/>
    </format>
    <format dxfId="549">
      <pivotArea dataOnly="0" labelOnly="1" outline="0" fieldPosition="0">
        <references count="1">
          <reference field="4294967294" count="21">
            <x v="0"/>
            <x v="1"/>
            <x v="2"/>
            <x v="3"/>
            <x v="4"/>
            <x v="5"/>
            <x v="7"/>
            <x v="8"/>
            <x v="9"/>
            <x v="10"/>
            <x v="12"/>
            <x v="14"/>
            <x v="15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5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51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55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53">
      <pivotArea outline="0" fieldPosition="0">
        <references count="1">
          <reference field="4294967294" count="1">
            <x v="7"/>
          </reference>
        </references>
      </pivotArea>
    </format>
    <format dxfId="554">
      <pivotArea dataOnly="0" fieldPosition="0">
        <references count="1">
          <reference field="6" count="2">
            <x v="41"/>
            <x v="42"/>
          </reference>
        </references>
      </pivotArea>
    </format>
    <format dxfId="555">
      <pivotArea dataOnly="0" fieldPosition="0">
        <references count="1">
          <reference field="6" count="1">
            <x v="43"/>
          </reference>
        </references>
      </pivotArea>
    </format>
    <format dxfId="556">
      <pivotArea dataOnly="0" fieldPosition="0">
        <references count="1">
          <reference field="6" count="1">
            <x v="44"/>
          </reference>
        </references>
      </pivotArea>
    </format>
    <format dxfId="557">
      <pivotArea dataOnly="0" fieldPosition="0">
        <references count="1">
          <reference field="6" count="1">
            <x v="45"/>
          </reference>
        </references>
      </pivotArea>
    </format>
    <format dxfId="558">
      <pivotArea dataOnly="0" fieldPosition="0">
        <references count="1">
          <reference field="6" count="1">
            <x v="46"/>
          </reference>
        </references>
      </pivotArea>
    </format>
    <format dxfId="559">
      <pivotArea collapsedLevelsAreSubtotals="1" fieldPosition="0">
        <references count="4">
          <reference field="4294967294" count="1" selected="0">
            <x v="8"/>
          </reference>
          <reference field="1" count="0" selected="0"/>
          <reference field="2" count="1" selected="0">
            <x v="14"/>
          </reference>
          <reference field="6" count="1">
            <x v="47"/>
          </reference>
        </references>
      </pivotArea>
    </format>
    <format dxfId="560">
      <pivotArea collapsedLevelsAreSubtotals="1" fieldPosition="0">
        <references count="4">
          <reference field="4294967294" count="5" selected="0">
            <x v="14"/>
            <x v="15"/>
            <x v="17"/>
            <x v="18"/>
            <x v="19"/>
          </reference>
          <reference field="1" count="0" selected="0"/>
          <reference field="2" count="1" selected="0">
            <x v="10"/>
          </reference>
          <reference field="6" count="1">
            <x v="48"/>
          </reference>
        </references>
      </pivotArea>
    </format>
    <format dxfId="561">
      <pivotArea collapsedLevelsAreSubtotals="1" fieldPosition="0">
        <references count="4">
          <reference field="4294967294" count="1" selected="0">
            <x v="20"/>
          </reference>
          <reference field="1" count="0" selected="0"/>
          <reference field="2" count="1" selected="0">
            <x v="11"/>
          </reference>
          <reference field="6" count="1">
            <x v="49"/>
          </reference>
        </references>
      </pivotArea>
    </format>
    <format dxfId="562">
      <pivotArea dataOnly="0" fieldPosition="0">
        <references count="1">
          <reference field="6" count="2">
            <x v="47"/>
            <x v="48"/>
          </reference>
        </references>
      </pivotArea>
    </format>
    <format dxfId="563">
      <pivotArea dataOnly="0" fieldPosition="0">
        <references count="1">
          <reference field="6" count="1">
            <x v="50"/>
          </reference>
        </references>
      </pivotArea>
    </format>
    <format dxfId="56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65">
      <pivotArea outline="0" fieldPosition="0">
        <references count="1">
          <reference field="4294967294" count="1">
            <x v="11"/>
          </reference>
        </references>
      </pivotArea>
    </format>
    <format dxfId="566">
      <pivotArea collapsedLevelsAreSubtotals="1" fieldPosition="0">
        <references count="4">
          <reference field="4294967294" count="1" selected="0">
            <x v="15"/>
          </reference>
          <reference field="1" count="0" selected="0"/>
          <reference field="2" count="1" selected="0">
            <x v="10"/>
          </reference>
          <reference field="6" count="1">
            <x v="50"/>
          </reference>
        </references>
      </pivotArea>
    </format>
    <format dxfId="567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0"/>
          </reference>
        </references>
      </pivotArea>
    </format>
    <format dxfId="568">
      <pivotArea collapsedLevelsAreSubtotals="1" fieldPosition="0">
        <references count="4">
          <reference field="4294967294" count="1" selected="0">
            <x v="4"/>
          </reference>
          <reference field="1" count="0" selected="0"/>
          <reference field="2" count="1" selected="0">
            <x v="11"/>
          </reference>
          <reference field="6" count="1">
            <x v="50"/>
          </reference>
        </references>
      </pivotArea>
    </format>
    <format dxfId="569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1"/>
          </reference>
          <reference field="6" count="1">
            <x v="50"/>
          </reference>
        </references>
      </pivotArea>
    </format>
    <format dxfId="570">
      <pivotArea collapsedLevelsAreSubtotals="1" fieldPosition="0">
        <references count="4">
          <reference field="4294967294" count="1" selected="0">
            <x v="12"/>
          </reference>
          <reference field="1" count="0" selected="0"/>
          <reference field="2" count="1" selected="0">
            <x v="10"/>
          </reference>
          <reference field="6" count="1">
            <x v="49"/>
          </reference>
        </references>
      </pivotArea>
    </format>
    <format dxfId="571">
      <pivotArea collapsedLevelsAreSubtotals="1" fieldPosition="0">
        <references count="4">
          <reference field="4294967294" count="2" selected="0">
            <x v="8"/>
            <x v="9"/>
          </reference>
          <reference field="1" count="0" selected="0"/>
          <reference field="2" count="1" selected="0">
            <x v="14"/>
          </reference>
          <reference field="6" count="1">
            <x v="50"/>
          </reference>
        </references>
      </pivotArea>
    </format>
    <format dxfId="572">
      <pivotArea collapsedLevelsAreSubtotals="1" fieldPosition="0">
        <references count="4">
          <reference field="4294967294" count="1" selected="0">
            <x v="12"/>
          </reference>
          <reference field="1" count="0" selected="0"/>
          <reference field="2" count="1" selected="0">
            <x v="11"/>
          </reference>
          <reference field="6" count="1">
            <x v="49"/>
          </reference>
        </references>
      </pivotArea>
    </format>
    <format dxfId="573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0"/>
          </reference>
        </references>
      </pivotArea>
    </format>
    <format dxfId="574">
      <pivotArea dataOnly="0" fieldPosition="0">
        <references count="1">
          <reference field="6" count="1">
            <x v="51"/>
          </reference>
        </references>
      </pivotArea>
    </format>
    <format dxfId="575">
      <pivotArea dataOnly="0" fieldPosition="0">
        <references count="1">
          <reference field="6" count="1">
            <x v="49"/>
          </reference>
        </references>
      </pivotArea>
    </format>
    <format dxfId="576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0"/>
          </reference>
        </references>
      </pivotArea>
    </format>
    <format dxfId="577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1"/>
          </reference>
        </references>
      </pivotArea>
    </format>
    <format dxfId="578">
      <pivotArea collapsedLevelsAreSubtotals="1" fieldPosition="0">
        <references count="4">
          <reference field="4294967294" count="1" selected="0">
            <x v="9"/>
          </reference>
          <reference field="1" count="0" selected="0"/>
          <reference field="2" count="1" selected="0">
            <x v="10"/>
          </reference>
          <reference field="6" count="1">
            <x v="51"/>
          </reference>
        </references>
      </pivotArea>
    </format>
    <format dxfId="579">
      <pivotArea collapsedLevelsAreSubtotals="1" fieldPosition="0">
        <references count="4">
          <reference field="4294967294" count="1" selected="0">
            <x v="4"/>
          </reference>
          <reference field="1" count="0" selected="0"/>
          <reference field="2" count="1" selected="0">
            <x v="10"/>
          </reference>
          <reference field="6" count="1">
            <x v="51"/>
          </reference>
        </references>
      </pivotArea>
    </format>
    <format dxfId="580">
      <pivotArea collapsedLevelsAreSubtotals="1" fieldPosition="0">
        <references count="4">
          <reference field="4294967294" count="1" selected="0">
            <x v="15"/>
          </reference>
          <reference field="1" count="0" selected="0"/>
          <reference field="2" count="1" selected="0">
            <x v="10"/>
          </reference>
          <reference field="6" count="1">
            <x v="51"/>
          </reference>
        </references>
      </pivotArea>
    </format>
    <format dxfId="581">
      <pivotArea collapsedLevelsAreSubtotals="1" fieldPosition="0">
        <references count="4">
          <reference field="4294967294" count="1" selected="0">
            <x v="15"/>
          </reference>
          <reference field="1" count="0" selected="0"/>
          <reference field="2" count="1" selected="0">
            <x v="11"/>
          </reference>
          <reference field="6" count="1">
            <x v="50"/>
          </reference>
        </references>
      </pivotArea>
    </format>
    <format dxfId="582">
      <pivotArea collapsedLevelsAreSubtotals="1" fieldPosition="0">
        <references count="4">
          <reference field="4294967294" count="1" selected="0">
            <x v="9"/>
          </reference>
          <reference field="1" count="0" selected="0"/>
          <reference field="2" count="1" selected="0">
            <x v="13"/>
          </reference>
          <reference field="6" count="1">
            <x v="51"/>
          </reference>
        </references>
      </pivotArea>
    </format>
    <format dxfId="583">
      <pivotArea dataOnly="0" fieldPosition="0">
        <references count="1">
          <reference field="6" count="1">
            <x v="50"/>
          </reference>
        </references>
      </pivotArea>
    </format>
    <format dxfId="584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1"/>
          </reference>
          <reference field="6" count="1">
            <x v="51"/>
          </reference>
        </references>
      </pivotArea>
    </format>
    <format dxfId="585">
      <pivotArea collapsedLevelsAreSubtotals="1" fieldPosition="0">
        <references count="4">
          <reference field="4294967294" count="1" selected="0">
            <x v="9"/>
          </reference>
          <reference field="1" count="0" selected="0"/>
          <reference field="2" count="1" selected="0">
            <x v="13"/>
          </reference>
          <reference field="6" count="1">
            <x v="51"/>
          </reference>
        </references>
      </pivotArea>
    </format>
    <format dxfId="586">
      <pivotArea collapsedLevelsAreSubtotals="1" fieldPosition="0">
        <references count="4">
          <reference field="4294967294" count="11" selected="0">
            <x v="4"/>
            <x v="5"/>
            <x v="6"/>
            <x v="7"/>
            <x v="8"/>
            <x v="9"/>
            <x v="10"/>
            <x v="11"/>
            <x v="12"/>
            <x v="14"/>
            <x v="15"/>
          </reference>
          <reference field="1" count="0" selected="0"/>
          <reference field="2" count="1" selected="0">
            <x v="10"/>
          </reference>
          <reference field="6" count="1">
            <x v="51"/>
          </reference>
        </references>
      </pivotArea>
    </format>
    <format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0"/>
          </reference>
        </references>
      </pivotArea>
    </format>
    <format dxfId="587">
      <pivotArea dataOnly="0" fieldPosition="0">
        <references count="1">
          <reference field="6" count="1">
            <x v="51"/>
          </reference>
        </references>
      </pivotArea>
    </format>
    <format dxfId="588">
      <pivotArea dataOnly="0" fieldPosition="0">
        <references count="1">
          <reference field="6" count="1">
            <x v="52"/>
          </reference>
        </references>
      </pivotArea>
    </format>
    <format dxfId="589">
      <pivotArea collapsedLevelsAreSubtotals="1" fieldPosition="0">
        <references count="4">
          <reference field="4294967294" count="1" selected="0">
            <x v="15"/>
          </reference>
          <reference field="1" count="0" selected="0"/>
          <reference field="2" count="1" selected="0">
            <x v="10"/>
          </reference>
          <reference field="6" count="2">
            <x v="53"/>
            <x v="54"/>
          </reference>
        </references>
      </pivotArea>
    </format>
    <format dxfId="590">
      <pivotArea collapsedLevelsAreSubtotals="1" fieldPosition="0">
        <references count="4">
          <reference field="4294967294" count="1" selected="0">
            <x v="15"/>
          </reference>
          <reference field="1" count="0" selected="0"/>
          <reference field="2" count="1" selected="0">
            <x v="14"/>
          </reference>
          <reference field="6" count="2">
            <x v="53"/>
            <x v="54"/>
          </reference>
        </references>
      </pivotArea>
    </format>
    <format dxfId="591">
      <pivotArea collapsedLevelsAreSubtotals="1" fieldPosition="0">
        <references count="4">
          <reference field="4294967294" count="1" selected="0">
            <x v="4"/>
          </reference>
          <reference field="1" count="0" selected="0"/>
          <reference field="2" count="1" selected="0">
            <x v="14"/>
          </reference>
          <reference field="6" count="2">
            <x v="53"/>
            <x v="54"/>
          </reference>
        </references>
      </pivotArea>
    </format>
    <format dxfId="592">
      <pivotArea dataOnly="0" fieldPosition="0">
        <references count="1">
          <reference field="6" count="1">
            <x v="53"/>
          </reference>
        </references>
      </pivotArea>
    </format>
    <format dxfId="593">
      <pivotArea dataOnly="0" fieldPosition="0">
        <references count="1">
          <reference field="6" count="1">
            <x v="56"/>
          </reference>
        </references>
      </pivotArea>
    </format>
    <format dxfId="594">
      <pivotArea collapsedLevelsAreSubtotals="1" fieldPosition="0">
        <references count="4">
          <reference field="4294967294" count="1" selected="0">
            <x v="9"/>
          </reference>
          <reference field="1" count="0" selected="0"/>
          <reference field="2" count="1" selected="0">
            <x v="11"/>
          </reference>
          <reference field="6" count="1">
            <x v="56"/>
          </reference>
        </references>
      </pivotArea>
    </format>
    <format dxfId="595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6"/>
          </reference>
        </references>
      </pivotArea>
    </format>
    <format dxfId="596">
      <pivotArea dataOnly="0" fieldPosition="0">
        <references count="1">
          <reference field="6" count="1">
            <x v="57"/>
          </reference>
        </references>
      </pivotArea>
    </format>
    <format dxfId="597">
      <pivotArea dataOnly="0" fieldPosition="0">
        <references count="1">
          <reference field="6" count="2">
            <x v="54"/>
            <x v="55"/>
          </reference>
        </references>
      </pivotArea>
    </format>
    <format dxfId="598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6"/>
          </reference>
        </references>
      </pivotArea>
    </format>
    <format dxfId="599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6"/>
          </reference>
        </references>
      </pivotArea>
    </format>
    <format dxfId="600">
      <pivotArea collapsedLevelsAreSubtotals="1" fieldPosition="0">
        <references count="4">
          <reference field="4294967294" count="1" selected="0">
            <x v="17"/>
          </reference>
          <reference field="1" count="0" selected="0"/>
          <reference field="2" count="1" selected="0">
            <x v="10"/>
          </reference>
          <reference field="6" count="1">
            <x v="56"/>
          </reference>
        </references>
      </pivotArea>
    </format>
    <format dxfId="601">
      <pivotArea dataOnly="0" fieldPosition="0">
        <references count="1">
          <reference field="6" count="1">
            <x v="58"/>
          </reference>
        </references>
      </pivotArea>
    </format>
    <format dxfId="602">
      <pivotArea dataOnly="0" fieldPosition="0">
        <references count="1">
          <reference field="6" count="1">
            <x v="58"/>
          </reference>
        </references>
      </pivotArea>
    </format>
    <format dxfId="603">
      <pivotArea dataOnly="0" fieldPosition="0">
        <references count="1">
          <reference field="6" count="2">
            <x v="56"/>
            <x v="57"/>
          </reference>
        </references>
      </pivotArea>
    </format>
    <format dxfId="604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05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606">
      <pivotArea outline="0" fieldPosition="0">
        <references count="1">
          <reference field="4294967294" count="1">
            <x v="16"/>
          </reference>
        </references>
      </pivotArea>
    </format>
    <format dxfId="607">
      <pivotArea collapsedLevelsAreSubtotals="1" fieldPosition="0">
        <references count="4">
          <reference field="4294967294" count="1" selected="0">
            <x v="4"/>
          </reference>
          <reference field="1" count="0" selected="0"/>
          <reference field="2" count="1" selected="0">
            <x v="10"/>
          </reference>
          <reference field="6" count="4">
            <x v="51"/>
            <x v="52"/>
            <x v="53"/>
            <x v="54"/>
          </reference>
        </references>
      </pivotArea>
    </format>
    <format dxfId="608">
      <pivotArea dataOnly="0" fieldPosition="0">
        <references count="1">
          <reference field="6" count="2">
            <x v="59"/>
            <x v="60"/>
          </reference>
        </references>
      </pivotArea>
    </format>
    <format dxfId="609">
      <pivotArea dataOnly="0" fieldPosition="0">
        <references count="1">
          <reference field="6" count="2">
            <x v="57"/>
            <x v="58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12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613">
      <pivotArea dataOnly="0" fieldPosition="0">
        <references count="1">
          <reference field="6" count="1">
            <x v="59"/>
          </reference>
        </references>
      </pivotArea>
    </format>
    <format dxfId="614">
      <pivotArea dataOnly="0" fieldPosition="0">
        <references count="1">
          <reference field="6" count="1">
            <x v="60"/>
          </reference>
        </references>
      </pivotArea>
    </format>
    <format dxfId="615">
      <pivotArea dataOnly="0" fieldPosition="0">
        <references count="1">
          <reference field="6" count="1">
            <x v="61"/>
          </reference>
        </references>
      </pivotArea>
    </format>
    <format dxfId="616">
      <pivotArea collapsedLevelsAreSubtotals="1" fieldPosition="0">
        <references count="4">
          <reference field="4294967294" count="1" selected="0">
            <x v="9"/>
          </reference>
          <reference field="1" count="0" selected="0"/>
          <reference field="2" count="1" selected="0">
            <x v="13"/>
          </reference>
          <reference field="6" count="1">
            <x v="53"/>
          </reference>
        </references>
      </pivotArea>
    </format>
    <format dxfId="617">
      <pivotArea collapsedLevelsAreSubtotals="1" fieldPosition="0">
        <references count="4">
          <reference field="4294967294" count="1" selected="0">
            <x v="8"/>
          </reference>
          <reference field="1" count="0" selected="0"/>
          <reference field="2" count="1" selected="0">
            <x v="11"/>
          </reference>
          <reference field="6" count="2">
            <x v="62"/>
            <x v="63"/>
          </reference>
        </references>
      </pivotArea>
    </format>
    <format dxfId="618">
      <pivotArea dataOnly="0" fieldPosition="0">
        <references count="1">
          <reference field="6" count="2">
            <x v="62"/>
            <x v="63"/>
          </reference>
        </references>
      </pivotArea>
    </format>
    <format dxfId="619">
      <pivotArea dataOnly="0" fieldPosition="0">
        <references count="1">
          <reference field="6" count="1">
            <x v="67"/>
          </reference>
        </references>
      </pivotArea>
    </format>
    <format dxfId="620">
      <pivotArea dataOnly="0" fieldPosition="0">
        <references count="1">
          <reference field="6" count="1">
            <x v="67"/>
          </reference>
        </references>
      </pivotArea>
    </format>
    <format dxfId="621">
      <pivotArea dataOnly="0" fieldPosition="0">
        <references count="1">
          <reference field="6" count="1">
            <x v="64"/>
          </reference>
        </references>
      </pivotArea>
    </format>
    <format dxfId="622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2" count="1" selected="0">
            <x v="10"/>
          </reference>
          <reference field="6" count="1">
            <x v="14"/>
          </reference>
        </references>
      </pivotArea>
    </format>
    <format dxfId="623">
      <pivotArea dataOnly="0" fieldPosition="0">
        <references count="2">
          <reference field="2" count="1" selected="0">
            <x v="10"/>
          </reference>
          <reference field="6" count="1">
            <x v="69"/>
          </reference>
        </references>
      </pivotArea>
    </format>
    <format dxfId="624">
      <pivotArea dataOnly="0" fieldPosition="0">
        <references count="2">
          <reference field="2" count="1" selected="0">
            <x v="10"/>
          </reference>
          <reference field="6" count="1">
            <x v="69"/>
          </reference>
        </references>
      </pivotArea>
    </format>
    <format dxfId="625">
      <pivotArea dataOnly="0" fieldPosition="0">
        <references count="1">
          <reference field="6" count="1">
            <x v="68"/>
          </reference>
        </references>
      </pivotArea>
    </format>
    <format dxfId="626">
      <pivotArea dataOnly="0" fieldPosition="0">
        <references count="1">
          <reference field="6" count="1">
            <x v="65"/>
          </reference>
        </references>
      </pivotArea>
    </format>
    <format dxfId="627">
      <pivotArea dataOnly="0" fieldPosition="0">
        <references count="1">
          <reference field="6" count="1">
            <x v="69"/>
          </reference>
        </references>
      </pivotArea>
    </format>
    <format dxfId="628">
      <pivotArea dataOnly="0" fieldPosition="0">
        <references count="1">
          <reference field="6" count="1">
            <x v="69"/>
          </reference>
        </references>
      </pivotArea>
    </format>
    <format dxfId="629">
      <pivotArea dataOnly="0" fieldPosition="0">
        <references count="1">
          <reference field="6" count="1">
            <x v="66"/>
          </reference>
        </references>
      </pivotArea>
    </format>
    <format dxfId="630">
      <pivotArea dataOnly="0" fieldPosition="0">
        <references count="1">
          <reference field="6" count="1">
            <x v="71"/>
          </reference>
        </references>
      </pivotArea>
    </format>
    <format dxfId="631">
      <pivotArea dataOnly="0" fieldPosition="0">
        <references count="1">
          <reference field="6" count="1">
            <x v="71"/>
          </reference>
        </references>
      </pivotArea>
    </format>
    <format dxfId="632">
      <pivotArea dataOnly="0" fieldPosition="0">
        <references count="1">
          <reference field="6" count="1">
            <x v="7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87D8D-7A1C-4F45-AFF9-B41355EC5C17}" name="PivotTable13" cacheId="164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 chartFormat="1">
  <location ref="BZ6:CF459" firstHeaderRow="1" firstDataRow="2" firstDataCol="1" rowPageCount="1" colPageCount="1"/>
  <pivotFields count="48">
    <pivotField axis="axisPage" multipleItemSelectionAllowed="1" showAll="0">
      <items count="4">
        <item h="1" x="1"/>
        <item h="1" x="0"/>
        <item x="2"/>
        <item t="default"/>
      </items>
    </pivotField>
    <pivotField axis="axisRow" multipleItemSelectionAllowed="1" showAll="0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Col" showAll="0" sortType="ascending">
      <items count="73">
        <item h="1" x="6"/>
        <item h="1" x="5"/>
        <item h="1" x="4"/>
        <item h="1" x="3"/>
        <item h="1" x="2"/>
        <item h="1" x="1"/>
        <item h="1" x="0"/>
        <item h="1" x="29"/>
        <item h="1" x="30"/>
        <item h="1" x="31"/>
        <item h="1" x="32"/>
        <item h="1" x="33"/>
        <item h="1" x="34"/>
        <item h="1" x="35"/>
        <item h="1" x="36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28"/>
        <item h="1" x="27"/>
        <item h="1" x="26"/>
        <item h="1" x="25"/>
        <item h="1" x="21"/>
        <item h="1" x="22"/>
        <item h="1" x="24"/>
        <item h="1" x="23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x="54"/>
        <item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f="1" x="69"/>
        <item f="1" x="70"/>
        <item f="1" x="71"/>
        <item h="1" x="37"/>
        <item t="default"/>
      </items>
    </pivotField>
    <pivotField axis="axisRow" multipleItemSelectionAllowed="1" showAll="0" sortType="descending">
      <items count="20">
        <item h="1" m="1" x="12"/>
        <item h="1" m="1" x="17"/>
        <item h="1" m="1" x="18"/>
        <item h="1" x="2"/>
        <item h="1" x="3"/>
        <item h="1" x="4"/>
        <item h="1" x="5"/>
        <item h="1" x="6"/>
        <item h="1" x="9"/>
        <item h="1" x="10"/>
        <item h="1" x="11"/>
        <item h="1" m="1" x="13"/>
        <item h="1" m="1" x="14"/>
        <item h="1" m="1" x="15"/>
        <item h="1" x="8"/>
        <item h="1" x="7"/>
        <item h="1" x="0"/>
        <item h="1" m="1" x="16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9" showAll="0"/>
    <pivotField numFmtId="4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7"/>
    <field x="1"/>
    <field x="2"/>
  </rowFields>
  <rowItems count="452">
    <i>
      <x v="1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1">
      <x v="1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t="grand">
      <x/>
    </i>
  </rowItems>
  <colFields count="1">
    <field x="6"/>
  </colFields>
  <colItems count="6">
    <i>
      <x v="53"/>
    </i>
    <i>
      <x v="54"/>
    </i>
    <i>
      <x v="68"/>
    </i>
    <i>
      <x v="69"/>
    </i>
    <i>
      <x v="70"/>
    </i>
    <i t="grand">
      <x/>
    </i>
  </colItems>
  <pageFields count="1">
    <pageField fld="0" hier="-1"/>
  </pageFields>
  <dataFields count="1">
    <dataField name="Sum of Total Active Riders" fld="10" baseField="0" baseItem="0"/>
  </dataFields>
  <formats count="10">
    <format dxfId="495">
      <pivotArea field="6" type="button" dataOnly="0" labelOnly="1" outline="0" axis="axisCol" fieldPosition="0"/>
    </format>
    <format dxfId="496">
      <pivotArea field="6" type="button" dataOnly="0" labelOnly="1" outline="0" axis="axisCol" fieldPosition="0"/>
    </format>
    <format dxfId="497">
      <pivotArea field="5" type="button" dataOnly="0" labelOnly="1" outline="0"/>
    </format>
    <format dxfId="498">
      <pivotArea dataOnly="0" labelOnly="1" grandRow="1" outline="0" fieldPosition="0"/>
    </format>
    <format dxfId="499">
      <pivotArea field="5" type="button" dataOnly="0" labelOnly="1" outline="0"/>
    </format>
    <format dxfId="500">
      <pivotArea field="5" type="button" dataOnly="0" labelOnly="1" outline="0"/>
    </format>
    <format dxfId="501">
      <pivotArea field="7" type="button" dataOnly="0" labelOnly="1" outline="0" axis="axisRow" fieldPosition="0"/>
    </format>
    <format dxfId="502">
      <pivotArea field="5" type="button" dataOnly="0" labelOnly="1" outline="0"/>
    </format>
    <format dxfId="503">
      <pivotArea dataOnly="0" labelOnly="1" outline="0" axis="axisValues" fieldPosition="0"/>
    </format>
    <format dxfId="504">
      <pivotArea collapsedLevelsAreSubtotals="1" fieldPosition="0">
        <references count="2">
          <reference field="6" count="1" selected="0">
            <x v="33"/>
          </reference>
          <reference field="7" count="1">
            <x v="7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39DD1-C09F-B94B-96BE-A067DD122EF5}" name="PivotTable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KN6:ML321" firstHeaderRow="1" firstDataRow="2" firstDataCol="1" rowPageCount="1" colPageCount="1"/>
  <pivotFields count="48">
    <pivotField axis="axisPage" multipleItemSelectionAllowed="1" showAll="0">
      <items count="4">
        <item h="1" x="1"/>
        <item x="0"/>
        <item h="1" x="2"/>
        <item t="default"/>
      </items>
    </pivotField>
    <pivotField axis="axisRow" multipleItemSelectionAllowed="1" showAll="0">
      <items count="20">
        <item h="1" x="1"/>
        <item h="1" x="2"/>
        <item h="1" x="7"/>
        <item h="1" x="4"/>
        <item h="1" x="8"/>
        <item h="1" x="6"/>
        <item x="0"/>
        <item h="1" x="5"/>
        <item h="1" x="3"/>
        <item h="1" m="1" x="1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Col" showAll="0" sortType="ascending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h="1" x="13"/>
        <item h="1" x="12"/>
        <item h="1" x="11"/>
        <item h="1" x="10"/>
        <item h="1" x="9"/>
        <item h="1" x="8"/>
        <item h="1" x="7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f="1" x="69"/>
        <item f="1" x="70"/>
        <item f="1" x="71"/>
        <item h="1" x="37"/>
        <item t="default"/>
      </items>
    </pivotField>
    <pivotField axis="axisRow" multipleItemSelectionAllowed="1" showAll="0" sortType="ascending">
      <items count="20">
        <item m="1" x="16"/>
        <item m="1" x="15"/>
        <item m="1" x="14"/>
        <item m="1" x="13"/>
        <item x="1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9" showAll="0"/>
    <pivotField numFmtId="4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"/>
    <field x="2"/>
    <field x="7"/>
  </rowFields>
  <rowItems count="314">
    <i>
      <x v="6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4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5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6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7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8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9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0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4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5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6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7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8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19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0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4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t="grand">
      <x/>
    </i>
  </rowItems>
  <colFields count="1">
    <field x="6"/>
  </colFields>
  <col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68"/>
    </i>
    <i>
      <x v="69"/>
    </i>
    <i>
      <x v="70"/>
    </i>
    <i t="grand">
      <x/>
    </i>
  </colItems>
  <pageFields count="1">
    <pageField fld="0" hier="-1"/>
  </pageFields>
  <dataFields count="1">
    <dataField name="Sum of Total Active Riders" fld="10" baseField="0" baseItem="0"/>
  </dataFields>
  <formats count="11">
    <format dxfId="484">
      <pivotArea field="6" type="button" dataOnly="0" labelOnly="1" outline="0" axis="axisCol" fieldPosition="0"/>
    </format>
    <format dxfId="485">
      <pivotArea field="6" type="button" dataOnly="0" labelOnly="1" outline="0" axis="axisCol" fieldPosition="0"/>
    </format>
    <format dxfId="486">
      <pivotArea field="5" type="button" dataOnly="0" labelOnly="1" outline="0"/>
    </format>
    <format dxfId="487">
      <pivotArea dataOnly="0" labelOnly="1" grandRow="1" outline="0" fieldPosition="0"/>
    </format>
    <format dxfId="488">
      <pivotArea field="5" type="button" dataOnly="0" labelOnly="1" outline="0"/>
    </format>
    <format dxfId="489">
      <pivotArea field="5" type="button" dataOnly="0" labelOnly="1" outline="0"/>
    </format>
    <format dxfId="490">
      <pivotArea field="7" type="button" dataOnly="0" labelOnly="1" outline="0" axis="axisRow" fieldPosition="2"/>
    </format>
    <format dxfId="491">
      <pivotArea field="5" type="button" dataOnly="0" labelOnly="1" outline="0"/>
    </format>
    <format dxfId="492">
      <pivotArea dataOnly="0" labelOnly="1" outline="0" axis="axisValues" fieldPosition="0"/>
    </format>
    <format dxfId="493">
      <pivotArea collapsedLevelsAreSubtotals="1" fieldPosition="0">
        <references count="2">
          <reference field="6" count="1" selected="0">
            <x v="33"/>
          </reference>
          <reference field="7" count="1">
            <x v="11"/>
          </reference>
        </references>
      </pivotArea>
    </format>
    <format dxfId="494">
      <pivotArea collapsedLevelsAreSubtotals="1" fieldPosition="0">
        <references count="4">
          <reference field="1" count="0" selected="0"/>
          <reference field="2" count="1" selected="0">
            <x v="13"/>
          </reference>
          <reference field="6" count="1" selected="0">
            <x v="17"/>
          </reference>
          <reference field="7" count="1">
            <x v="8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33147-4986-5D4D-8208-97F2028D388F}" name="PivotTable20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GS7:HF213" firstHeaderRow="0" firstDataRow="1" firstDataCol="1" rowPageCount="2" colPageCount="1"/>
  <pivotFields count="48"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 sortType="descending">
      <items count="20">
        <item h="1" x="1"/>
        <item h="1" x="2"/>
        <item h="1" x="7"/>
        <item h="1" x="4"/>
        <item h="1" x="8"/>
        <item h="1" x="6"/>
        <item x="0"/>
        <item h="1" x="5"/>
        <item h="1" x="3"/>
        <item h="1" m="1" x="1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6">
        <item h="1" x="2"/>
        <item h="1" x="13"/>
        <item h="1" x="3"/>
        <item h="1" x="8"/>
        <item h="1" x="5"/>
        <item h="1" x="11"/>
        <item h="1" x="19"/>
        <item h="1" x="12"/>
        <item h="1" x="15"/>
        <item h="1" x="7"/>
        <item x="0"/>
        <item x="1"/>
        <item x="21"/>
        <item x="10"/>
        <item x="9"/>
        <item h="1" x="17"/>
        <item h="1" x="14"/>
        <item h="1" x="6"/>
        <item h="1" x="16"/>
        <item h="1" x="4"/>
        <item h="1" x="20"/>
        <item h="1" x="18"/>
        <item h="1" m="1" x="24"/>
        <item h="1" x="22"/>
        <item h="1"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h="1" x="37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multipleItemSelectionAllowe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dataField="1" showAll="0"/>
    <pivotField showAll="0"/>
    <pivotField showAll="0"/>
    <pivotField dataField="1" numFmtId="41" showAll="0"/>
    <pivotField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2"/>
    <field x="6"/>
  </rowFields>
  <rowItems count="206"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>
      <x v="12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7"/>
    </i>
    <i r="1">
      <x v="69"/>
    </i>
    <i r="1">
      <x v="7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0" hier="-1"/>
    <pageField fld="1" hier="-1"/>
  </pageFields>
  <dataFields count="13">
    <dataField name="Sum of Total Cups Sold" fld="11" baseField="0" baseItem="0" numFmtId="3"/>
    <dataField name="Max of Total Active Riders" fld="10" subtotal="max" baseField="0" baseItem="0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/>
    <dataField name="Sum of Total Cost Molis (Weekly)" fld="21" baseField="0" baseItem="0" numFmtId="3"/>
    <dataField name="Sum of Total Income Sales (Weekly)" fld="19" baseField="0" baseItem="0" numFmtId="41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0" baseItem="0" numFmtId="3"/>
    <dataField name="Sum of Rider Daily Incentives as a % of Total Selling (Client)" fld="47" baseField="5" baseItem="0" numFmtId="9"/>
  </dataFields>
  <formats count="79">
    <format dxfId="405">
      <pivotArea field="6" type="button" dataOnly="0" labelOnly="1" outline="0" axis="axisRow" fieldPosition="1"/>
    </format>
    <format dxfId="406">
      <pivotArea dataOnly="0" labelOnly="1" outline="0" fieldPosition="0">
        <references count="1">
          <reference field="4294967294" count="6">
            <x v="0"/>
            <x v="1"/>
            <x v="4"/>
            <x v="7"/>
            <x v="8"/>
            <x v="9"/>
          </reference>
        </references>
      </pivotArea>
    </format>
    <format dxfId="407">
      <pivotArea field="6" type="button" dataOnly="0" labelOnly="1" outline="0" axis="axisRow" fieldPosition="1"/>
    </format>
    <format dxfId="408">
      <pivotArea dataOnly="0" labelOnly="1" outline="0" fieldPosition="0">
        <references count="1">
          <reference field="4294967294" count="6">
            <x v="0"/>
            <x v="1"/>
            <x v="4"/>
            <x v="7"/>
            <x v="8"/>
            <x v="9"/>
          </reference>
        </references>
      </pivotArea>
    </format>
    <format dxfId="409">
      <pivotArea outline="0" fieldPosition="0">
        <references count="1">
          <reference field="4294967294" count="1">
            <x v="0"/>
          </reference>
        </references>
      </pivotArea>
    </format>
    <format dxfId="410">
      <pivotArea outline="0" fieldPosition="0">
        <references count="1">
          <reference field="4294967294" count="1">
            <x v="9"/>
          </reference>
        </references>
      </pivotArea>
    </format>
    <format dxfId="411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412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41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15">
      <pivotArea collapsedLevelsAreSubtotals="1" fieldPosition="0">
        <references count="2">
          <reference field="4294967294" count="3" selected="0">
            <x v="4"/>
            <x v="7"/>
            <x v="8"/>
          </reference>
          <reference field="1" count="0"/>
        </references>
      </pivotArea>
    </format>
    <format dxfId="41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8">
      <pivotArea dataOnly="0" fieldPosition="0">
        <references count="1">
          <reference field="6" count="1">
            <x v="25"/>
          </reference>
        </references>
      </pivotArea>
    </format>
    <format dxfId="419">
      <pivotArea dataOnly="0" fieldPosition="0">
        <references count="1">
          <reference field="6" count="1">
            <x v="28"/>
          </reference>
        </references>
      </pivotArea>
    </format>
    <format dxfId="420">
      <pivotArea dataOnly="0" fieldPosition="0">
        <references count="1">
          <reference field="6" count="1">
            <x v="26"/>
          </reference>
        </references>
      </pivotArea>
    </format>
    <format dxfId="421">
      <pivotArea dataOnly="0" fieldPosition="0">
        <references count="1">
          <reference field="6" count="1">
            <x v="27"/>
          </reference>
        </references>
      </pivotArea>
    </format>
    <format dxfId="422">
      <pivotArea collapsedLevelsAreSubtotals="1" fieldPosition="0">
        <references count="1">
          <reference field="6" count="1">
            <x v="4"/>
          </reference>
        </references>
      </pivotArea>
    </format>
    <format dxfId="423">
      <pivotArea collapsedLevelsAreSubtotals="1" fieldPosition="0">
        <references count="1">
          <reference field="6" count="1">
            <x v="5"/>
          </reference>
        </references>
      </pivotArea>
    </format>
    <format dxfId="424">
      <pivotArea collapsedLevelsAreSubtotals="1" fieldPosition="0">
        <references count="1">
          <reference field="6" count="1">
            <x v="6"/>
          </reference>
        </references>
      </pivotArea>
    </format>
    <format dxfId="425">
      <pivotArea collapsedLevelsAreSubtotals="1" fieldPosition="0">
        <references count="1">
          <reference field="6" count="1">
            <x v="7"/>
          </reference>
        </references>
      </pivotArea>
    </format>
    <format dxfId="426">
      <pivotArea collapsedLevelsAreSubtotals="1" fieldPosition="0">
        <references count="1">
          <reference field="6" count="1">
            <x v="8"/>
          </reference>
        </references>
      </pivotArea>
    </format>
    <format dxfId="427">
      <pivotArea collapsedLevelsAreSubtotals="1" fieldPosition="0">
        <references count="1">
          <reference field="6" count="1">
            <x v="9"/>
          </reference>
        </references>
      </pivotArea>
    </format>
    <format dxfId="428">
      <pivotArea collapsedLevelsAreSubtotals="1" fieldPosition="0">
        <references count="1">
          <reference field="6" count="1">
            <x v="10"/>
          </reference>
        </references>
      </pivotArea>
    </format>
    <format dxfId="429">
      <pivotArea collapsedLevelsAreSubtotals="1" fieldPosition="0">
        <references count="1">
          <reference field="6" count="1">
            <x v="12"/>
          </reference>
        </references>
      </pivotArea>
    </format>
    <format dxfId="430">
      <pivotArea collapsedLevelsAreSubtotals="1" fieldPosition="0">
        <references count="1">
          <reference field="6" count="1">
            <x v="13"/>
          </reference>
        </references>
      </pivotArea>
    </format>
    <format dxfId="431">
      <pivotArea collapsedLevelsAreSubtotals="1" fieldPosition="0">
        <references count="1">
          <reference field="6" count="1">
            <x v="14"/>
          </reference>
        </references>
      </pivotArea>
    </format>
    <format dxfId="432">
      <pivotArea collapsedLevelsAreSubtotals="1" fieldPosition="0">
        <references count="1">
          <reference field="6" count="1">
            <x v="22"/>
          </reference>
        </references>
      </pivotArea>
    </format>
    <format dxfId="433">
      <pivotArea collapsedLevelsAreSubtotals="1" fieldPosition="0">
        <references count="1">
          <reference field="6" count="1">
            <x v="23"/>
          </reference>
        </references>
      </pivotArea>
    </format>
    <format dxfId="434">
      <pivotArea collapsedLevelsAreSubtotals="1" fieldPosition="0">
        <references count="1">
          <reference field="6" count="1">
            <x v="24"/>
          </reference>
        </references>
      </pivotArea>
    </format>
    <format dxfId="435">
      <pivotArea collapsedLevelsAreSubtotals="1" fieldPosition="0">
        <references count="1">
          <reference field="6" count="1">
            <x v="25"/>
          </reference>
        </references>
      </pivotArea>
    </format>
    <format dxfId="436">
      <pivotArea collapsedLevelsAreSubtotals="1" fieldPosition="0">
        <references count="1">
          <reference field="6" count="1">
            <x v="26"/>
          </reference>
        </references>
      </pivotArea>
    </format>
    <format dxfId="437">
      <pivotArea collapsedLevelsAreSubtotals="1" fieldPosition="0">
        <references count="1">
          <reference field="6" count="1">
            <x v="27"/>
          </reference>
        </references>
      </pivotArea>
    </format>
    <format dxfId="438">
      <pivotArea collapsedLevelsAreSubtotals="1" fieldPosition="0">
        <references count="1">
          <reference field="6" count="1">
            <x v="28"/>
          </reference>
        </references>
      </pivotArea>
    </format>
    <format dxfId="439">
      <pivotArea collapsedLevelsAreSubtotals="1" fieldPosition="0">
        <references count="1">
          <reference field="6" count="1">
            <x v="29"/>
          </reference>
        </references>
      </pivotArea>
    </format>
    <format dxfId="440">
      <pivotArea dataOnly="0" labelOnly="1" fieldPosition="0">
        <references count="1">
          <reference field="6" count="18">
            <x v="4"/>
            <x v="5"/>
            <x v="6"/>
            <x v="7"/>
            <x v="8"/>
            <x v="9"/>
            <x v="10"/>
            <x v="12"/>
            <x v="13"/>
            <x v="14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41">
      <pivotArea field="5" type="button" dataOnly="0" labelOnly="1" outline="0"/>
    </format>
    <format dxfId="442">
      <pivotArea dataOnly="0" labelOnly="1" grandRow="1" outline="0" fieldPosition="0"/>
    </format>
    <format dxfId="44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44">
      <pivotArea dataOnly="0" outline="0" fieldPosition="0">
        <references count="1">
          <reference field="4294967294" count="1">
            <x v="5"/>
          </reference>
        </references>
      </pivotArea>
    </format>
    <format dxfId="445">
      <pivotArea field="5" type="button" dataOnly="0" labelOnly="1" outline="0"/>
    </format>
    <format dxfId="446">
      <pivotArea dataOnly="0" labelOnly="1" outline="0" fieldPosition="0">
        <references count="1">
          <reference field="4294967294" count="8">
            <x v="0"/>
            <x v="1"/>
            <x v="2"/>
            <x v="4"/>
            <x v="5"/>
            <x v="7"/>
            <x v="8"/>
            <x v="9"/>
          </reference>
        </references>
      </pivotArea>
    </format>
    <format dxfId="447">
      <pivotArea field="5" type="button" dataOnly="0" labelOnly="1" outline="0"/>
    </format>
    <format dxfId="448">
      <pivotArea dataOnly="0" labelOnly="1" outline="0" fieldPosition="0">
        <references count="1">
          <reference field="4294967294" count="8">
            <x v="0"/>
            <x v="1"/>
            <x v="2"/>
            <x v="4"/>
            <x v="5"/>
            <x v="7"/>
            <x v="8"/>
            <x v="9"/>
          </reference>
        </references>
      </pivotArea>
    </format>
    <format dxfId="449">
      <pivotArea dataOnly="0" fieldPosition="0">
        <references count="1">
          <reference field="6" count="1">
            <x v="33"/>
          </reference>
        </references>
      </pivotArea>
    </format>
    <format dxfId="450">
      <pivotArea dataOnly="0" fieldPosition="0">
        <references count="1">
          <reference field="6" count="1">
            <x v="34"/>
          </reference>
        </references>
      </pivotArea>
    </format>
    <format dxfId="451">
      <pivotArea outline="0" fieldPosition="0">
        <references count="1">
          <reference field="4294967294" count="1">
            <x v="2"/>
          </reference>
        </references>
      </pivotArea>
    </format>
    <format dxfId="452">
      <pivotArea outline="0" fieldPosition="0">
        <references count="1">
          <reference field="4294967294" count="1">
            <x v="5"/>
          </reference>
        </references>
      </pivotArea>
    </format>
    <format dxfId="453">
      <pivotArea dataOnly="0" labelOnly="1" outline="0" fieldPosition="0">
        <references count="1">
          <reference field="4294967294" count="8">
            <x v="0"/>
            <x v="1"/>
            <x v="2"/>
            <x v="4"/>
            <x v="5"/>
            <x v="7"/>
            <x v="8"/>
            <x v="9"/>
          </reference>
        </references>
      </pivotArea>
    </format>
    <format dxfId="454">
      <pivotArea dataOnly="0" fieldPosition="0">
        <references count="1">
          <reference field="6" count="1">
            <x v="34"/>
          </reference>
        </references>
      </pivotArea>
    </format>
    <format dxfId="455">
      <pivotArea dataOnly="0" fieldPosition="0">
        <references count="1">
          <reference field="6" count="1">
            <x v="35"/>
          </reference>
        </references>
      </pivotArea>
    </format>
    <format dxfId="45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57">
      <pivotArea outline="0" fieldPosition="0">
        <references count="1">
          <reference field="4294967294" count="1">
            <x v="10"/>
          </reference>
        </references>
      </pivotArea>
    </format>
    <format dxfId="458">
      <pivotArea dataOnly="0" fieldPosition="0">
        <references count="1">
          <reference field="6" count="1">
            <x v="36"/>
          </reference>
        </references>
      </pivotArea>
    </format>
    <format dxfId="459">
      <pivotArea dataOnly="0" labelOnly="1" outline="0" fieldPosition="0">
        <references count="1">
          <reference field="4294967294" count="9">
            <x v="0"/>
            <x v="1"/>
            <x v="2"/>
            <x v="4"/>
            <x v="5"/>
            <x v="7"/>
            <x v="8"/>
            <x v="9"/>
            <x v="10"/>
          </reference>
        </references>
      </pivotArea>
    </format>
    <format dxfId="460">
      <pivotArea outline="0" fieldPosition="0">
        <references count="1">
          <reference field="4294967294" count="1">
            <x v="12"/>
          </reference>
        </references>
      </pivotArea>
    </format>
    <format dxfId="461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462">
      <pivotArea dataOnly="0" fieldPosition="0">
        <references count="1">
          <reference field="6" count="1">
            <x v="37"/>
          </reference>
        </references>
      </pivotArea>
    </format>
    <format dxfId="463">
      <pivotArea field="5" type="button" dataOnly="0" labelOnly="1" outline="0"/>
    </format>
    <format dxfId="464">
      <pivotArea dataOnly="0" labelOnly="1" outline="0" fieldPosition="0">
        <references count="1">
          <reference field="4294967294" count="11">
            <x v="0"/>
            <x v="1"/>
            <x v="2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465">
      <pivotArea dataOnly="0" fieldPosition="0">
        <references count="1">
          <reference field="6" count="1">
            <x v="38"/>
          </reference>
        </references>
      </pivotArea>
    </format>
    <format dxfId="466">
      <pivotArea dataOnly="0" fieldPosition="0">
        <references count="1">
          <reference field="6" count="1">
            <x v="39"/>
          </reference>
        </references>
      </pivotArea>
    </format>
    <format dxfId="467">
      <pivotArea dataOnly="0" fieldPosition="0">
        <references count="1">
          <reference field="6" count="1">
            <x v="40"/>
          </reference>
        </references>
      </pivotArea>
    </format>
    <format dxfId="468">
      <pivotArea dataOnly="0" fieldPosition="0">
        <references count="1">
          <reference field="6" count="1">
            <x v="41"/>
          </reference>
        </references>
      </pivotArea>
    </format>
    <format dxfId="469">
      <pivotArea dataOnly="0" fieldPosition="0">
        <references count="1">
          <reference field="6" count="1">
            <x v="42"/>
          </reference>
        </references>
      </pivotArea>
    </format>
    <format dxfId="470">
      <pivotArea dataOnly="0" fieldPosition="0">
        <references count="1">
          <reference field="6" count="1">
            <x v="43"/>
          </reference>
        </references>
      </pivotArea>
    </format>
    <format dxfId="471">
      <pivotArea dataOnly="0" outline="0" fieldPosition="0">
        <references count="1">
          <reference field="4294967294" count="1">
            <x v="6"/>
          </reference>
        </references>
      </pivotArea>
    </format>
    <format dxfId="47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7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74">
      <pivotArea outline="0" fieldPosition="0">
        <references count="1">
          <reference field="4294967294" count="1">
            <x v="3"/>
          </reference>
        </references>
      </pivotArea>
    </format>
    <format dxfId="475">
      <pivotArea dataOnly="0" fieldPosition="0">
        <references count="1">
          <reference field="6" count="1">
            <x v="44"/>
          </reference>
        </references>
      </pivotArea>
    </format>
    <format dxfId="476">
      <pivotArea dataOnly="0" fieldPosition="0">
        <references count="1">
          <reference field="6" count="1">
            <x v="45"/>
          </reference>
        </references>
      </pivotArea>
    </format>
    <format dxfId="477">
      <pivotArea dataOnly="0" fieldPosition="0">
        <references count="1">
          <reference field="6" count="1">
            <x v="46"/>
          </reference>
        </references>
      </pivotArea>
    </format>
    <format dxfId="478">
      <pivotArea dataOnly="0" fieldPosition="0">
        <references count="1">
          <reference field="6" count="1">
            <x v="47"/>
          </reference>
        </references>
      </pivotArea>
    </format>
    <format dxfId="479">
      <pivotArea dataOnly="0" fieldPosition="0">
        <references count="1">
          <reference field="6" count="1">
            <x v="52"/>
          </reference>
        </references>
      </pivotArea>
    </format>
    <format dxfId="480">
      <pivotArea dataOnly="0" fieldPosition="0">
        <references count="1">
          <reference field="6" count="1">
            <x v="50"/>
          </reference>
        </references>
      </pivotArea>
    </format>
    <format dxfId="481">
      <pivotArea dataOnly="0" fieldPosition="0">
        <references count="1">
          <reference field="6" count="1">
            <x v="48"/>
          </reference>
        </references>
      </pivotArea>
    </format>
    <format dxfId="482">
      <pivotArea dataOnly="0" fieldPosition="0">
        <references count="1">
          <reference field="6" count="1">
            <x v="51"/>
          </reference>
        </references>
      </pivotArea>
    </format>
    <format dxfId="483">
      <pivotArea dataOnly="0" fieldPosition="0">
        <references count="1">
          <reference field="6" count="1">
            <x v="5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019D8-6EE9-5945-9490-62BB7CDA9FBD}" name="PivotTable1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CL6:EP308" firstHeaderRow="1" firstDataRow="2" firstDataCol="1" rowPageCount="1" colPageCount="1"/>
  <pivotFields count="48">
    <pivotField axis="axisPage" multipleItemSelectionAllowed="1" showAll="0">
      <items count="4">
        <item h="1" x="1"/>
        <item x="0"/>
        <item h="1" x="2"/>
        <item t="default"/>
      </items>
    </pivotField>
    <pivotField multipleItemSelectionAllowed="1" showAll="0"/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Col" showAll="0" sortType="ascending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h="1" x="7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f="1" x="69"/>
        <item f="1" x="70"/>
        <item f="1" x="71"/>
        <item h="1" x="37"/>
        <item t="default"/>
      </items>
    </pivotField>
    <pivotField axis="axisRow"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9" showAll="0"/>
    <pivotField numFmtId="4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7"/>
    <field x="2"/>
  </rowFields>
  <rowItems count="30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t="grand">
      <x/>
    </i>
  </rowItems>
  <colFields count="1">
    <field x="6"/>
  </colFields>
  <col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68"/>
    </i>
    <i>
      <x v="69"/>
    </i>
    <i>
      <x v="70"/>
    </i>
    <i t="grand">
      <x/>
    </i>
  </colItems>
  <pageFields count="1">
    <pageField fld="0" hier="-1"/>
  </pageFields>
  <dataFields count="1">
    <dataField name="Max of Total Active Riders" fld="10" subtotal="max" baseField="0" baseItem="0"/>
  </dataFields>
  <formats count="9">
    <format dxfId="396">
      <pivotArea field="6" type="button" dataOnly="0" labelOnly="1" outline="0" axis="axisCol" fieldPosition="0"/>
    </format>
    <format dxfId="397">
      <pivotArea field="6" type="button" dataOnly="0" labelOnly="1" outline="0" axis="axisCol" fieldPosition="0"/>
    </format>
    <format dxfId="398">
      <pivotArea field="5" type="button" dataOnly="0" labelOnly="1" outline="0"/>
    </format>
    <format dxfId="399">
      <pivotArea dataOnly="0" labelOnly="1" grandRow="1" outline="0" fieldPosition="0"/>
    </format>
    <format dxfId="400">
      <pivotArea field="5" type="button" dataOnly="0" labelOnly="1" outline="0"/>
    </format>
    <format dxfId="401">
      <pivotArea field="5" type="button" dataOnly="0" labelOnly="1" outline="0"/>
    </format>
    <format dxfId="402">
      <pivotArea field="7" type="button" dataOnly="0" labelOnly="1" outline="0" axis="axisRow" fieldPosition="0"/>
    </format>
    <format dxfId="403">
      <pivotArea field="5" type="button" dataOnly="0" labelOnly="1" outline="0"/>
    </format>
    <format dxfId="40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B597F-C0EF-CF46-BFDF-30C85A48BEBE}" name="PivotTable8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BJ6:BN114" firstHeaderRow="1" firstDataRow="2" firstDataCol="1" rowPageCount="2" colPageCount="1"/>
  <pivotFields count="48">
    <pivotField axis="axisPage" multipleItemSelectionAllowed="1" showAll="0">
      <items count="4">
        <item h="1" x="1"/>
        <item h="1" x="0"/>
        <item x="2"/>
        <item t="default"/>
      </items>
    </pivotField>
    <pivotField axis="axisPage" showAll="0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showAll="0"/>
    <pivotField showAll="0">
      <items count="8">
        <item x="1"/>
        <item x="0"/>
        <item sd="0" x="2"/>
        <item x="4"/>
        <item x="3"/>
        <item m="1" x="6"/>
        <item x="5"/>
        <item t="default"/>
      </items>
    </pivotField>
    <pivotField axis="axisRow" showAll="0" sortType="ascending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7"/>
        <item x="26"/>
        <item x="25"/>
        <item x="21"/>
        <item x="22"/>
        <item x="24"/>
        <item x="23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h="1" x="7"/>
        <item h="1"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h="1" f="1" x="69"/>
        <item h="1" f="1" x="70"/>
        <item h="1" f="1" x="71"/>
        <item h="1" x="37"/>
        <item t="default"/>
      </items>
    </pivotField>
    <pivotField axis="axisCol" multipleItemSelectionAllowed="1" showAll="0">
      <items count="20">
        <item h="1"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axis="axisRow" showAll="0">
      <items count="8">
        <item x="2"/>
        <item x="1"/>
        <item x="0"/>
        <item x="4"/>
        <item x="3"/>
        <item x="5"/>
        <item m="1"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9" showAll="0"/>
    <pivotField numFmtId="4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"/>
    <field x="8"/>
    <field x="6"/>
  </rowFields>
  <rowItems count="107">
    <i>
      <x v="10"/>
    </i>
    <i r="1">
      <x/>
    </i>
    <i r="2">
      <x v="57"/>
    </i>
    <i r="2">
      <x v="61"/>
    </i>
    <i r="2">
      <x v="66"/>
    </i>
    <i r="1">
      <x v="1"/>
    </i>
    <i r="2">
      <x v="58"/>
    </i>
    <i r="2">
      <x v="62"/>
    </i>
    <i r="2">
      <x v="67"/>
    </i>
    <i r="1">
      <x v="2"/>
    </i>
    <i r="2">
      <x v="59"/>
    </i>
    <i r="2">
      <x v="63"/>
    </i>
    <i r="1">
      <x v="3"/>
    </i>
    <i r="2">
      <x v="60"/>
    </i>
    <i r="2">
      <x v="64"/>
    </i>
    <i r="1">
      <x v="4"/>
    </i>
    <i r="2">
      <x v="61"/>
    </i>
    <i r="2">
      <x v="65"/>
    </i>
    <i>
      <x v="11"/>
    </i>
    <i r="1">
      <x/>
    </i>
    <i r="2">
      <x v="57"/>
    </i>
    <i r="2">
      <x v="61"/>
    </i>
    <i r="2">
      <x v="66"/>
    </i>
    <i r="1">
      <x v="1"/>
    </i>
    <i r="2">
      <x v="58"/>
    </i>
    <i r="2">
      <x v="62"/>
    </i>
    <i r="2">
      <x v="67"/>
    </i>
    <i r="1">
      <x v="2"/>
    </i>
    <i r="2">
      <x v="59"/>
    </i>
    <i r="2">
      <x v="63"/>
    </i>
    <i r="1">
      <x v="3"/>
    </i>
    <i r="2">
      <x v="60"/>
    </i>
    <i r="2">
      <x v="64"/>
    </i>
    <i r="1">
      <x v="4"/>
    </i>
    <i r="2">
      <x v="61"/>
    </i>
    <i r="2">
      <x v="65"/>
    </i>
    <i>
      <x v="12"/>
    </i>
    <i r="1">
      <x/>
    </i>
    <i r="2">
      <x v="57"/>
    </i>
    <i r="2">
      <x v="61"/>
    </i>
    <i r="2">
      <x v="66"/>
    </i>
    <i r="1">
      <x v="1"/>
    </i>
    <i r="2">
      <x v="58"/>
    </i>
    <i r="2">
      <x v="62"/>
    </i>
    <i r="2">
      <x v="67"/>
    </i>
    <i r="1">
      <x v="2"/>
    </i>
    <i r="2">
      <x v="59"/>
    </i>
    <i r="2">
      <x v="63"/>
    </i>
    <i r="1">
      <x v="3"/>
    </i>
    <i r="2">
      <x v="60"/>
    </i>
    <i r="2">
      <x v="64"/>
    </i>
    <i r="1">
      <x v="4"/>
    </i>
    <i r="2">
      <x v="61"/>
    </i>
    <i r="2">
      <x v="65"/>
    </i>
    <i>
      <x v="13"/>
    </i>
    <i r="1">
      <x/>
    </i>
    <i r="2">
      <x v="57"/>
    </i>
    <i r="2">
      <x v="61"/>
    </i>
    <i r="2">
      <x v="66"/>
    </i>
    <i r="1">
      <x v="1"/>
    </i>
    <i r="2">
      <x v="58"/>
    </i>
    <i r="2">
      <x v="62"/>
    </i>
    <i r="2">
      <x v="67"/>
    </i>
    <i r="1">
      <x v="2"/>
    </i>
    <i r="2">
      <x v="59"/>
    </i>
    <i r="2">
      <x v="63"/>
    </i>
    <i r="1">
      <x v="3"/>
    </i>
    <i r="2">
      <x v="60"/>
    </i>
    <i r="2">
      <x v="64"/>
    </i>
    <i r="1">
      <x v="4"/>
    </i>
    <i r="2">
      <x v="61"/>
    </i>
    <i r="2">
      <x v="65"/>
    </i>
    <i>
      <x v="14"/>
    </i>
    <i r="1">
      <x/>
    </i>
    <i r="2">
      <x v="57"/>
    </i>
    <i r="2">
      <x v="61"/>
    </i>
    <i r="2">
      <x v="66"/>
    </i>
    <i r="1">
      <x v="1"/>
    </i>
    <i r="2">
      <x v="58"/>
    </i>
    <i r="2">
      <x v="62"/>
    </i>
    <i r="2">
      <x v="67"/>
    </i>
    <i r="1">
      <x v="2"/>
    </i>
    <i r="2">
      <x v="59"/>
    </i>
    <i r="2">
      <x v="63"/>
    </i>
    <i r="1">
      <x v="3"/>
    </i>
    <i r="2">
      <x v="60"/>
    </i>
    <i r="2">
      <x v="64"/>
    </i>
    <i r="1">
      <x v="4"/>
    </i>
    <i r="2">
      <x v="61"/>
    </i>
    <i r="2">
      <x v="65"/>
    </i>
    <i>
      <x v="18"/>
    </i>
    <i r="1">
      <x/>
    </i>
    <i r="2">
      <x v="57"/>
    </i>
    <i r="1">
      <x v="1"/>
    </i>
    <i r="2">
      <x v="58"/>
    </i>
    <i r="1">
      <x v="2"/>
    </i>
    <i r="2">
      <x v="59"/>
    </i>
    <i r="1">
      <x v="3"/>
    </i>
    <i r="2">
      <x v="60"/>
    </i>
    <i r="1">
      <x v="4"/>
    </i>
    <i r="2">
      <x v="61"/>
    </i>
    <i>
      <x v="23"/>
    </i>
    <i r="1">
      <x v="1"/>
    </i>
    <i r="2">
      <x v="58"/>
    </i>
    <i r="1">
      <x v="2"/>
    </i>
    <i r="2">
      <x v="59"/>
    </i>
    <i t="grand">
      <x/>
    </i>
  </rowItems>
  <colFields count="1">
    <field x="7"/>
  </colFields>
  <colItems count="4">
    <i>
      <x v="5"/>
    </i>
    <i>
      <x v="6"/>
    </i>
    <i>
      <x v="7"/>
    </i>
    <i t="grand">
      <x/>
    </i>
  </colItems>
  <pageFields count="2">
    <pageField fld="0" hier="-1"/>
    <pageField fld="1" hier="-1"/>
  </pageFields>
  <dataFields count="1">
    <dataField name="Sum of Total Active Riders" fld="10" baseField="0" baseItem="0"/>
  </dataFields>
  <formats count="9">
    <format dxfId="387">
      <pivotArea field="6" type="button" dataOnly="0" labelOnly="1" outline="0" axis="axisRow" fieldPosition="2"/>
    </format>
    <format dxfId="388">
      <pivotArea field="6" type="button" dataOnly="0" labelOnly="1" outline="0" axis="axisRow" fieldPosition="2"/>
    </format>
    <format dxfId="389">
      <pivotArea field="5" type="button" dataOnly="0" labelOnly="1" outline="0"/>
    </format>
    <format dxfId="390">
      <pivotArea dataOnly="0" labelOnly="1" grandRow="1" outline="0" fieldPosition="0"/>
    </format>
    <format dxfId="391">
      <pivotArea field="5" type="button" dataOnly="0" labelOnly="1" outline="0"/>
    </format>
    <format dxfId="392">
      <pivotArea field="5" type="button" dataOnly="0" labelOnly="1" outline="0"/>
    </format>
    <format dxfId="393">
      <pivotArea field="7" type="button" dataOnly="0" labelOnly="1" outline="0" axis="axisCol" fieldPosition="0"/>
    </format>
    <format dxfId="394">
      <pivotArea field="5" type="button" dataOnly="0" labelOnly="1" outline="0"/>
    </format>
    <format dxfId="39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5E52A-7F89-DA4C-8A38-A799BDB1B8D9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H7:BB16" firstHeaderRow="0" firstDataRow="1" firstDataCol="1" rowPageCount="1" colPageCount="1"/>
  <pivotFields count="48">
    <pivotField axis="axisRow" multipleItemSelectionAllowed="1" showAll="0">
      <items count="4">
        <item h="1" x="1"/>
        <item sd="0" x="0"/>
        <item x="2"/>
        <item t="default"/>
      </items>
    </pivotField>
    <pivotField axis="axisRow" multipleItemSelectionAllowed="1" showAll="0" sortType="descending">
      <items count="20">
        <item h="1" x="1"/>
        <item h="1" x="2"/>
        <item h="1" x="7"/>
        <item h="1" x="4"/>
        <item h="1" x="8"/>
        <item h="1" x="6"/>
        <item x="0"/>
        <item h="1" x="5"/>
        <item h="1" x="3"/>
        <item h="1" m="1" x="1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h="1" x="21"/>
        <item h="1" x="10"/>
        <item h="1"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showAll="0"/>
    <pivotField showAll="0">
      <items count="8">
        <item x="1"/>
        <item x="0"/>
        <item x="2"/>
        <item x="4"/>
        <item x="3"/>
        <item m="1" x="6"/>
        <item x="5"/>
        <item t="default"/>
      </items>
    </pivotField>
    <pivotField axis="axisRow"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h="1" x="37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3"/>
        <item h="1" x="24"/>
        <item h="1" x="22"/>
        <item h="1" x="21"/>
        <item h="1" x="25"/>
        <item h="1" x="26"/>
        <item h="1" x="27"/>
        <item h="1" x="28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h="1" x="52"/>
        <item h="1" x="53"/>
        <item h="1" x="54"/>
        <item h="1" x="55"/>
        <item h="1"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"/>
    <field x="0"/>
    <field x="6"/>
  </rowFields>
  <rowItems count="9">
    <i>
      <x v="6"/>
    </i>
    <i r="1">
      <x v="1"/>
    </i>
    <i r="1">
      <x v="2"/>
    </i>
    <i r="2">
      <x v="59"/>
    </i>
    <i r="2">
      <x v="60"/>
    </i>
    <i r="2">
      <x v="67"/>
    </i>
    <i r="2">
      <x v="69"/>
    </i>
    <i r="2">
      <x v="71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2" hier="-1"/>
  </pageFields>
  <dataFields count="20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Selling Comission/Sales (Weekly)" fld="13" baseField="0" baseItem="0" numFmtId="3"/>
    <dataField name="Sum of Total Daily Incentive (Weekly)" fld="14" baseField="0" baseItem="0" numFmtId="3"/>
    <dataField name="Sum of Total 26 Days Attendance Bonus (Monthly)" fld="15" baseField="0" baseItem="0" numFmtId="3"/>
    <dataField name="Sum of Total Selling 20Mio Bonus (Monthly)" fld="17" baseField="0" baseItem="0" numFmtId="3"/>
    <dataField name="Sum of Total Income Sales (Weekly)" fld="19" baseField="0" baseItem="0" numFmtId="41"/>
    <dataField name="Sum of Total Cost Molis (Weekly)" fld="21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0" baseItem="0" numFmtId="3"/>
    <dataField name="Sum of Rider Daily Incentives as a % of Total Selling (Client)" fld="47" baseField="5" baseItem="0" numFmtId="9"/>
  </dataFields>
  <formats count="53">
    <format dxfId="334">
      <pivotArea field="6" type="button" dataOnly="0" labelOnly="1" outline="0" axis="axisRow" fieldPosition="2"/>
    </format>
    <format dxfId="335">
      <pivotArea dataOnly="0" labelOnly="1" outline="0" fieldPosition="0">
        <references count="1">
          <reference field="4294967294" count="6">
            <x v="0"/>
            <x v="5"/>
            <x v="10"/>
            <x v="14"/>
            <x v="15"/>
            <x v="16"/>
          </reference>
        </references>
      </pivotArea>
    </format>
    <format dxfId="336">
      <pivotArea field="6" type="button" dataOnly="0" labelOnly="1" outline="0" axis="axisRow" fieldPosition="2"/>
    </format>
    <format dxfId="337">
      <pivotArea dataOnly="0" labelOnly="1" outline="0" fieldPosition="0">
        <references count="1">
          <reference field="4294967294" count="6">
            <x v="0"/>
            <x v="5"/>
            <x v="10"/>
            <x v="14"/>
            <x v="15"/>
            <x v="16"/>
          </reference>
        </references>
      </pivotArea>
    </format>
    <format dxfId="338">
      <pivotArea outline="0" fieldPosition="0">
        <references count="1">
          <reference field="4294967294" count="1">
            <x v="0"/>
          </reference>
        </references>
      </pivotArea>
    </format>
    <format dxfId="339">
      <pivotArea outline="0" fieldPosition="0">
        <references count="1">
          <reference field="4294967294" count="1">
            <x v="16"/>
          </reference>
        </references>
      </pivotArea>
    </format>
    <format dxfId="340">
      <pivotArea dataOnly="0" labelOnly="1" outline="0" fieldPosition="0">
        <references count="1">
          <reference field="4294967294" count="2">
            <x v="15"/>
            <x v="16"/>
          </reference>
        </references>
      </pivotArea>
    </format>
    <format dxfId="341">
      <pivotArea dataOnly="0" labelOnly="1" outline="0" fieldPosition="0">
        <references count="1">
          <reference field="4294967294" count="2">
            <x v="15"/>
            <x v="16"/>
          </reference>
        </references>
      </pivotArea>
    </format>
    <format dxfId="342">
      <pivotArea dataOnly="0" labelOnly="1" outline="0" fieldPosition="0">
        <references count="1">
          <reference field="4294967294" count="2">
            <x v="10"/>
            <x v="14"/>
          </reference>
        </references>
      </pivotArea>
    </format>
    <format dxfId="34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44">
      <pivotArea collapsedLevelsAreSubtotals="1" fieldPosition="0">
        <references count="2">
          <reference field="4294967294" count="4" selected="0">
            <x v="5"/>
            <x v="10"/>
            <x v="14"/>
            <x v="15"/>
          </reference>
          <reference field="1" count="0"/>
        </references>
      </pivotArea>
    </format>
    <format dxfId="34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46">
      <pivotArea dataOnly="0" labelOnly="1" outline="0" fieldPosition="0">
        <references count="1">
          <reference field="4294967294" count="2">
            <x v="10"/>
            <x v="14"/>
          </reference>
        </references>
      </pivotArea>
    </format>
    <format dxfId="347">
      <pivotArea field="5" type="button" dataOnly="0" labelOnly="1" outline="0"/>
    </format>
    <format dxfId="348">
      <pivotArea dataOnly="0" labelOnly="1" grandRow="1" outline="0" fieldPosition="0"/>
    </format>
    <format dxfId="34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1">
      <pivotArea outline="0" fieldPosition="0">
        <references count="1">
          <reference field="4294967294" count="1">
            <x v="1"/>
          </reference>
        </references>
      </pivotArea>
    </format>
    <format dxfId="352">
      <pivotArea outline="0" fieldPosition="0">
        <references count="1">
          <reference field="4294967294" count="1">
            <x v="6"/>
          </reference>
        </references>
      </pivotArea>
    </format>
    <format dxfId="353">
      <pivotArea outline="0" fieldPosition="0">
        <references count="1">
          <reference field="4294967294" count="1">
            <x v="7"/>
          </reference>
        </references>
      </pivotArea>
    </format>
    <format dxfId="354">
      <pivotArea outline="0" fieldPosition="0">
        <references count="1">
          <reference field="4294967294" count="1">
            <x v="8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57">
      <pivotArea outline="0" fieldPosition="0">
        <references count="1">
          <reference field="4294967294" count="1">
            <x v="9"/>
          </reference>
        </references>
      </pivotArea>
    </format>
    <format dxfId="35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0">
      <pivotArea outline="0" fieldPosition="0">
        <references count="1">
          <reference field="4294967294" count="1">
            <x v="2"/>
          </reference>
        </references>
      </pivotArea>
    </format>
    <format dxfId="3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62">
      <pivotArea dataOnly="0" outline="0" fieldPosition="0">
        <references count="1">
          <reference field="4294967294" count="1">
            <x v="11"/>
          </reference>
        </references>
      </pivotArea>
    </format>
    <format dxfId="363">
      <pivotArea field="5" type="button" dataOnly="0" labelOnly="1" outline="0"/>
    </format>
    <format dxfId="36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65">
      <pivotArea field="5" type="button" dataOnly="0" labelOnly="1" outline="0"/>
    </format>
    <format dxfId="36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67">
      <pivotArea outline="0" fieldPosition="0">
        <references count="1">
          <reference field="4294967294" count="1">
            <x v="4"/>
          </reference>
        </references>
      </pivotArea>
    </format>
    <format dxfId="368">
      <pivotArea outline="0" fieldPosition="0">
        <references count="1">
          <reference field="4294967294" count="1">
            <x v="3"/>
          </reference>
        </references>
      </pivotArea>
    </format>
    <format dxfId="369">
      <pivotArea outline="0" fieldPosition="0">
        <references count="1">
          <reference field="4294967294" count="1">
            <x v="11"/>
          </reference>
        </references>
      </pivotArea>
    </format>
    <format dxfId="37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71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372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74">
      <pivotArea outline="0" fieldPosition="0">
        <references count="1">
          <reference field="4294967294" count="1">
            <x v="17"/>
          </reference>
        </references>
      </pivotArea>
    </format>
    <format dxfId="375">
      <pivotArea field="7" type="button" dataOnly="0" labelOnly="1" outline="0"/>
    </format>
    <format dxfId="376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77">
      <pivotArea outline="0" fieldPosition="0">
        <references count="1">
          <reference field="4294967294" count="1">
            <x v="19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379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80">
      <pivotArea field="5" type="button" dataOnly="0" labelOnly="1" outline="0"/>
    </format>
    <format dxfId="381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382">
      <pivotArea outline="0" fieldPosition="0">
        <references count="1">
          <reference field="4294967294" count="1">
            <x v="5"/>
          </reference>
        </references>
      </pivotArea>
    </format>
    <format dxfId="3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85">
      <pivotArea dataOnly="0" labelOnly="1" outline="0" fieldPosition="0">
        <references count="1">
          <reference field="4294967294" count="2">
            <x v="6"/>
            <x v="11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0D9FF-0E5C-4D83-B967-D2B2B7EB57DD}" name="PivotTable5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EY7:FS90" firstHeaderRow="0" firstDataRow="1" firstDataCol="1" rowPageCount="1" colPageCount="1"/>
  <pivotFields count="48">
    <pivotField axis="axisRow" multipleItemSelectionAllowed="1" showAll="0">
      <items count="4">
        <item h="1" x="1"/>
        <item x="0"/>
        <item x="2"/>
        <item t="default"/>
      </items>
    </pivotField>
    <pivotField axis="axisRow" multipleItemSelectionAllowed="1" showAll="0" sortType="descending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17"/>
        <item x="14"/>
        <item x="6"/>
        <item x="16"/>
        <item x="4"/>
        <item x="20"/>
        <item x="18"/>
        <item m="1" x="24"/>
        <item x="22"/>
        <item x="23"/>
        <item t="default"/>
      </items>
    </pivotField>
    <pivotField showAll="0"/>
    <pivotField axis="axisPage" showAll="0">
      <items count="4">
        <item h="1" x="0"/>
        <item x="1"/>
        <item m="1" x="2"/>
        <item t="default"/>
      </items>
    </pivotField>
    <pivotField showAll="0">
      <items count="8">
        <item x="1"/>
        <item x="0"/>
        <item x="2"/>
        <item x="4"/>
        <item x="3"/>
        <item m="1" x="6"/>
        <item x="5"/>
        <item t="default"/>
      </items>
    </pivotField>
    <pivotField showAll="0">
      <items count="73">
        <item x="6"/>
        <item x="5"/>
        <item x="4"/>
        <item x="3"/>
        <item x="2"/>
        <item x="1"/>
        <item x="0"/>
        <item x="29"/>
        <item x="30"/>
        <item x="31"/>
        <item x="32"/>
        <item h="1" x="37"/>
        <item x="33"/>
        <item x="34"/>
        <item x="35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3"/>
        <item h="1" x="24"/>
        <item h="1" x="22"/>
        <item h="1" x="21"/>
        <item h="1" x="25"/>
        <item h="1" x="26"/>
        <item h="1" x="27"/>
        <item h="1" x="28"/>
        <item x="36"/>
        <item x="38"/>
        <item x="39"/>
        <item x="40"/>
        <item x="41"/>
        <item x="42"/>
        <item x="43"/>
        <item x="44"/>
        <item h="1" x="7"/>
        <item x="45"/>
        <item x="46"/>
        <item x="47"/>
        <item x="48"/>
        <item x="49"/>
        <item x="50"/>
        <item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f="1" x="69"/>
        <item h="1" x="67"/>
        <item f="1" x="70"/>
        <item h="1" x="68"/>
        <item f="1" x="71"/>
        <item t="default"/>
      </items>
    </pivotField>
    <pivotField axis="axisRow"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4">
    <field x="1"/>
    <field x="0"/>
    <field x="2"/>
    <field x="7"/>
  </rowFields>
  <rowItems count="83">
    <i>
      <x v="6"/>
    </i>
    <i r="1">
      <x v="1"/>
    </i>
    <i r="2">
      <x v="12"/>
    </i>
    <i r="3">
      <x v="13"/>
    </i>
    <i r="3">
      <x v="14"/>
    </i>
    <i r="3">
      <x v="15"/>
    </i>
    <i r="2">
      <x v="13"/>
    </i>
    <i r="3">
      <x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14"/>
    </i>
    <i r="3">
      <x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1">
      <x v="2"/>
    </i>
    <i r="2">
      <x v="12"/>
    </i>
    <i r="3">
      <x/>
    </i>
    <i r="3">
      <x v="5"/>
    </i>
    <i r="3">
      <x v="6"/>
    </i>
    <i r="3">
      <x v="7"/>
    </i>
    <i r="2">
      <x v="13"/>
    </i>
    <i r="3">
      <x/>
    </i>
    <i r="3">
      <x v="5"/>
    </i>
    <i r="3">
      <x v="6"/>
    </i>
    <i r="3">
      <x v="7"/>
    </i>
    <i r="2">
      <x v="14"/>
    </i>
    <i r="3">
      <x/>
    </i>
    <i r="3">
      <x v="5"/>
    </i>
    <i r="3">
      <x v="6"/>
    </i>
    <i r="3">
      <x v="7"/>
    </i>
    <i>
      <x v="10"/>
    </i>
    <i r="1">
      <x v="1"/>
    </i>
    <i r="2">
      <x v="1"/>
    </i>
    <i r="3">
      <x v="6"/>
    </i>
    <i r="3">
      <x v="7"/>
    </i>
    <i r="3">
      <x v="8"/>
    </i>
    <i r="3">
      <x v="9"/>
    </i>
    <i>
      <x v="15"/>
    </i>
    <i r="1">
      <x v="1"/>
    </i>
    <i r="2">
      <x v="21"/>
    </i>
    <i r="3">
      <x v="10"/>
    </i>
    <i r="3">
      <x v="11"/>
    </i>
    <i r="3">
      <x v="12"/>
    </i>
    <i r="3">
      <x v="13"/>
    </i>
    <i r="3">
      <x v="14"/>
    </i>
    <i r="3">
      <x v="15"/>
    </i>
    <i>
      <x v="17"/>
    </i>
    <i r="1">
      <x v="1"/>
    </i>
    <i r="2">
      <x v="23"/>
    </i>
    <i r="3">
      <x v="14"/>
    </i>
    <i r="3">
      <x v="15"/>
    </i>
    <i r="1">
      <x v="2"/>
    </i>
    <i r="2">
      <x v="23"/>
    </i>
    <i r="3">
      <x/>
    </i>
    <i r="3">
      <x v="5"/>
    </i>
    <i>
      <x v="3"/>
    </i>
    <i r="1">
      <x v="1"/>
    </i>
    <i r="2">
      <x v="4"/>
    </i>
    <i r="3">
      <x v="9"/>
    </i>
    <i r="2">
      <x v="5"/>
    </i>
    <i r="3">
      <x v="11"/>
    </i>
    <i r="3">
      <x v="12"/>
    </i>
    <i r="2">
      <x v="6"/>
    </i>
    <i r="3">
      <x v="11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4" item="1" hier="-1"/>
  </pageFields>
  <dataFields count="20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Cost Molis (Weekly)" fld="21" baseField="0" baseItem="0" numFmtId="3"/>
    <dataField name="Sum of Total Selling Comission/Sales (Weekly)" fld="13" baseField="0" baseItem="0" numFmtId="3"/>
    <dataField name="Sum of Total Daily Incentive (Weekly)" fld="14" baseField="0" baseItem="0" numFmtId="3"/>
    <dataField name="Sum of Total 26 Days Attendance Bonus (Monthly)" fld="15" baseField="0" baseItem="0" numFmtId="3"/>
    <dataField name="Sum of Total Selling 20Mio Bonus (Monthly)" fld="17" baseField="0" baseItem="0" numFmtId="3"/>
    <dataField name="Sum of Total Income Sales (Weekly)" fld="19" baseField="0" baseItem="0" numFmtId="41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  <dataField name="Sum of Rider Comission as a % of Total Selling (Client)" fld="45" baseField="0" baseItem="0" numFmtId="9"/>
    <dataField name="Sum of Avg Price per Cup" fld="46" baseField="0" baseItem="0" numFmtId="3"/>
    <dataField name="Sum of Rider Daily Incentives as a % of Total Selling (Client)" fld="47" baseField="5" baseItem="0" numFmtId="9"/>
  </dataFields>
  <formats count="52">
    <format dxfId="282">
      <pivotArea field="6" type="button" dataOnly="0" labelOnly="1" outline="0"/>
    </format>
    <format dxfId="283">
      <pivotArea dataOnly="0" labelOnly="1" outline="0" fieldPosition="0">
        <references count="1">
          <reference field="4294967294" count="6">
            <x v="0"/>
            <x v="5"/>
            <x v="11"/>
            <x v="14"/>
            <x v="15"/>
            <x v="16"/>
          </reference>
        </references>
      </pivotArea>
    </format>
    <format dxfId="284">
      <pivotArea field="6" type="button" dataOnly="0" labelOnly="1" outline="0"/>
    </format>
    <format dxfId="285">
      <pivotArea dataOnly="0" labelOnly="1" outline="0" fieldPosition="0">
        <references count="1">
          <reference field="4294967294" count="6">
            <x v="0"/>
            <x v="5"/>
            <x v="11"/>
            <x v="14"/>
            <x v="15"/>
            <x v="16"/>
          </reference>
        </references>
      </pivotArea>
    </format>
    <format dxfId="286">
      <pivotArea outline="0" fieldPosition="0">
        <references count="1">
          <reference field="4294967294" count="1">
            <x v="0"/>
          </reference>
        </references>
      </pivotArea>
    </format>
    <format dxfId="287">
      <pivotArea outline="0" fieldPosition="0">
        <references count="1">
          <reference field="4294967294" count="1">
            <x v="16"/>
          </reference>
        </references>
      </pivotArea>
    </format>
    <format dxfId="288">
      <pivotArea dataOnly="0" labelOnly="1" outline="0" fieldPosition="0">
        <references count="1">
          <reference field="4294967294" count="2">
            <x v="15"/>
            <x v="16"/>
          </reference>
        </references>
      </pivotArea>
    </format>
    <format dxfId="289">
      <pivotArea dataOnly="0" labelOnly="1" outline="0" fieldPosition="0">
        <references count="1">
          <reference field="4294967294" count="2">
            <x v="15"/>
            <x v="16"/>
          </reference>
        </references>
      </pivotArea>
    </format>
    <format dxfId="290">
      <pivotArea dataOnly="0" labelOnly="1" outline="0" fieldPosition="0">
        <references count="1">
          <reference field="4294967294" count="2">
            <x v="11"/>
            <x v="14"/>
          </reference>
        </references>
      </pivotArea>
    </format>
    <format dxfId="29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2">
      <pivotArea collapsedLevelsAreSubtotals="1" fieldPosition="0">
        <references count="2">
          <reference field="4294967294" count="4" selected="0">
            <x v="5"/>
            <x v="11"/>
            <x v="14"/>
            <x v="15"/>
          </reference>
          <reference field="1" count="0"/>
        </references>
      </pivotArea>
    </format>
    <format dxfId="29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4">
      <pivotArea dataOnly="0" labelOnly="1" outline="0" fieldPosition="0">
        <references count="1">
          <reference field="4294967294" count="2">
            <x v="11"/>
            <x v="14"/>
          </reference>
        </references>
      </pivotArea>
    </format>
    <format dxfId="295">
      <pivotArea field="5" type="button" dataOnly="0" labelOnly="1" outline="0"/>
    </format>
    <format dxfId="296">
      <pivotArea dataOnly="0" labelOnly="1" grandRow="1" outline="0" fieldPosition="0"/>
    </format>
    <format dxfId="29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9">
      <pivotArea outline="0" fieldPosition="0">
        <references count="1">
          <reference field="4294967294" count="1">
            <x v="1"/>
          </reference>
        </references>
      </pivotArea>
    </format>
    <format dxfId="300">
      <pivotArea outline="0" fieldPosition="0">
        <references count="1">
          <reference field="4294967294" count="1">
            <x v="7"/>
          </reference>
        </references>
      </pivotArea>
    </format>
    <format dxfId="301">
      <pivotArea outline="0" fieldPosition="0">
        <references count="1">
          <reference field="4294967294" count="1">
            <x v="8"/>
          </reference>
        </references>
      </pivotArea>
    </format>
    <format dxfId="302">
      <pivotArea outline="0" fieldPosition="0">
        <references count="1">
          <reference field="4294967294" count="1">
            <x v="9"/>
          </reference>
        </references>
      </pivotArea>
    </format>
    <format dxfId="30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0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05">
      <pivotArea outline="0" fieldPosition="0">
        <references count="1">
          <reference field="4294967294" count="1">
            <x v="10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8">
      <pivotArea outline="0" fieldPosition="0">
        <references count="1">
          <reference field="4294967294" count="1">
            <x v="2"/>
          </reference>
        </references>
      </pivotArea>
    </format>
    <format dxfId="30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0">
      <pivotArea dataOnly="0" outline="0" fieldPosition="0">
        <references count="1">
          <reference field="4294967294" count="1">
            <x v="6"/>
          </reference>
        </references>
      </pivotArea>
    </format>
    <format dxfId="311">
      <pivotArea field="5" type="button" dataOnly="0" labelOnly="1" outline="0"/>
    </format>
    <format dxfId="31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13">
      <pivotArea field="5" type="button" dataOnly="0" labelOnly="1" outline="0"/>
    </format>
    <format dxfId="31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15">
      <pivotArea outline="0" fieldPosition="0">
        <references count="1">
          <reference field="4294967294" count="1">
            <x v="4"/>
          </reference>
        </references>
      </pivotArea>
    </format>
    <format dxfId="316">
      <pivotArea outline="0" fieldPosition="0">
        <references count="1">
          <reference field="4294967294" count="1">
            <x v="3"/>
          </reference>
        </references>
      </pivotArea>
    </format>
    <format dxfId="317">
      <pivotArea outline="0" fieldPosition="0">
        <references count="1">
          <reference field="4294967294" count="1">
            <x v="6"/>
          </reference>
        </references>
      </pivotArea>
    </format>
    <format dxfId="318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</references>
      </pivotArea>
    </format>
    <format dxfId="319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320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321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22">
      <pivotArea outline="0" fieldPosition="0">
        <references count="1">
          <reference field="4294967294" count="1">
            <x v="17"/>
          </reference>
        </references>
      </pivotArea>
    </format>
    <format dxfId="323">
      <pivotArea field="7" type="button" dataOnly="0" labelOnly="1" outline="0" axis="axisRow" fieldPosition="3"/>
    </format>
    <format dxfId="324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25">
      <pivotArea outline="0" fieldPosition="0">
        <references count="1">
          <reference field="4294967294" count="1">
            <x v="19"/>
          </reference>
        </references>
      </pivotArea>
    </format>
    <format dxfId="326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28">
      <pivotArea field="5" type="button" dataOnly="0" labelOnly="1" outline="0"/>
    </format>
    <format dxfId="32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330">
      <pivotArea dataOnly="0" fieldPosition="0">
        <references count="1">
          <reference field="7" count="1">
            <x v="10"/>
          </reference>
        </references>
      </pivotArea>
    </format>
    <format dxfId="331">
      <pivotArea outline="0" fieldPosition="0">
        <references count="1">
          <reference field="4294967294" count="1">
            <x v="5"/>
          </reference>
        </references>
      </pivotArea>
    </format>
    <format dxfId="332">
      <pivotArea dataOnly="0" fieldPosition="0">
        <references count="1">
          <reference field="7" count="2">
            <x v="13"/>
            <x v="14"/>
          </reference>
        </references>
      </pivotArea>
    </format>
    <format dxfId="333">
      <pivotArea dataOnly="0" fieldPosition="0">
        <references count="1">
          <reference field="7" count="1">
            <x v="1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76FB3-38C6-D449-BD6C-E51533AA9ADF}" name="PivotTable3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B7:P113" firstHeaderRow="0" firstDataRow="1" firstDataCol="1" rowPageCount="1" colPageCount="1"/>
  <pivotFields count="48">
    <pivotField axis="axisPage" multipleItemSelectionAllowed="1" showAll="0">
      <items count="4">
        <item h="1" x="1"/>
        <item h="1" sd="0" x="0"/>
        <item x="2"/>
        <item t="default"/>
      </items>
    </pivotField>
    <pivotField axis="axisRow" multipleItemSelectionAllowed="1" showAll="0" sortType="descending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multipleItemSelectionAllowed="1" showAll="0">
      <items count="26">
        <item x="2"/>
        <item x="13"/>
        <item x="3"/>
        <item x="8"/>
        <item x="5"/>
        <item x="11"/>
        <item x="19"/>
        <item x="12"/>
        <item x="15"/>
        <item x="7"/>
        <item x="0"/>
        <item x="1"/>
        <item x="21"/>
        <item x="10"/>
        <item x="9"/>
        <item x="22"/>
        <item x="17"/>
        <item x="14"/>
        <item x="6"/>
        <item x="16"/>
        <item x="4"/>
        <item x="23"/>
        <item x="20"/>
        <item x="18"/>
        <item m="1" x="24"/>
        <item t="default"/>
      </items>
    </pivotField>
    <pivotField showAll="0"/>
    <pivotField showAll="0"/>
    <pivotField showAll="0">
      <items count="8">
        <item x="1"/>
        <item x="0"/>
        <item x="2"/>
        <item x="4"/>
        <item x="3"/>
        <item m="1" x="6"/>
        <item x="5"/>
        <item t="default"/>
      </items>
    </pivotField>
    <pivotField axis="axisRow" showAll="0">
      <items count="73">
        <item sd="0" x="6"/>
        <item sd="0" x="5"/>
        <item sd="0" x="4"/>
        <item sd="0" x="3"/>
        <item sd="0" x="2"/>
        <item sd="0" x="1"/>
        <item sd="0" x="0"/>
        <item sd="0" x="29"/>
        <item sd="0" x="30"/>
        <item sd="0" x="31"/>
        <item sd="0" x="32"/>
        <item h="1" sd="0" x="37"/>
        <item sd="0" x="33"/>
        <item sd="0" x="34"/>
        <item sd="0" x="35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3"/>
        <item sd="0" x="24"/>
        <item sd="0" x="22"/>
        <item sd="0" x="21"/>
        <item sd="0" x="25"/>
        <item sd="0" x="26"/>
        <item sd="0" x="27"/>
        <item sd="0" x="28"/>
        <item sd="0" x="36"/>
        <item sd="0" x="38"/>
        <item sd="0" x="39"/>
        <item sd="0" x="40"/>
        <item sd="0" x="41"/>
        <item sd="0" x="42"/>
        <item sd="0" x="43"/>
        <item sd="0" x="44"/>
        <item h="1" sd="0" x="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h="1" f="1" x="69"/>
        <item sd="0" x="67"/>
        <item h="1" f="1" x="70"/>
        <item x="68"/>
        <item h="1" f="1" x="71"/>
        <item t="default" sd="0"/>
      </items>
    </pivotField>
    <pivotField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"/>
    <field x="6"/>
    <field x="1"/>
  </rowFields>
  <rowItems count="106">
    <i>
      <x v="10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2">
      <x v="6"/>
    </i>
    <i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2">
      <x v="6"/>
    </i>
    <i>
      <x v="1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2">
      <x v="6"/>
    </i>
    <i>
      <x v="1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2">
      <x v="6"/>
    </i>
    <i>
      <x v="14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2">
      <x v="6"/>
    </i>
    <i>
      <x v="15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>
      <x v="19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1"/>
    </i>
    <i r="1">
      <x v="5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0" hier="-1"/>
  </pageFields>
  <dataFields count="14">
    <dataField name="Max of Total Active Riders" fld="10" subtotal="max" baseField="0" baseItem="0"/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Income Sales (Weekly)" fld="19" baseField="0" baseItem="0" numFmtId="41"/>
    <dataField name="Sum of Total Cost Molis (Weekly)" fld="21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</dataFields>
  <formats count="43">
    <format dxfId="239">
      <pivotArea field="6" type="button" dataOnly="0" labelOnly="1" outline="0" axis="axisRow" fieldPosition="1"/>
    </format>
    <format dxfId="240">
      <pivotArea dataOnly="0" labelOnly="1" outline="0" fieldPosition="0">
        <references count="1">
          <reference field="4294967294" count="6">
            <x v="1"/>
            <x v="6"/>
            <x v="7"/>
            <x v="11"/>
            <x v="12"/>
            <x v="13"/>
          </reference>
        </references>
      </pivotArea>
    </format>
    <format dxfId="241">
      <pivotArea field="6" type="button" dataOnly="0" labelOnly="1" outline="0" axis="axisRow" fieldPosition="1"/>
    </format>
    <format dxfId="242">
      <pivotArea dataOnly="0" labelOnly="1" outline="0" fieldPosition="0">
        <references count="1">
          <reference field="4294967294" count="6">
            <x v="1"/>
            <x v="6"/>
            <x v="7"/>
            <x v="11"/>
            <x v="12"/>
            <x v="13"/>
          </reference>
        </references>
      </pivotArea>
    </format>
    <format dxfId="243">
      <pivotArea outline="0" fieldPosition="0">
        <references count="1">
          <reference field="4294967294" count="1">
            <x v="1"/>
          </reference>
        </references>
      </pivotArea>
    </format>
    <format dxfId="244">
      <pivotArea outline="0" fieldPosition="0">
        <references count="1">
          <reference field="4294967294" count="1">
            <x v="13"/>
          </reference>
        </references>
      </pivotArea>
    </format>
    <format dxfId="245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246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247">
      <pivotArea dataOnly="0" labelOnly="1" outline="0" fieldPosition="0">
        <references count="1">
          <reference field="4294967294" count="2">
            <x v="7"/>
            <x v="11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49">
      <pivotArea collapsedLevelsAreSubtotals="1" fieldPosition="0">
        <references count="2">
          <reference field="4294967294" count="4" selected="0">
            <x v="6"/>
            <x v="7"/>
            <x v="11"/>
            <x v="12"/>
          </reference>
          <reference field="1" count="0"/>
        </references>
      </pivotArea>
    </format>
    <format dxfId="25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1">
      <pivotArea dataOnly="0" labelOnly="1" outline="0" fieldPosition="0">
        <references count="1">
          <reference field="4294967294" count="2">
            <x v="7"/>
            <x v="11"/>
          </reference>
        </references>
      </pivotArea>
    </format>
    <format dxfId="252">
      <pivotArea field="5" type="button" dataOnly="0" labelOnly="1" outline="0"/>
    </format>
    <format dxfId="253">
      <pivotArea dataOnly="0" labelOnly="1" grandRow="1" outline="0" fieldPosition="0"/>
    </format>
    <format dxfId="2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5">
      <pivotArea outline="0" fieldPosition="0">
        <references count="1">
          <reference field="4294967294" count="1">
            <x v="2"/>
          </reference>
        </references>
      </pivotArea>
    </format>
    <format dxfId="25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57">
      <pivotArea outline="0" fieldPosition="0">
        <references count="1">
          <reference field="4294967294" count="1">
            <x v="3"/>
          </reference>
        </references>
      </pivotArea>
    </format>
    <format dxfId="25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9">
      <pivotArea dataOnly="0" outline="0" fieldPosition="0">
        <references count="1">
          <reference field="4294967294" count="1">
            <x v="8"/>
          </reference>
        </references>
      </pivotArea>
    </format>
    <format dxfId="260">
      <pivotArea field="5" type="button" dataOnly="0" labelOnly="1" outline="0"/>
    </format>
    <format dxfId="261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262">
      <pivotArea field="5" type="button" dataOnly="0" labelOnly="1" outline="0"/>
    </format>
    <format dxfId="263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264">
      <pivotArea outline="0" fieldPosition="0">
        <references count="1">
          <reference field="4294967294" count="1">
            <x v="5"/>
          </reference>
        </references>
      </pivotArea>
    </format>
    <format dxfId="265">
      <pivotArea outline="0" fieldPosition="0">
        <references count="1">
          <reference field="4294967294" count="1">
            <x v="4"/>
          </reference>
        </references>
      </pivotArea>
    </format>
    <format dxfId="266">
      <pivotArea outline="0" fieldPosition="0">
        <references count="1">
          <reference field="4294967294" count="1">
            <x v="8"/>
          </reference>
        </references>
      </pivotArea>
    </format>
    <format dxfId="267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268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269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270">
      <pivotArea field="7" type="button" dataOnly="0" labelOnly="1" outline="0"/>
    </format>
    <format dxfId="271">
      <pivotArea dataOnly="0" labelOnly="1" outline="0" fieldPosition="0">
        <references count="1">
          <reference field="4294967294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72">
      <pivotArea field="5" type="button" dataOnly="0" labelOnly="1" outline="0"/>
    </format>
    <format dxfId="273">
      <pivotArea dataOnly="0" labelOnly="1" outline="0" fieldPosition="0">
        <references count="1">
          <reference field="4294967294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74">
      <pivotArea outline="0" fieldPosition="0">
        <references count="1">
          <reference field="4294967294" count="1">
            <x v="6"/>
          </reference>
        </references>
      </pivotArea>
    </format>
    <format dxfId="2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78">
      <pivotArea field="2" type="button" dataOnly="0" labelOnly="1" outline="0" axis="axisRow" fieldPosition="0"/>
    </format>
    <format dxfId="279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80">
      <pivotArea field="2" type="button" dataOnly="0" labelOnly="1" outline="0" axis="axisRow" fieldPosition="0"/>
    </format>
    <format dxfId="281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C4FC1-C84B-46D0-A063-7DB86D8B021C}" name="PivotTable1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H7:AV488" firstHeaderRow="0" firstDataRow="1" firstDataCol="1" rowPageCount="1" colPageCount="1"/>
  <pivotFields count="48">
    <pivotField axis="axisPage" multipleItemSelectionAllowed="1" showAll="0">
      <items count="4">
        <item h="1" x="1"/>
        <item sd="0" x="0"/>
        <item h="1" x="2"/>
        <item t="default"/>
      </items>
    </pivotField>
    <pivotField axis="axisRow" multipleItemSelectionAllowed="1" showAll="0" sortType="descending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multipleItemSelectionAllowed="1" showAll="0"/>
    <pivotField showAll="0"/>
    <pivotField showAll="0"/>
    <pivotField axis="axisRow" showAll="0">
      <items count="8">
        <item x="1"/>
        <item x="0"/>
        <item x="2"/>
        <item x="4"/>
        <item x="3"/>
        <item m="1" x="6"/>
        <item x="5"/>
        <item t="default"/>
      </items>
    </pivotField>
    <pivotField axis="axisRow" showAll="0">
      <items count="73">
        <item sd="0" x="6"/>
        <item sd="0" x="5"/>
        <item sd="0" x="4"/>
        <item sd="0" x="3"/>
        <item sd="0" x="2"/>
        <item sd="0" x="1"/>
        <item sd="0" x="0"/>
        <item sd="0" x="29"/>
        <item sd="0" x="30"/>
        <item sd="0" x="31"/>
        <item sd="0" x="32"/>
        <item h="1" sd="0" x="37"/>
        <item sd="0" x="33"/>
        <item sd="0" x="34"/>
        <item sd="0" x="35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3"/>
        <item sd="0" x="24"/>
        <item sd="0" x="22"/>
        <item sd="0" x="21"/>
        <item sd="0" x="25"/>
        <item sd="0" x="26"/>
        <item sd="0" x="27"/>
        <item sd="0" x="28"/>
        <item sd="0" x="36"/>
        <item sd="0" x="38"/>
        <item sd="0" x="39"/>
        <item sd="0" x="40"/>
        <item sd="0" x="41"/>
        <item sd="0" x="42"/>
        <item sd="0" x="43"/>
        <item sd="0" x="44"/>
        <item h="1" sd="0" x="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x="64"/>
        <item x="65"/>
        <item x="66"/>
        <item h="1" f="1" x="69"/>
        <item h="1" x="67"/>
        <item f="1" x="70"/>
        <item h="1" x="68"/>
        <item f="1" x="71"/>
        <item t="default" sd="0"/>
      </items>
    </pivotField>
    <pivotField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5"/>
    <field x="6"/>
    <field x="1"/>
  </rowFields>
  <rowItems count="48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>
      <x v="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69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r="1">
      <x v="71"/>
    </i>
    <i r="2">
      <x v="16"/>
    </i>
    <i r="2">
      <x v="12"/>
    </i>
    <i r="2">
      <x v="10"/>
    </i>
    <i r="2">
      <x v="1"/>
    </i>
    <i r="2">
      <x v="14"/>
    </i>
    <i r="2">
      <x v="2"/>
    </i>
    <i r="2">
      <x v="18"/>
    </i>
    <i r="2">
      <x v="3"/>
    </i>
    <i r="2">
      <x v="11"/>
    </i>
    <i r="2">
      <x v="4"/>
    </i>
    <i r="2">
      <x v="13"/>
    </i>
    <i r="2">
      <x v="5"/>
    </i>
    <i r="2">
      <x v="15"/>
    </i>
    <i r="2">
      <x v="6"/>
    </i>
    <i r="2">
      <x v="17"/>
    </i>
    <i r="2">
      <x v="7"/>
    </i>
    <i r="2">
      <x/>
    </i>
    <i r="2">
      <x v="8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0" hier="-1"/>
  </pageFields>
  <dataFields count="14">
    <dataField name="Max of Total Active Riders" fld="10" subtotal="max" baseField="0" baseItem="0"/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Income Sales (Weekly)" fld="19" baseField="0" baseItem="0" numFmtId="41"/>
    <dataField name="Sum of Total Cost Molis (Weekly)" fld="21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</dataFields>
  <formats count="73">
    <format dxfId="166">
      <pivotArea field="6" type="button" dataOnly="0" labelOnly="1" outline="0" axis="axisRow" fieldPosition="1"/>
    </format>
    <format dxfId="167">
      <pivotArea dataOnly="0" labelOnly="1" outline="0" fieldPosition="0">
        <references count="1">
          <reference field="4294967294" count="6">
            <x v="1"/>
            <x v="6"/>
            <x v="7"/>
            <x v="11"/>
            <x v="12"/>
            <x v="13"/>
          </reference>
        </references>
      </pivotArea>
    </format>
    <format dxfId="168">
      <pivotArea field="6" type="button" dataOnly="0" labelOnly="1" outline="0" axis="axisRow" fieldPosition="1"/>
    </format>
    <format dxfId="169">
      <pivotArea dataOnly="0" labelOnly="1" outline="0" fieldPosition="0">
        <references count="1">
          <reference field="4294967294" count="6">
            <x v="1"/>
            <x v="6"/>
            <x v="7"/>
            <x v="11"/>
            <x v="12"/>
            <x v="13"/>
          </reference>
        </references>
      </pivotArea>
    </format>
    <format dxfId="170">
      <pivotArea outline="0" fieldPosition="0">
        <references count="1">
          <reference field="4294967294" count="1">
            <x v="1"/>
          </reference>
        </references>
      </pivotArea>
    </format>
    <format dxfId="171">
      <pivotArea outline="0" fieldPosition="0">
        <references count="1">
          <reference field="4294967294" count="1">
            <x v="13"/>
          </reference>
        </references>
      </pivotArea>
    </format>
    <format dxfId="172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73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74">
      <pivotArea dataOnly="0" labelOnly="1" outline="0" fieldPosition="0">
        <references count="1">
          <reference field="4294967294" count="2">
            <x v="7"/>
            <x v="11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6">
      <pivotArea collapsedLevelsAreSubtotals="1" fieldPosition="0">
        <references count="2">
          <reference field="4294967294" count="4" selected="0">
            <x v="6"/>
            <x v="7"/>
            <x v="11"/>
            <x v="12"/>
          </reference>
          <reference field="1" count="0"/>
        </references>
      </pivotArea>
    </format>
    <format dxfId="17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8">
      <pivotArea dataOnly="0" labelOnly="1" outline="0" fieldPosition="0">
        <references count="1">
          <reference field="4294967294" count="2">
            <x v="7"/>
            <x v="11"/>
          </reference>
        </references>
      </pivotArea>
    </format>
    <format dxfId="179">
      <pivotArea field="5" type="button" dataOnly="0" labelOnly="1" outline="0" axis="axisRow" fieldPosition="0"/>
    </format>
    <format dxfId="180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2">
      <pivotArea outline="0" fieldPosition="0">
        <references count="1">
          <reference field="4294967294" count="1">
            <x v="2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4">
      <pivotArea outline="0" fieldPosition="0">
        <references count="1">
          <reference field="4294967294" count="1">
            <x v="3"/>
          </reference>
        </references>
      </pivotArea>
    </format>
    <format dxfId="18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6">
      <pivotArea dataOnly="0" outline="0" fieldPosition="0">
        <references count="1">
          <reference field="4294967294" count="1">
            <x v="8"/>
          </reference>
        </references>
      </pivotArea>
    </format>
    <format dxfId="187">
      <pivotArea field="5" type="button" dataOnly="0" labelOnly="1" outline="0" axis="axisRow" fieldPosition="0"/>
    </format>
    <format dxfId="188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89">
      <pivotArea field="5" type="button" dataOnly="0" labelOnly="1" outline="0" axis="axisRow" fieldPosition="0"/>
    </format>
    <format dxfId="190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91">
      <pivotArea outline="0" fieldPosition="0">
        <references count="1">
          <reference field="4294967294" count="1">
            <x v="5"/>
          </reference>
        </references>
      </pivotArea>
    </format>
    <format dxfId="192">
      <pivotArea outline="0" fieldPosition="0">
        <references count="1">
          <reference field="4294967294" count="1">
            <x v="4"/>
          </reference>
        </references>
      </pivotArea>
    </format>
    <format dxfId="193">
      <pivotArea outline="0" fieldPosition="0">
        <references count="1">
          <reference field="4294967294" count="1">
            <x v="8"/>
          </reference>
        </references>
      </pivotArea>
    </format>
    <format dxfId="194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95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196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197">
      <pivotArea field="7" type="button" dataOnly="0" labelOnly="1" outline="0"/>
    </format>
    <format dxfId="198">
      <pivotArea dataOnly="0" labelOnly="1" outline="0" fieldPosition="0">
        <references count="1">
          <reference field="4294967294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99">
      <pivotArea field="5" type="button" dataOnly="0" labelOnly="1" outline="0" axis="axisRow" fieldPosition="0"/>
    </format>
    <format dxfId="200">
      <pivotArea dataOnly="0" labelOnly="1" outline="0" fieldPosition="0">
        <references count="1">
          <reference field="4294967294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01">
      <pivotArea outline="0" fieldPosition="0">
        <references count="1">
          <reference field="4294967294" count="1">
            <x v="6"/>
          </reference>
        </references>
      </pivotArea>
    </format>
    <format dxfId="20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05">
      <pivotArea collapsedLevelsAreSubtotals="1" fieldPosition="0">
        <references count="2">
          <reference field="5" count="1" selected="0">
            <x v="2"/>
          </reference>
          <reference field="6" count="1">
            <x v="60"/>
          </reference>
        </references>
      </pivotArea>
    </format>
    <format dxfId="206">
      <pivotArea collapsedLevelsAreSubtotals="1" fieldPosition="0">
        <references count="2">
          <reference field="5" count="1" selected="0">
            <x v="2"/>
          </reference>
          <reference field="6" count="1">
            <x v="61"/>
          </reference>
        </references>
      </pivotArea>
    </format>
    <format dxfId="207">
      <pivotArea collapsedLevelsAreSubtotals="1" fieldPosition="0">
        <references count="2">
          <reference field="5" count="1" selected="0">
            <x v="2"/>
          </reference>
          <reference field="6" count="1">
            <x v="62"/>
          </reference>
        </references>
      </pivotArea>
    </format>
    <format dxfId="208">
      <pivotArea collapsedLevelsAreSubtotals="1" fieldPosition="0">
        <references count="2">
          <reference field="5" count="1" selected="0">
            <x v="2"/>
          </reference>
          <reference field="6" count="1">
            <x v="63"/>
          </reference>
        </references>
      </pivotArea>
    </format>
    <format dxfId="209">
      <pivotArea dataOnly="0" labelOnly="1" fieldPosition="0">
        <references count="2">
          <reference field="5" count="1" selected="0">
            <x v="2"/>
          </reference>
          <reference field="6" count="4">
            <x v="60"/>
            <x v="61"/>
            <x v="62"/>
            <x v="63"/>
          </reference>
        </references>
      </pivotArea>
    </format>
    <format dxfId="210">
      <pivotArea collapsedLevelsAreSubtotals="1" fieldPosition="0">
        <references count="2">
          <reference field="5" count="1" selected="0">
            <x v="0"/>
          </reference>
          <reference field="6" count="1">
            <x v="9"/>
          </reference>
        </references>
      </pivotArea>
    </format>
    <format dxfId="211">
      <pivotArea collapsedLevelsAreSubtotals="1" fieldPosition="0">
        <references count="2">
          <reference field="5" count="1" selected="0">
            <x v="0"/>
          </reference>
          <reference field="6" count="1">
            <x v="10"/>
          </reference>
        </references>
      </pivotArea>
    </format>
    <format dxfId="212">
      <pivotArea collapsedLevelsAreSubtotals="1" fieldPosition="0">
        <references count="2">
          <reference field="5" count="1" selected="0">
            <x v="0"/>
          </reference>
          <reference field="6" count="1">
            <x v="12"/>
          </reference>
        </references>
      </pivotArea>
    </format>
    <format dxfId="213">
      <pivotArea collapsedLevelsAreSubtotals="1" fieldPosition="0">
        <references count="2">
          <reference field="5" count="1" selected="0">
            <x v="0"/>
          </reference>
          <reference field="6" count="1">
            <x v="13"/>
          </reference>
        </references>
      </pivotArea>
    </format>
    <format dxfId="214">
      <pivotArea dataOnly="0" labelOnly="1" fieldPosition="0">
        <references count="2">
          <reference field="5" count="1" selected="0">
            <x v="0"/>
          </reference>
          <reference field="6" count="4">
            <x v="9"/>
            <x v="10"/>
            <x v="12"/>
            <x v="13"/>
          </reference>
        </references>
      </pivotArea>
    </format>
    <format dxfId="215">
      <pivotArea collapsedLevelsAreSubtotals="1" fieldPosition="0">
        <references count="2">
          <reference field="5" count="1" selected="0">
            <x v="1"/>
          </reference>
          <reference field="6" count="1">
            <x v="9"/>
          </reference>
        </references>
      </pivotArea>
    </format>
    <format dxfId="216">
      <pivotArea collapsedLevelsAreSubtotals="1" fieldPosition="0">
        <references count="2">
          <reference field="5" count="1" selected="0">
            <x v="1"/>
          </reference>
          <reference field="6" count="1">
            <x v="10"/>
          </reference>
        </references>
      </pivotArea>
    </format>
    <format dxfId="217">
      <pivotArea collapsedLevelsAreSubtotals="1" fieldPosition="0">
        <references count="2">
          <reference field="5" count="1" selected="0">
            <x v="1"/>
          </reference>
          <reference field="6" count="1">
            <x v="12"/>
          </reference>
        </references>
      </pivotArea>
    </format>
    <format dxfId="218">
      <pivotArea collapsedLevelsAreSubtotals="1" fieldPosition="0">
        <references count="2">
          <reference field="5" count="1" selected="0">
            <x v="1"/>
          </reference>
          <reference field="6" count="1">
            <x v="13"/>
          </reference>
        </references>
      </pivotArea>
    </format>
    <format dxfId="219">
      <pivotArea dataOnly="0" labelOnly="1" fieldPosition="0">
        <references count="2">
          <reference field="5" count="1" selected="0">
            <x v="1"/>
          </reference>
          <reference field="6" count="4">
            <x v="9"/>
            <x v="10"/>
            <x v="12"/>
            <x v="13"/>
          </reference>
        </references>
      </pivotArea>
    </format>
    <format dxfId="220">
      <pivotArea collapsedLevelsAreSubtotals="1" fieldPosition="0">
        <references count="2">
          <reference field="5" count="1" selected="0">
            <x v="2"/>
          </reference>
          <reference field="6" count="1">
            <x v="9"/>
          </reference>
        </references>
      </pivotArea>
    </format>
    <format dxfId="221">
      <pivotArea collapsedLevelsAreSubtotals="1" fieldPosition="0">
        <references count="2">
          <reference field="5" count="1" selected="0">
            <x v="2"/>
          </reference>
          <reference field="6" count="1">
            <x v="10"/>
          </reference>
        </references>
      </pivotArea>
    </format>
    <format dxfId="222">
      <pivotArea collapsedLevelsAreSubtotals="1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3">
      <pivotArea collapsedLevelsAreSubtotals="1" fieldPosition="0">
        <references count="2">
          <reference field="5" count="1" selected="0">
            <x v="2"/>
          </reference>
          <reference field="6" count="1">
            <x v="13"/>
          </reference>
        </references>
      </pivotArea>
    </format>
    <format dxfId="224">
      <pivotArea dataOnly="0" labelOnly="1" fieldPosition="0">
        <references count="2">
          <reference field="5" count="1" selected="0">
            <x v="2"/>
          </reference>
          <reference field="6" count="4">
            <x v="9"/>
            <x v="10"/>
            <x v="12"/>
            <x v="13"/>
          </reference>
        </references>
      </pivotArea>
    </format>
    <format dxfId="225">
      <pivotArea collapsedLevelsAreSubtotals="1" fieldPosition="0">
        <references count="2">
          <reference field="5" count="1" selected="0">
            <x v="3"/>
          </reference>
          <reference field="6" count="1">
            <x v="9"/>
          </reference>
        </references>
      </pivotArea>
    </format>
    <format dxfId="226">
      <pivotArea collapsedLevelsAreSubtotals="1" fieldPosition="0">
        <references count="2">
          <reference field="5" count="1" selected="0">
            <x v="3"/>
          </reference>
          <reference field="6" count="1">
            <x v="10"/>
          </reference>
        </references>
      </pivotArea>
    </format>
    <format dxfId="227">
      <pivotArea collapsedLevelsAreSubtotals="1" fieldPosition="0">
        <references count="2">
          <reference field="5" count="1" selected="0">
            <x v="3"/>
          </reference>
          <reference field="6" count="1">
            <x v="12"/>
          </reference>
        </references>
      </pivotArea>
    </format>
    <format dxfId="228">
      <pivotArea collapsedLevelsAreSubtotals="1" fieldPosition="0">
        <references count="2">
          <reference field="5" count="1" selected="0">
            <x v="3"/>
          </reference>
          <reference field="6" count="1">
            <x v="13"/>
          </reference>
        </references>
      </pivotArea>
    </format>
    <format dxfId="229">
      <pivotArea dataOnly="0" labelOnly="1" fieldPosition="0">
        <references count="2">
          <reference field="5" count="1" selected="0">
            <x v="3"/>
          </reference>
          <reference field="6" count="4">
            <x v="9"/>
            <x v="10"/>
            <x v="12"/>
            <x v="13"/>
          </reference>
        </references>
      </pivotArea>
    </format>
    <format dxfId="230">
      <pivotArea collapsedLevelsAreSubtotals="1" fieldPosition="0">
        <references count="2">
          <reference field="5" count="1" selected="0">
            <x v="4"/>
          </reference>
          <reference field="6" count="1">
            <x v="9"/>
          </reference>
        </references>
      </pivotArea>
    </format>
    <format dxfId="231">
      <pivotArea collapsedLevelsAreSubtotals="1" fieldPosition="0">
        <references count="2">
          <reference field="5" count="1" selected="0">
            <x v="4"/>
          </reference>
          <reference field="6" count="1">
            <x v="10"/>
          </reference>
        </references>
      </pivotArea>
    </format>
    <format dxfId="232">
      <pivotArea collapsedLevelsAreSubtotals="1" fieldPosition="0">
        <references count="2">
          <reference field="5" count="1" selected="0">
            <x v="4"/>
          </reference>
          <reference field="6" count="1">
            <x v="12"/>
          </reference>
        </references>
      </pivotArea>
    </format>
    <format dxfId="233">
      <pivotArea collapsedLevelsAreSubtotals="1" fieldPosition="0">
        <references count="2">
          <reference field="5" count="1" selected="0">
            <x v="4"/>
          </reference>
          <reference field="6" count="1">
            <x v="13"/>
          </reference>
        </references>
      </pivotArea>
    </format>
    <format dxfId="234">
      <pivotArea dataOnly="0" labelOnly="1" fieldPosition="0">
        <references count="2">
          <reference field="5" count="1" selected="0">
            <x v="4"/>
          </reference>
          <reference field="6" count="4">
            <x v="9"/>
            <x v="10"/>
            <x v="12"/>
            <x v="13"/>
          </reference>
        </references>
      </pivotArea>
    </format>
    <format dxfId="235">
      <pivotArea field="5" type="button" dataOnly="0" labelOnly="1" outline="0" axis="axisRow" fieldPosition="0"/>
    </format>
    <format dxfId="23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7">
      <pivotArea field="5" type="button" dataOnly="0" labelOnly="1" outline="0" axis="axisRow" fieldPosition="0"/>
    </format>
    <format dxfId="23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74B83-804A-4D2A-B877-B1342BBDD1DB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R27:AE38" firstHeaderRow="0" firstDataRow="1" firstDataCol="1" rowPageCount="2" colPageCount="1"/>
  <pivotFields count="48">
    <pivotField axis="axisPage" multipleItemSelectionAllowed="1" showAll="0">
      <items count="4">
        <item h="1" x="1"/>
        <item h="1" sd="0" x="0"/>
        <item x="2"/>
        <item t="default"/>
      </items>
    </pivotField>
    <pivotField axis="axisRow" multipleItemSelectionAllowed="1" showAll="0" sortType="descending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/>
    <pivotField showAll="0"/>
    <pivotField axis="axisPage" showAll="0">
      <items count="4">
        <item h="1" x="0"/>
        <item x="1"/>
        <item m="1" x="2"/>
        <item t="default"/>
      </items>
    </pivotField>
    <pivotField showAll="0">
      <items count="8">
        <item x="1"/>
        <item x="0"/>
        <item x="2"/>
        <item x="4"/>
        <item x="3"/>
        <item m="1" x="6"/>
        <item x="5"/>
        <item t="default"/>
      </items>
    </pivotField>
    <pivotField showAll="0">
      <items count="73">
        <item sd="0" x="6"/>
        <item sd="0" x="5"/>
        <item sd="0" x="4"/>
        <item sd="0" x="3"/>
        <item sd="0" x="2"/>
        <item sd="0" x="1"/>
        <item sd="0" x="0"/>
        <item sd="0" x="29"/>
        <item sd="0" x="30"/>
        <item sd="0" x="31"/>
        <item sd="0" x="32"/>
        <item h="1" sd="0" x="37"/>
        <item sd="0" x="33"/>
        <item sd="0" x="34"/>
        <item sd="0" x="35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3"/>
        <item sd="0" x="24"/>
        <item sd="0" x="22"/>
        <item sd="0" x="21"/>
        <item sd="0" x="25"/>
        <item sd="0" x="26"/>
        <item sd="0" x="27"/>
        <item sd="0" x="28"/>
        <item sd="0" x="36"/>
        <item sd="0" x="38"/>
        <item sd="0" x="39"/>
        <item sd="0" x="40"/>
        <item sd="0" x="41"/>
        <item sd="0" x="42"/>
        <item sd="0" x="43"/>
        <item sd="0" x="44"/>
        <item h="1" sd="0" x="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h="1" x="64"/>
        <item h="1" x="65"/>
        <item h="1" x="66"/>
        <item f="1" x="69"/>
        <item h="1" x="67"/>
        <item f="1" x="70"/>
        <item h="1" x="68"/>
        <item f="1" x="71"/>
        <item t="default" sd="0"/>
      </items>
    </pivotField>
    <pivotField axis="axisRow" multipleItemSelectionAllowed="1" showAll="0">
      <items count="20">
        <item x="1"/>
        <item m="1" x="16"/>
        <item m="1" x="15"/>
        <item m="1" x="14"/>
        <item m="1" x="13"/>
        <item x="0"/>
        <item x="7"/>
        <item x="8"/>
        <item x="11"/>
        <item x="10"/>
        <item x="9"/>
        <item x="6"/>
        <item x="5"/>
        <item x="4"/>
        <item x="3"/>
        <item x="2"/>
        <item m="1" x="18"/>
        <item m="1" x="17"/>
        <item m="1" x="1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7"/>
    <field x="1"/>
  </rowFields>
  <rowItems count="11">
    <i>
      <x/>
    </i>
    <i r="1">
      <x v="6"/>
    </i>
    <i r="1">
      <x v="17"/>
    </i>
    <i>
      <x v="5"/>
    </i>
    <i r="1">
      <x v="6"/>
    </i>
    <i r="1">
      <x v="17"/>
    </i>
    <i>
      <x v="6"/>
    </i>
    <i r="1">
      <x v="6"/>
    </i>
    <i>
      <x v="7"/>
    </i>
    <i r="1">
      <x v="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0" hier="-1"/>
    <pageField fld="4" item="1" hier="-1"/>
  </pageFields>
  <dataFields count="1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Income Sales (Weekly)" fld="19" baseField="0" baseItem="0" numFmtId="41"/>
    <dataField name="Sum of Total Cost Molis (Weekly)" fld="21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</dataFields>
  <formats count="43">
    <format dxfId="123">
      <pivotArea field="6" type="button" dataOnly="0" labelOnly="1" outline="0"/>
    </format>
    <format dxfId="124">
      <pivotArea dataOnly="0" labelOnly="1" outline="0" fieldPosition="0">
        <references count="1">
          <reference field="4294967294" count="6">
            <x v="0"/>
            <x v="5"/>
            <x v="6"/>
            <x v="10"/>
            <x v="11"/>
            <x v="12"/>
          </reference>
        </references>
      </pivotArea>
    </format>
    <format dxfId="125">
      <pivotArea field="6" type="button" dataOnly="0" labelOnly="1" outline="0"/>
    </format>
    <format dxfId="126">
      <pivotArea dataOnly="0" labelOnly="1" outline="0" fieldPosition="0">
        <references count="1">
          <reference field="4294967294" count="6">
            <x v="0"/>
            <x v="5"/>
            <x v="6"/>
            <x v="10"/>
            <x v="11"/>
            <x v="12"/>
          </reference>
        </references>
      </pivotArea>
    </format>
    <format dxfId="127">
      <pivotArea outline="0" fieldPosition="0">
        <references count="1">
          <reference field="4294967294" count="1">
            <x v="0"/>
          </reference>
        </references>
      </pivotArea>
    </format>
    <format dxfId="128">
      <pivotArea outline="0" fieldPosition="0">
        <references count="1">
          <reference field="4294967294" count="1">
            <x v="12"/>
          </reference>
        </references>
      </pivotArea>
    </format>
    <format dxfId="129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130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131">
      <pivotArea dataOnly="0" labelOnly="1" outline="0" fieldPosition="0">
        <references count="1">
          <reference field="4294967294" count="2">
            <x v="6"/>
            <x v="10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3">
      <pivotArea collapsedLevelsAreSubtotals="1" fieldPosition="0">
        <references count="2">
          <reference field="4294967294" count="4" selected="0">
            <x v="5"/>
            <x v="6"/>
            <x v="10"/>
            <x v="11"/>
          </reference>
          <reference field="1" count="0"/>
        </references>
      </pivotArea>
    </format>
    <format dxfId="13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5">
      <pivotArea dataOnly="0" labelOnly="1" outline="0" fieldPosition="0">
        <references count="1">
          <reference field="4294967294" count="2">
            <x v="6"/>
            <x v="10"/>
          </reference>
        </references>
      </pivotArea>
    </format>
    <format dxfId="136">
      <pivotArea field="5" type="button" dataOnly="0" labelOnly="1" outline="0"/>
    </format>
    <format dxfId="137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">
      <pivotArea outline="0" fieldPosition="0">
        <references count="1">
          <reference field="4294967294" count="1">
            <x v="1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1">
      <pivotArea outline="0" fieldPosition="0">
        <references count="1">
          <reference field="4294967294" count="1">
            <x v="2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3">
      <pivotArea dataOnly="0" outline="0" fieldPosition="0">
        <references count="1">
          <reference field="4294967294" count="1">
            <x v="7"/>
          </reference>
        </references>
      </pivotArea>
    </format>
    <format dxfId="144">
      <pivotArea field="5" type="button" dataOnly="0" labelOnly="1" outline="0"/>
    </format>
    <format dxfId="145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46">
      <pivotArea field="5" type="button" dataOnly="0" labelOnly="1" outline="0"/>
    </format>
    <format dxfId="147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48">
      <pivotArea outline="0" fieldPosition="0">
        <references count="1">
          <reference field="4294967294" count="1">
            <x v="4"/>
          </reference>
        </references>
      </pivotArea>
    </format>
    <format dxfId="149">
      <pivotArea outline="0" fieldPosition="0">
        <references count="1">
          <reference field="4294967294" count="1">
            <x v="3"/>
          </reference>
        </references>
      </pivotArea>
    </format>
    <format dxfId="150">
      <pivotArea outline="0" fieldPosition="0">
        <references count="1">
          <reference field="4294967294" count="1">
            <x v="7"/>
          </reference>
        </references>
      </pivotArea>
    </format>
    <format dxfId="15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52">
      <pivotArea outline="0" collapsedLevelsAreSubtotals="1" fieldPosition="0">
        <references count="1">
          <reference field="4294967294" count="2" selected="0">
            <x v="8"/>
            <x v="9"/>
          </reference>
        </references>
      </pivotArea>
    </format>
    <format dxfId="153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154">
      <pivotArea field="7" type="button" dataOnly="0" labelOnly="1" outline="0" axis="axisRow" fieldPosition="0"/>
    </format>
    <format dxfId="155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6">
      <pivotArea field="5" type="button" dataOnly="0" labelOnly="1" outline="0"/>
    </format>
    <format dxfId="157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8">
      <pivotArea outline="0" fieldPosition="0">
        <references count="1">
          <reference field="4294967294" count="1">
            <x v="5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2">
      <pivotArea field="5" type="button" dataOnly="0" labelOnly="1" outline="0"/>
    </format>
    <format dxfId="163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4">
      <pivotArea field="5" type="button" dataOnly="0" labelOnly="1" outline="0"/>
    </format>
    <format dxfId="165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E94DD-2FD0-E943-A902-A811A7FE6A00}" name="PivotTable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R7:AE23" firstHeaderRow="0" firstDataRow="1" firstDataCol="1" rowPageCount="1" colPageCount="1"/>
  <pivotFields count="48">
    <pivotField axis="axisPage" multipleItemSelectionAllowed="1" showAll="0">
      <items count="4">
        <item h="1" x="1"/>
        <item h="1" sd="0" x="0"/>
        <item x="2"/>
        <item t="default"/>
      </items>
    </pivotField>
    <pivotField axis="axisRow" multipleItemSelectionAllowed="1" showAll="0" sortType="descending">
      <items count="20">
        <item x="1"/>
        <item x="2"/>
        <item x="7"/>
        <item x="4"/>
        <item x="8"/>
        <item x="6"/>
        <item x="0"/>
        <item x="5"/>
        <item x="3"/>
        <item m="1" x="1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/>
    <pivotField showAll="0"/>
    <pivotField showAll="0"/>
    <pivotField axis="axisRow" showAll="0">
      <items count="8">
        <item x="1"/>
        <item x="0"/>
        <item x="2"/>
        <item x="4"/>
        <item x="3"/>
        <item m="1" x="6"/>
        <item x="5"/>
        <item t="default"/>
      </items>
    </pivotField>
    <pivotField showAll="0">
      <items count="73">
        <item sd="0" x="6"/>
        <item sd="0" x="5"/>
        <item sd="0" x="4"/>
        <item sd="0" x="3"/>
        <item sd="0" x="2"/>
        <item sd="0" x="1"/>
        <item sd="0" x="0"/>
        <item sd="0" x="29"/>
        <item sd="0" x="30"/>
        <item sd="0" x="31"/>
        <item sd="0" x="32"/>
        <item h="1" sd="0" x="37"/>
        <item sd="0" x="33"/>
        <item sd="0" x="34"/>
        <item sd="0" x="35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3"/>
        <item sd="0" x="24"/>
        <item sd="0" x="22"/>
        <item sd="0" x="21"/>
        <item sd="0" x="25"/>
        <item sd="0" x="26"/>
        <item sd="0" x="27"/>
        <item sd="0" x="28"/>
        <item sd="0" x="36"/>
        <item sd="0" x="38"/>
        <item sd="0" x="39"/>
        <item sd="0" x="40"/>
        <item sd="0" x="41"/>
        <item sd="0" x="42"/>
        <item sd="0" x="43"/>
        <item sd="0" x="44"/>
        <item h="1" sd="0" x="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h="1" x="64"/>
        <item h="1" x="65"/>
        <item h="1" x="66"/>
        <item f="1" x="69"/>
        <item h="1" x="67"/>
        <item f="1" x="70"/>
        <item h="1" x="68"/>
        <item f="1" x="71"/>
        <item t="default" sd="0"/>
      </items>
    </pivotField>
    <pivotField axis="axisRow" multipleItemSelectionAllowed="1" showAll="0">
      <items count="20">
        <item sd="0" x="1"/>
        <item sd="0" m="1" x="16"/>
        <item sd="0" m="1" x="15"/>
        <item sd="0" m="1" x="14"/>
        <item sd="0" m="1" x="13"/>
        <item sd="0" x="0"/>
        <item sd="0" x="7"/>
        <item sd="0" x="8"/>
        <item sd="0" x="11"/>
        <item sd="0" x="10"/>
        <item sd="0" x="9"/>
        <item sd="0" x="6"/>
        <item sd="0" x="5"/>
        <item sd="0" x="4"/>
        <item sd="0" x="3"/>
        <item sd="0" x="2"/>
        <item sd="0" m="1" x="18"/>
        <item sd="0" m="1" x="17"/>
        <item sd="0" m="1" x="12"/>
        <item t="default" sd="0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41" showAll="0"/>
    <pivotField dataField="1" showAll="0"/>
    <pivotField dataField="1" showAll="0"/>
    <pivotField showAll="0"/>
    <pivotField dataField="1" showAll="0"/>
    <pivotField dataField="1" numFmtId="4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41" showAll="0"/>
    <pivotField numFmtId="41" showAll="0"/>
    <pivotField numFmtId="9" showAll="0"/>
    <pivotField numFmtId="41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5"/>
    <field x="7"/>
    <field x="1"/>
  </rowFields>
  <rowItems count="16">
    <i>
      <x v="2"/>
    </i>
    <i r="1">
      <x/>
    </i>
    <i r="1">
      <x v="5"/>
    </i>
    <i r="1">
      <x v="6"/>
    </i>
    <i r="1">
      <x v="7"/>
    </i>
    <i>
      <x v="3"/>
    </i>
    <i r="1">
      <x/>
    </i>
    <i r="1">
      <x v="5"/>
    </i>
    <i r="1">
      <x v="6"/>
    </i>
    <i r="1">
      <x v="7"/>
    </i>
    <i>
      <x v="4"/>
    </i>
    <i r="1">
      <x/>
    </i>
    <i r="1">
      <x v="5"/>
    </i>
    <i r="1">
      <x v="6"/>
    </i>
    <i r="1"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Sum of Total Cups Sold" fld="11" baseField="0" baseItem="0" numFmtId="3"/>
    <dataField name="Sum of Total Selling (Clients Revenue)" fld="12" baseField="0" baseItem="0" numFmtId="3"/>
    <dataField name="Sum of Total Revenue Sharing % (Weekly)" fld="25" baseField="0" baseItem="0" numFmtId="3"/>
    <dataField name="Sum of Total Potongan Molis (Weekly) " fld="26" baseField="0" baseItem="0" numFmtId="3"/>
    <dataField name="Sum of Total Subsidi Molis KSJ (Monthly)" fld="27" baseField="0" baseItem="0" numFmtId="3"/>
    <dataField name="Sum of Total Revenue" fld="30" baseField="0" baseItem="0" numFmtId="3"/>
    <dataField name="Sum of Total Income Sales (Weekly)" fld="19" baseField="0" baseItem="0" numFmtId="41"/>
    <dataField name="Sum of Total Cost Molis (Weekly)" fld="21" baseField="0" baseItem="0" numFmtId="3"/>
    <dataField name="Sum of Manpower (Korlap)" fld="20" baseField="0" baseItem="0" numFmtId="166"/>
    <dataField name="Sum of Storing Cost" fld="23" baseField="0" baseItem="0" numFmtId="166"/>
    <dataField name="Sum of Total Operational Cost" fld="24" baseField="0" baseItem="0" numFmtId="41"/>
    <dataField name="Sum of Profit" fld="31" baseField="0" baseItem="0" numFmtId="41"/>
    <dataField name="Sum of Profit %" fld="37" baseField="0" baseItem="0" numFmtId="9"/>
  </dataFields>
  <formats count="43">
    <format dxfId="80">
      <pivotArea field="6" type="button" dataOnly="0" labelOnly="1" outline="0"/>
    </format>
    <format dxfId="81">
      <pivotArea dataOnly="0" labelOnly="1" outline="0" fieldPosition="0">
        <references count="1">
          <reference field="4294967294" count="6">
            <x v="0"/>
            <x v="5"/>
            <x v="6"/>
            <x v="10"/>
            <x v="11"/>
            <x v="12"/>
          </reference>
        </references>
      </pivotArea>
    </format>
    <format dxfId="82">
      <pivotArea field="6" type="button" dataOnly="0" labelOnly="1" outline="0"/>
    </format>
    <format dxfId="83">
      <pivotArea dataOnly="0" labelOnly="1" outline="0" fieldPosition="0">
        <references count="1">
          <reference field="4294967294" count="6">
            <x v="0"/>
            <x v="5"/>
            <x v="6"/>
            <x v="10"/>
            <x v="11"/>
            <x v="12"/>
          </reference>
        </references>
      </pivotArea>
    </format>
    <format dxfId="84">
      <pivotArea outline="0" fieldPosition="0">
        <references count="1">
          <reference field="4294967294" count="1">
            <x v="0"/>
          </reference>
        </references>
      </pivotArea>
    </format>
    <format dxfId="85">
      <pivotArea outline="0" fieldPosition="0">
        <references count="1">
          <reference field="4294967294" count="1">
            <x v="12"/>
          </reference>
        </references>
      </pivotArea>
    </format>
    <format dxfId="86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87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88">
      <pivotArea dataOnly="0" labelOnly="1" outline="0" fieldPosition="0">
        <references count="1">
          <reference field="4294967294" count="2">
            <x v="6"/>
            <x v="10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0">
      <pivotArea collapsedLevelsAreSubtotals="1" fieldPosition="0">
        <references count="2">
          <reference field="4294967294" count="4" selected="0">
            <x v="5"/>
            <x v="6"/>
            <x v="10"/>
            <x v="11"/>
          </reference>
          <reference field="1" count="0"/>
        </references>
      </pivotArea>
    </format>
    <format dxfId="9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2">
      <pivotArea dataOnly="0" labelOnly="1" outline="0" fieldPosition="0">
        <references count="1">
          <reference field="4294967294" count="2">
            <x v="6"/>
            <x v="10"/>
          </reference>
        </references>
      </pivotArea>
    </format>
    <format dxfId="93">
      <pivotArea field="5" type="button" dataOnly="0" labelOnly="1" outline="0" axis="axisRow" fieldPosition="0"/>
    </format>
    <format dxfId="94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">
      <pivotArea outline="0" fieldPosition="0">
        <references count="1">
          <reference field="4294967294" count="1">
            <x v="1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8">
      <pivotArea outline="0" fieldPosition="0">
        <references count="1">
          <reference field="4294967294" count="1">
            <x v="2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0">
      <pivotArea dataOnly="0" outline="0" fieldPosition="0">
        <references count="1">
          <reference field="4294967294" count="1">
            <x v="7"/>
          </reference>
        </references>
      </pivotArea>
    </format>
    <format dxfId="101">
      <pivotArea field="5" type="button" dataOnly="0" labelOnly="1" outline="0" axis="axisRow" fieldPosition="0"/>
    </format>
    <format dxfId="102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03">
      <pivotArea field="5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05">
      <pivotArea outline="0" fieldPosition="0">
        <references count="1">
          <reference field="4294967294" count="1">
            <x v="4"/>
          </reference>
        </references>
      </pivotArea>
    </format>
    <format dxfId="106">
      <pivotArea outline="0" fieldPosition="0">
        <references count="1">
          <reference field="4294967294" count="1">
            <x v="3"/>
          </reference>
        </references>
      </pivotArea>
    </format>
    <format dxfId="107">
      <pivotArea outline="0" fieldPosition="0">
        <references count="1">
          <reference field="4294967294" count="1">
            <x v="7"/>
          </reference>
        </references>
      </pivotArea>
    </format>
    <format dxfId="108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10"/>
            <x v="11"/>
            <x v="12"/>
          </reference>
        </references>
      </pivotArea>
    </format>
    <format dxfId="109">
      <pivotArea outline="0" collapsedLevelsAreSubtotals="1" fieldPosition="0">
        <references count="1">
          <reference field="4294967294" count="2" selected="0">
            <x v="8"/>
            <x v="9"/>
          </reference>
        </references>
      </pivotArea>
    </format>
    <format dxfId="11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111">
      <pivotArea field="7" type="button" dataOnly="0" labelOnly="1" outline="0" axis="axisRow" fieldPosition="1"/>
    </format>
    <format dxfId="112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3">
      <pivotArea field="5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5">
      <pivotArea outline="0" fieldPosition="0">
        <references count="1">
          <reference field="4294967294" count="1">
            <x v="5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9">
      <pivotArea field="5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1">
      <pivotArea field="5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  <v>8</v>
    <v>32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273D0-05ED-4C3B-BC43-6C530D0A06C8}" name="Table23" displayName="Table23" ref="B2:T15" totalsRowShown="0">
  <autoFilter ref="B2:T15" xr:uid="{0069BBAA-7D70-A04F-8B12-FCD385B69CDB}"/>
  <tableColumns count="19">
    <tableColumn id="1" xr3:uid="{8D65A82B-1068-4797-AAE0-675E17295899}" name="Month"/>
    <tableColumn id="2" xr3:uid="{2ADC2336-D24A-49DA-8487-EE6A80EFABB8}" name="Week"/>
    <tableColumn id="3" xr3:uid="{07B69535-3232-4515-A17A-719032CA302A}" name="Date Specifics"/>
    <tableColumn id="4" xr3:uid="{54735FA8-0268-4593-AD8D-5051C7F9FCB0}" name="Project"/>
    <tableColumn id="5" xr3:uid="{67DE64EC-6A0D-482A-8A6E-8FAB9EE08232}" name="Location"/>
    <tableColumn id="6" xr3:uid="{C1F66CC3-E67F-42B3-813C-B23D526BD58E}" name="Total Active Riders"/>
    <tableColumn id="7" xr3:uid="{125239D8-E8DC-43EC-8DC0-77D415D5415F}" name="Total Cups Sold"/>
    <tableColumn id="8" xr3:uid="{6ED8D2B5-B28C-4E9E-804A-06B1411494F6}" name="Total Selling KSJ"/>
    <tableColumn id="9" xr3:uid="{AE2D59A9-EA9A-49C2-B026-4953364B7C69}" name="Total Selling Comission/Sales (Weekly)"/>
    <tableColumn id="10" xr3:uid="{2AD5EACC-B1F0-479D-8184-AA71F71C2629}" name="Total Daily Incentive (Weekly)"/>
    <tableColumn id="11" xr3:uid="{C8101875-FF9C-4A56-A6EB-1BFF9304E065}" name="Total 26 Days Attendance Bonus (Monthly)"/>
    <tableColumn id="12" xr3:uid="{A1A3F325-5F9D-4F52-92D2-D223F931C59E}" name="Total Selling 20Mio Bonus (Monthly)"/>
    <tableColumn id="13" xr3:uid="{8CD6C5A2-620E-403F-B2B0-9EB2F56DEABF}" name="Total Cost Molis (Weekly)"/>
    <tableColumn id="14" xr3:uid="{C4013421-85E7-4D2C-BBFB-6A2C57CFD64F}" name="Total Income Sales (Weekly)"/>
    <tableColumn id="15" xr3:uid="{365A15A3-7020-4EAC-B6BF-FCB9B0D426C8}" name="Total Sharing % (Weekly)"/>
    <tableColumn id="19" xr3:uid="{4BC148D2-D06E-4A31-A204-AA9E818FE0FC}" name="Rider Penalty (Denda to Riders)"/>
    <tableColumn id="16" xr3:uid="{12D0000E-3CEE-40B8-BEFB-FAA288BBE7E6}" name="Total Potongan Moils (Weekly) "/>
    <tableColumn id="17" xr3:uid="{76C634B5-27D1-4AD6-8968-F04E92909E0A}" name="Total Subsidi Molis KSJ (Monthly)"/>
    <tableColumn id="20" xr3:uid="{2082BDA9-4A3E-409F-B610-6B70CA1204BC}" name="Profit" dataDxfId="79">
      <calculatedColumnFormula>SUM(Table23[[#This Row],[Total Sharing % (Weekly)]:[Total Subsidi Molis KSJ (Monthly)]])-SUM(Table23[[#This Row],[Total Selling Comission/Sales (Weekly)]:[Total Income Sales (Weekly)]])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A47EDC-E516-47B3-8E74-EF060D2628AF}" name="Table4" displayName="Table4" ref="A3:AK4" totalsRowShown="0">
  <autoFilter ref="A3:AK4" xr:uid="{FEA47EDC-E516-47B3-8E74-EF060D2628AF}"/>
  <tableColumns count="37">
    <tableColumn id="1" xr3:uid="{51EA253C-9322-43AD-A87B-231FF7281D80}" name="Year"/>
    <tableColumn id="2" xr3:uid="{0E363725-9393-461E-BB50-B257F20E66A7}" name="Client Name"/>
    <tableColumn id="3" xr3:uid="{9DB97D23-B899-4792-B0CA-E163296951C2}" name="Project"/>
    <tableColumn id="4" xr3:uid="{FE2A5452-6469-4468-873A-00F27B1F49D2}" name="Client Level"/>
    <tableColumn id="5" xr3:uid="{384E8630-12C6-4F58-88D0-37430E3E64FD}" name="Blitz Team"/>
    <tableColumn id="6" xr3:uid="{965DC603-8EE9-4121-9EC4-9ADE5623508E}" name="Client Location"/>
    <tableColumn id="7" xr3:uid="{A764B9B8-06E5-4A52-A448-5B364EBD0AF3}" name="Week (by Year)"/>
    <tableColumn id="8" xr3:uid="{28E9E52D-73A3-48B0-B062-FAA607057186}" name="Month"/>
    <tableColumn id="9" xr3:uid="{B9BB0484-8250-4C1C-A4DE-7F02B169EDB3}" name="Week (by Month)"/>
    <tableColumn id="10" xr3:uid="{6EFF628F-D2CB-4509-B06C-E914DF3B08C4}" name="Date Range"/>
    <tableColumn id="11" xr3:uid="{709BEBA0-01F7-4A54-B248-460C9CB3BFB9}" name="Total Active Riders"/>
    <tableColumn id="12" xr3:uid="{4E6B8AC7-9543-4EB3-9B7A-DD5BE4529560}" name="Total Cups Sold"/>
    <tableColumn id="13" xr3:uid="{DE4558EF-6DD8-4921-8A8F-52696CFA39FB}" name="Total Selling (Clients Revenue)"/>
    <tableColumn id="14" xr3:uid="{A632FDBE-299A-45DF-8BDB-D2DA3048DC48}" name="Total Selling Comission/Sales (Weekly)"/>
    <tableColumn id="15" xr3:uid="{04638737-089D-4700-BB1E-825FDEE646EE}" name="Total Daily Incentive (Weekly)"/>
    <tableColumn id="16" xr3:uid="{A7528711-1A31-41A0-B61F-97372BACF800}" name="Total 26 Days Attendance Bonus (Monthly)"/>
    <tableColumn id="17" xr3:uid="{0DD84FCD-64C9-420E-8B80-6A9176FDBAD1}" name="Referral"/>
    <tableColumn id="18" xr3:uid="{BB7514C3-58A8-43C9-AE3F-887DFE7A3E1D}" name="Total Selling 20Mio Bonus (Monthly)"/>
    <tableColumn id="19" xr3:uid="{CC8338B4-5C4F-4837-B0D1-7E97BDEA14B0}" name="Bonus+Beras"/>
    <tableColumn id="20" xr3:uid="{80BB5019-0D90-498C-B6E3-E2CCB679629E}" name="Total Income Sales (Weekly)"/>
    <tableColumn id="21" xr3:uid="{387EBA48-6455-458C-AAC0-A6D119BF9E3A}" name="Manpower (Korlap)"/>
    <tableColumn id="22" xr3:uid="{E193BFD2-2B83-42AD-9D86-AAFF64D19AD3}" name="Total Cost Molis (Weekly)"/>
    <tableColumn id="23" xr3:uid="{06C7C697-087F-489A-8BC1-F4D848214614}" name="Cost Claim"/>
    <tableColumn id="24" xr3:uid="{EFB87AFF-7782-4B39-99B8-07C7A76EC207}" name="Storing Cost"/>
    <tableColumn id="25" xr3:uid="{DC05CD13-0094-4F54-8260-4993C91506C8}" name="Total Operational Cost"/>
    <tableColumn id="26" xr3:uid="{24EEC414-3082-48D9-A977-425879E2C5D4}" name="Total Revenue Sharing % (Weekly)"/>
    <tableColumn id="27" xr3:uid="{E33B9F23-5442-419A-A765-E479A18AD241}" name="Total Potongan Molis (Weekly) "/>
    <tableColumn id="28" xr3:uid="{9D790D5A-83B8-4361-938C-5961DB3A33FF}" name="Total Subsidi Molis KSJ (Monthly)"/>
    <tableColumn id="29" xr3:uid="{6C3957FD-28F3-4623-8A54-1242C5B605CD}" name="Biaya Registrasi"/>
    <tableColumn id="30" xr3:uid="{09596748-6846-447A-A1AD-21DA5E650DAD}" name="Rider Penalty (Claim, Other Denda to Riders)"/>
    <tableColumn id="31" xr3:uid="{13FEFF25-2237-4DDA-8192-CA0C24D7EDFC}" name="Total Revenue"/>
    <tableColumn id="32" xr3:uid="{0A1A32D9-E503-4DFC-A7B0-837542F9B336}" name="Profit"/>
    <tableColumn id="33" xr3:uid="{D7DCB5F4-997B-41C9-8FD8-8212983B0112}" name="Delivery PV"/>
    <tableColumn id="34" xr3:uid="{A99506B7-EAF2-4D7A-8926-DCE36CC7AF08}" name="Delivery Only PnL"/>
    <tableColumn id="35" xr3:uid="{A936770B-AA36-4D81-A344-A9B7EC90DE06}" name="EV Related PV"/>
    <tableColumn id="36" xr3:uid="{56EC0A60-BF95-47D9-914A-E61AE4079EBC}" name="EV Related Only PnL "/>
    <tableColumn id="37" xr3:uid="{856CF327-C177-498D-B296-B99A1B98BC67}" name="Supporting Doc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802DBA-DD1A-43C6-AE9A-A169492D2CA0}" name="Table6" displayName="Table6" ref="A3:AK4" totalsRowShown="0">
  <autoFilter ref="A3:AK4" xr:uid="{D8802DBA-DD1A-43C6-AE9A-A169492D2CA0}"/>
  <tableColumns count="37">
    <tableColumn id="1" xr3:uid="{0640CA8B-E28B-46DF-9759-E1E22DFA540B}" name="Year"/>
    <tableColumn id="2" xr3:uid="{C7E258EE-1FD4-426F-8893-3BEB2B59B406}" name="Client Name"/>
    <tableColumn id="3" xr3:uid="{47609269-9075-4144-8AC7-E4A58CDCD429}" name="Project"/>
    <tableColumn id="4" xr3:uid="{9B5B36C1-3D93-4A1A-A5B2-BE8CE5E5AE86}" name="Client Level"/>
    <tableColumn id="5" xr3:uid="{8A6E40A7-1E7A-4A43-93DE-BF8AE3065AF9}" name="Blitz Team"/>
    <tableColumn id="6" xr3:uid="{AAB58C1D-A650-4791-9182-1EB8F31A0B93}" name="Client Location"/>
    <tableColumn id="7" xr3:uid="{F661954A-3410-414C-83D3-1AFDFD304CEC}" name="Week (by Year)"/>
    <tableColumn id="8" xr3:uid="{BCBC8281-91A8-49EC-9A54-F7DF9306CB09}" name="Month"/>
    <tableColumn id="9" xr3:uid="{E2D5E9C4-79D6-49C6-89FA-767D04A36026}" name="Week (by Month)"/>
    <tableColumn id="10" xr3:uid="{826D170D-D66A-4AB6-AA72-BB20C6B407C8}" name="Date Range"/>
    <tableColumn id="11" xr3:uid="{8A8564EE-8CD0-44A5-A5C2-D7C15EC24B02}" name="Total Active Riders"/>
    <tableColumn id="12" xr3:uid="{0C402967-9212-4858-93D6-954450BDB3B8}" name="Total Cups Sold"/>
    <tableColumn id="13" xr3:uid="{3616D27B-57C6-4EA6-8FBF-DA774816FCAD}" name="Total Selling (Clients Revenue)"/>
    <tableColumn id="14" xr3:uid="{7BE6BED6-5318-4612-9F80-F98FA92BCDD4}" name="Total Selling Comission/Sales (Weekly)"/>
    <tableColumn id="15" xr3:uid="{254A6DDE-E0A3-4750-AA47-393E3B94BA87}" name="Total Daily Incentive (Weekly)"/>
    <tableColumn id="16" xr3:uid="{5396CA9A-BE70-418E-9A91-540C54C11186}" name="Total 26 Days Attendance Bonus (Monthly)"/>
    <tableColumn id="17" xr3:uid="{5A1FE3FB-45E1-4CA5-8EB2-8B210776341F}" name="Referral"/>
    <tableColumn id="18" xr3:uid="{D61BC079-DA9A-4B19-BC21-22965BF7DC40}" name="Total Selling 20Mio Bonus (Monthly)"/>
    <tableColumn id="19" xr3:uid="{7D25465B-F7E2-428A-99D2-1B709B8C5602}" name="Bonus+Beras"/>
    <tableColumn id="20" xr3:uid="{8F5C7ADA-53F5-4F42-814A-2C0BDC9A8971}" name="Total Income Sales (Weekly)"/>
    <tableColumn id="21" xr3:uid="{C60D35BC-F139-4E60-83D3-B05ABC4203B2}" name="Manpower (Korlap)"/>
    <tableColumn id="22" xr3:uid="{0F2F04E7-4317-4DD8-879B-EB66F914EE7C}" name="Total Cost Molis (Weekly)"/>
    <tableColumn id="23" xr3:uid="{31BADA5F-3B75-4419-9CA5-E52F58B3553A}" name="Cost Claim"/>
    <tableColumn id="24" xr3:uid="{33AF0DAB-C577-42D4-835E-30FE9A9B929A}" name="Storing Cost"/>
    <tableColumn id="25" xr3:uid="{720191A6-3E83-429F-8D87-3C5361935880}" name="Total Operational Cost"/>
    <tableColumn id="26" xr3:uid="{1DD147CB-52B3-4FD7-A749-1A5713EE1071}" name="Total Revenue Sharing % (Weekly)"/>
    <tableColumn id="27" xr3:uid="{F6C2244B-3FD6-4B01-9698-BF6A84A0446E}" name="Total Potongan Molis (Weekly) "/>
    <tableColumn id="28" xr3:uid="{8D0CEA13-399E-49F0-A614-7A3036B2D277}" name="Total Subsidi Molis KSJ (Monthly)"/>
    <tableColumn id="29" xr3:uid="{88366B39-5634-4BDE-81E4-A24E7233FCDB}" name="Biaya Registrasi"/>
    <tableColumn id="30" xr3:uid="{1BEB8003-2A0E-4864-904D-C8EC9FB02187}" name="Rider Penalty (Claim, Other Denda to Riders)"/>
    <tableColumn id="31" xr3:uid="{1435599D-4DF9-4048-B478-4CBECEEBE5AD}" name="Total Revenue"/>
    <tableColumn id="32" xr3:uid="{AB6F8F5F-0062-402B-8575-EA029F6899C4}" name="Profit"/>
    <tableColumn id="33" xr3:uid="{7D0D321E-E642-4AA7-AE5E-D8C6A0EC3BDC}" name="Delivery PV"/>
    <tableColumn id="34" xr3:uid="{679B9BED-B103-4239-9A5A-65B969F6847F}" name="Delivery Only PnL"/>
    <tableColumn id="35" xr3:uid="{3C97CCEC-D06B-483F-BD0E-5220357D6A8F}" name="EV Related PV"/>
    <tableColumn id="36" xr3:uid="{9F152FC2-EC03-4002-9F85-819EE72D6BF9}" name="EV Related Only PnL "/>
    <tableColumn id="37" xr3:uid="{E21805C9-1106-45FE-8ABF-D89286F73ABF}" name="Supporting Do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454C85-67F7-1442-A9C0-0C4FB1B60FFD}" name="Table5" displayName="Table5" ref="A1:AK726" totalsRowShown="0" headerRowDxfId="78" totalsRowDxfId="77" tableBorderDxfId="76">
  <autoFilter ref="A1:AK726" xr:uid="{10454C85-67F7-1442-A9C0-0C4FB1B60FFD}">
    <filterColumn colId="0">
      <filters>
        <filter val="2026"/>
      </filters>
    </filterColumn>
  </autoFilter>
  <tableColumns count="37">
    <tableColumn id="1" xr3:uid="{0E86307C-7A76-AC42-8C40-7A8911522FD9}" name="Year" totalsRowDxfId="75"/>
    <tableColumn id="2" xr3:uid="{D54F04E3-5994-FB48-B06B-716B3A10895A}" name="Client Name" totalsRowDxfId="74"/>
    <tableColumn id="3" xr3:uid="{0FC59A7A-9B71-BF46-AD01-EE91DD1AF99A}" name="Project" totalsRowDxfId="73"/>
    <tableColumn id="4" xr3:uid="{D3C5A396-7767-0C4A-A480-FA637A21B068}" name="Client Level" totalsRowDxfId="72"/>
    <tableColumn id="5" xr3:uid="{D3A17CA0-A70A-5542-A703-10DE121F01DB}" name="Blitz Team" totalsRowDxfId="71"/>
    <tableColumn id="6" xr3:uid="{F37B1F23-15FB-4A4B-AA64-024D22A1E668}" name="Client Location" totalsRowDxfId="70"/>
    <tableColumn id="7" xr3:uid="{A040FD18-2CAB-C144-A02B-EF553624E3FA}" name="Week (by Year)" totalsRowDxfId="69"/>
    <tableColumn id="8" xr3:uid="{99979759-2E63-D94D-BD50-1F6476C1FE6C}" name="Month" totalsRowDxfId="68"/>
    <tableColumn id="9" xr3:uid="{125496BB-0FFB-C946-AB5B-07733EF5B7CC}" name="Week (by Month)" totalsRowDxfId="67"/>
    <tableColumn id="10" xr3:uid="{42FA5F4A-B9A7-0B41-931C-A5A1856EA907}" name="Date Range" totalsRowDxfId="66"/>
    <tableColumn id="11" xr3:uid="{E8417761-F888-D042-8429-E636E27208E8}" name="Total Active Riders" totalsRowDxfId="65"/>
    <tableColumn id="12" xr3:uid="{7E50B5B5-B265-DF45-8F50-88C6A1C30677}" name="Total Cups Sold" totalsRowDxfId="64"/>
    <tableColumn id="13" xr3:uid="{16272701-6B60-8544-9549-D5895BD16FF4}" name="Total Selling (Clients Revenue)" totalsRowDxfId="63"/>
    <tableColumn id="14" xr3:uid="{6D18AC70-E508-BD49-8B44-0C160506B917}" name="Total Selling Comission/Sales (Weekly)" totalsRowDxfId="62"/>
    <tableColumn id="15" xr3:uid="{05805508-BD84-7A45-9BA3-93CB178C61C0}" name="Total Daily Incentive (Weekly)" totalsRowDxfId="61"/>
    <tableColumn id="16" xr3:uid="{B39E5C54-E749-7141-805A-9700FD8A5ABF}" name="Total 26 Days Attendance Bonus (Monthly)" totalsRowDxfId="60"/>
    <tableColumn id="37" xr3:uid="{B01E224D-3C4F-40EB-B3D2-341D1D71BC34}" name="Referral" totalsRowDxfId="59"/>
    <tableColumn id="17" xr3:uid="{AA38B096-33D6-2B40-AC06-7E97C3727399}" name="Total Selling 20Mio Bonus (Monthly)" totalsRowDxfId="58"/>
    <tableColumn id="38" xr3:uid="{68F1E4D8-B70E-4D66-BF73-76B4BCD0F93D}" name="Bonus+Beras" totalsRowDxfId="57"/>
    <tableColumn id="18" xr3:uid="{7485FC2B-5554-BB45-95C0-580F7A4E2070}" name="Total Income Sales (Weekly)" totalsRowDxfId="56">
      <calculatedColumnFormula>SUM(N2:R2)</calculatedColumnFormula>
    </tableColumn>
    <tableColumn id="19" xr3:uid="{0B6663A0-B7DA-9944-86C4-B05BC0EA7137}" name="Manpower (Korlap)" totalsRowDxfId="55"/>
    <tableColumn id="20" xr3:uid="{89A1598A-C1C6-A34D-8C9E-B27A46AD119C}" name="Total Cost Molis (Weekly)" totalsRowDxfId="54"/>
    <tableColumn id="33" xr3:uid="{2949F6C8-126B-4301-9FA1-251D05FDE831}" name="Cost Claim" totalsRowDxfId="53"/>
    <tableColumn id="21" xr3:uid="{015B8FEE-99C4-A54F-BE18-6AE608C3392B}" name="Storing Cost" totalsRowDxfId="52"/>
    <tableColumn id="22" xr3:uid="{4B404744-CC54-AD44-B368-88F09AF02047}" name="Total Operational Cost" totalsRowDxfId="51">
      <calculatedColumnFormula>SUM(U2:X2)</calculatedColumnFormula>
    </tableColumn>
    <tableColumn id="23" xr3:uid="{5BBBD32E-7ED4-794D-B9F4-2C5DEBD1535C}" name="Total Revenue Sharing % (Weekly)" totalsRowDxfId="50">
      <calculatedColumnFormula>23%*M2</calculatedColumnFormula>
    </tableColumn>
    <tableColumn id="24" xr3:uid="{5B432A5C-D726-044E-8FFC-30D8AF0616EB}" name="Total Potongan Molis (Weekly) " totalsRowDxfId="49"/>
    <tableColumn id="25" xr3:uid="{75591B4C-E7A8-5540-8D6C-02F6351EA2A9}" name="Total Subsidi Molis KSJ (Monthly)" totalsRowDxfId="48"/>
    <tableColumn id="35" xr3:uid="{E8AF1C3D-559D-42B3-AA14-C8D6E8BF15C1}" name="Biaya Registrasi" totalsRowDxfId="47"/>
    <tableColumn id="26" xr3:uid="{0084F6DE-6221-1743-98FD-5EFC3A179D37}" name="Rider Penalty (Claim, Other Denda to Riders)" totalsRowDxfId="46"/>
    <tableColumn id="27" xr3:uid="{5685F591-4F46-E447-A728-D1671940C8E8}" name="Total Revenue" totalsRowDxfId="45">
      <calculatedColumnFormula>SUM(Z2:AD2)</calculatedColumnFormula>
    </tableColumn>
    <tableColumn id="28" xr3:uid="{81151CBA-0AC2-7A43-8F63-3E58623A0022}" name="Profit" totalsRowDxfId="44">
      <calculatedColumnFormula>AE2-(T2+Y2)</calculatedColumnFormula>
    </tableColumn>
    <tableColumn id="29" xr3:uid="{B7FF3515-7150-2D4E-B543-8321C2663551}" name="Delivery PV" totalsRowDxfId="43">
      <calculatedColumnFormula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calculatedColumnFormula>
    </tableColumn>
    <tableColumn id="30" xr3:uid="{2D2C4117-E763-7348-AA4F-6EA829A0F9D6}" name="Delivery Only PnL" totalsRowDxfId="42">
      <calculatedColumnFormula>IFERROR(AG2/(Z2+Table5[[#This Row],[Rider Penalty (Claim, Other Denda to Riders)]]),0)</calculatedColumnFormula>
    </tableColumn>
    <tableColumn id="31" xr3:uid="{373055A0-AC20-EB45-9767-66FBF4BB413C}" name="EV Related PV" totalsRowDxfId="41">
      <calculatedColumnFormula>AA2+AB2-V2</calculatedColumnFormula>
    </tableColumn>
    <tableColumn id="32" xr3:uid="{9B879EFA-CB69-0D48-A6B0-D70E371EB8B7}" name="EV Related Only PnL " totalsRowDxfId="40">
      <calculatedColumnFormula>IFERROR(AI2/(AA2+AB2),0)</calculatedColumnFormula>
    </tableColumn>
    <tableColumn id="34" xr3:uid="{9D5B54C6-7860-4664-B83F-C1EEFEFE497B}" name="Supporting Docs" totalsRow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A2941-86E0-5E4F-937A-D868B61A36F3}" name="Table2" displayName="Table2" ref="B2:AF121" totalsRowCount="1" headerRowDxfId="38">
  <autoFilter ref="B2:AF120" xr:uid="{0069BBAA-7D70-A04F-8B12-FCD385B69CDB}">
    <filterColumn colId="0">
      <filters blank="1">
        <filter val="2025"/>
      </filters>
    </filterColumn>
  </autoFilter>
  <tableColumns count="31">
    <tableColumn id="22" xr3:uid="{BF7ACB39-AC10-D94E-A5B0-E70935E1A13F}" name="Year"/>
    <tableColumn id="30" xr3:uid="{022F1AE2-6D57-46D6-85B1-952330BF6A85}" name="Client Name" dataDxfId="37"/>
    <tableColumn id="4" xr3:uid="{86DB1101-8612-DB44-A3D9-073AB9C174BA}" name="Project" dataDxfId="36"/>
    <tableColumn id="31" xr3:uid="{EFA3E2D3-4EFF-40ED-AA26-766C8E6CBA15}" name="Client Level"/>
    <tableColumn id="32" xr3:uid="{C3FB46BC-13A7-4AE4-AD18-7ACD20439B8F}" name="Blitz Team"/>
    <tableColumn id="5" xr3:uid="{04D152DB-EDE9-3046-B11D-7EE8FEB416BF}" name="Client Location" totalsRowDxfId="35"/>
    <tableColumn id="33" xr3:uid="{5CE6244F-10CB-4899-B93D-F1465BBB68B9}" name="Week (by Year)" totalsRowDxfId="34"/>
    <tableColumn id="1" xr3:uid="{792E8BD9-FEDF-CC4C-BB76-609A898889C4}" name="Month"/>
    <tableColumn id="2" xr3:uid="{5347D1E8-576F-6345-90F6-95831E282A2B}" name="Week (by Month)"/>
    <tableColumn id="3" xr3:uid="{4F204901-88B0-E745-8C7E-39B951379067}" name="Date Range" dataDxfId="32" totalsRowDxfId="33"/>
    <tableColumn id="6" xr3:uid="{8EA90F5A-152F-FE41-8570-9B5D1F0176E7}" name="Total Active Riders" totalsRowDxfId="31"/>
    <tableColumn id="7" xr3:uid="{16D379DE-CADC-FF4F-B5B0-E6E04ACB1FC0}" name="Total Cups Sold" totalsRowDxfId="30"/>
    <tableColumn id="8" xr3:uid="{077F09A3-99F3-1841-BF50-D5EF3CEC624E}" name="Total Selling" dataDxfId="28" totalsRowDxfId="29"/>
    <tableColumn id="9" xr3:uid="{7EAFFE04-D493-8F40-B106-D45B7625236C}" name="Total Selling Comission/Sales (Weekly)" totalsRowDxfId="27"/>
    <tableColumn id="10" xr3:uid="{1223E255-73E2-B44F-98C1-F4C0B869573F}" name="Total Daily Incentive (Weekly)" totalsRowDxfId="26"/>
    <tableColumn id="11" xr3:uid="{BAF78318-F1CD-0F4C-8721-0BE52FD9B488}" name="Total 26 Days Attendance Bonus (Monthly)" totalsRowDxfId="25"/>
    <tableColumn id="12" xr3:uid="{057D82B4-A2E4-BE45-B250-00019C4CDF79}" name="Total Selling 20Mio Bonus (Monthly)" totalsRowDxfId="24"/>
    <tableColumn id="24" xr3:uid="{8358D125-97CF-C247-A6FB-D21CB097F3A4}" name="Manpower (Korlap)" dataDxfId="22" totalsRowDxfId="23"/>
    <tableColumn id="13" xr3:uid="{8B5B6755-79FB-A947-9EF8-350D19C73D28}" name="Total Cost Molis (Weekly)" totalsRowDxfId="21"/>
    <tableColumn id="14" xr3:uid="{43BBBDAB-45AB-3940-9472-FA22D658CCF6}" name="Total Income Sales (Weekly)" dataDxfId="19" totalsRowDxfId="20"/>
    <tableColumn id="23" xr3:uid="{D59E540C-76ED-41DE-9E1F-7370A5DFEE1A}" name="Storing Cost" dataDxfId="17" totalsRowDxfId="18"/>
    <tableColumn id="15" xr3:uid="{004EB2A2-7947-E14D-BE66-EF8517208807}" name="Total Sharing % (Weekly)" totalsRowDxfId="16"/>
    <tableColumn id="19" xr3:uid="{BF4349E0-E241-4C59-A353-766A23C471D4}" name="Rider Penalty (Denda to Riders)" totalsRowDxfId="15"/>
    <tableColumn id="16" xr3:uid="{5A94EF35-FC5E-854E-972A-E37C8BFCF196}" name="Total Potongan Moils (Weekly) " totalsRowDxfId="14"/>
    <tableColumn id="17" xr3:uid="{1FFB49B6-8FF0-CF42-998C-54EC41794329}" name="Total Subsidi Molis KSJ (Monthly)" totalsRowDxfId="13"/>
    <tableColumn id="20" xr3:uid="{A10D8607-768E-4C64-9ABC-E562AA74C20A}" name="Profit" dataDxfId="11" totalsRowDxfId="12">
      <calculatedColumnFormula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calculatedColumnFormula>
    </tableColumn>
    <tableColumn id="25" xr3:uid="{1996EEE6-9AFA-4E43-B90C-EB4F4F455F20}" name="Delivery PV" dataDxfId="9" totalsRowDxfId="10">
      <calculatedColumnFormula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calculatedColumnFormula>
    </tableColumn>
    <tableColumn id="26" xr3:uid="{A46765F1-9313-6D4F-8FD1-1C67D5BCA50F}" name="Delivery Only PnL" dataDxfId="7" totalsRowDxfId="8">
      <calculatedColumnFormula>IFERROR(Table2[[#This Row],[Delivery PV]]/(Table2[[#This Row],[Total Sharing % (Weekly)]]+Table2[[#This Row],[Rider Penalty (Denda to Riders)]]),0)</calculatedColumnFormula>
    </tableColumn>
    <tableColumn id="27" xr3:uid="{B926D5F3-8106-9141-A13B-FA720D21F748}" name="EV Related PV" dataDxfId="5" totalsRowDxfId="6">
      <calculatedColumnFormula>SUM(Table2[[#This Row],[Total Potongan Moils (Weekly) ]:[Total Subsidi Molis KSJ (Monthly)]])-Table2[[#This Row],[Total Cost Molis (Weekly)]]</calculatedColumnFormula>
    </tableColumn>
    <tableColumn id="18" xr3:uid="{3D8C753F-F0B0-4447-AEF4-D34B2EB7E97E}" name="EV Related Only PnL " dataDxfId="3" totalsRowDxfId="4">
      <calculatedColumnFormula>IFERROR(Table2[[#This Row],[EV Related PV]]/(Table2[[#This Row],[Total Potongan Moils (Weekly) ]]+Table2[[#This Row],[Total Subsidi Molis KSJ (Monthly)]]),-1)</calculatedColumnFormula>
    </tableColumn>
    <tableColumn id="21" xr3:uid="{69094A18-A143-464C-90C9-A3BA4A47D1FF}" name="Supporting Docs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88FAE-09E8-444E-8BD9-82698F8A81DE}" name="Table3" displayName="Table3" ref="AI2:AJ13" totalsRowShown="0" headerRowDxfId="2" headerRowBorderDxfId="0" tableBorderDxfId="1">
  <autoFilter ref="AI2:AJ13" xr:uid="{77488FAE-09E8-444E-8BD9-82698F8A81DE}"/>
  <tableColumns count="2">
    <tableColumn id="1" xr3:uid="{417EBC5F-B26C-9A46-8BD0-819F149F2575}" name="Project List"/>
    <tableColumn id="2" xr3:uid="{0CCA8244-7D1F-9349-B64F-EF7BAFEA9F26}" name="Location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5" dT="2025-07-31T14:01:55.63" personId="{0BE983EB-D98B-412D-9B54-9878D949664B}" id="{74169752-6C1F-44A4-8D45-48602A08AA40}">
    <text>Total actual figure takes the number of drivers for all Mobile sellers during the last week of the month</text>
  </threadedComment>
  <threadedComment ref="DY5" dT="2025-07-31T14:01:55.63" personId="{0BE983EB-D98B-412D-9B54-9878D949664B}" id="{A8D0E46A-6596-7843-BF98-7F1F730EBCF2}">
    <text>Total actual figure takes the number of drivers for all Mobile sellers during the last week of the month</text>
  </threadedComment>
  <threadedComment ref="EQ5" dT="2025-07-31T14:01:55.63" personId="{0BE983EB-D98B-412D-9B54-9878D949664B}" id="{D436788A-7E4C-D646-AE7C-49E8A73E1A9F}">
    <text>Total actual figure takes the number of drivers for all Mobile sellers during the last week of the month</text>
  </threadedComment>
  <threadedComment ref="FK5" dT="2025-07-31T14:01:55.63" personId="{0BE983EB-D98B-412D-9B54-9878D949664B}" id="{3DB8FD6D-7B67-4B3D-A3B8-592A87C536CE}">
    <text>Total actual figure takes the number of drivers for all Mobile sellers during the last week of the month</text>
  </threadedComment>
  <threadedComment ref="GT6" dT="2025-07-31T14:01:55.63" personId="{0BE983EB-D98B-412D-9B54-9878D949664B}" id="{1E9E921C-6EBF-104B-9351-FA03C92B0316}">
    <text>Total actual figure takes the number of drivers for all Mobile sellers during the last week of the month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5" dT="2025-07-31T14:01:55.63" personId="{0BE983EB-D98B-412D-9B54-9878D949664B}" id="{BD026D1A-9C79-0941-90E3-BE902BAFEB9A}">
    <text>Total actual figure takes the number of drivers for all Mobile sellers during the last week of the month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26" dT="2025-01-30T02:59:51.80" personId="{1B7269D0-4579-46EF-9021-5BA95B5B2960}" id="{E2C8DA90-D470-4C60-81AD-0A98B9D69CFB}">
    <text xml:space="preserve">Masih perlu konfirmasi dengan team lapangan (Anwar)
</text>
  </threadedComment>
  <threadedComment ref="W27" dT="2025-02-11T06:08:43.77" personId="{F3E8D733-06A0-8942-92E8-88B53C45031E}" id="{167C23C6-94EE-2B40-AE15-6934A57B71CE}">
    <text>@Wevi Yolasari Sitanggang untuk Kopi pas Kantong, 23% juga ya profit sharing nya? 
cc @Charles @Theo Pattipeiluhu</text>
    <mentions>
      <mention mentionpersonId="{DC70F91C-2EC3-774D-822D-AEC37F022D3C}" mentionId="{812EC3C7-DEC1-8C4D-B54E-8CF2511A9A63}" startIndex="0" length="25"/>
      <mention mentionpersonId="{6367F323-4273-724E-827B-D8480EFF33F7}" mentionId="{AB2C767E-88A2-6F46-9DB4-B0FF74B566FF}" startIndex="87" length="8"/>
      <mention mentionpersonId="{00C0C291-D7D0-664A-A24B-0F6FA7080D25}" mentionId="{127A3396-4359-8349-95B3-BEDBF37973AD}" startIndex="96" length="18"/>
    </mentions>
  </threadedComment>
  <threadedComment ref="W27" dT="2025-02-11T07:36:04.94" personId="{EEC76CA4-C51E-114C-928C-D5B33F6D8B58}" id="{7F7E44FA-A019-4807-B9FE-9404A99C7411}" parentId="{167C23C6-94EE-2B40-AE15-6934A57B71CE}">
    <text>@Wevi Yolasari Sitanggang KPK bukannya harusnya 25% ya?</text>
    <mentions>
      <mention mentionpersonId="{DC70F91C-2EC3-774D-822D-AEC37F022D3C}" mentionId="{AAB398FA-41FD-4EAC-B7D2-E0872706B3AB}" startIndex="0" length="25"/>
    </mentions>
  </threadedComment>
  <threadedComment ref="W32" dT="2025-02-11T06:09:08.52" personId="{F3E8D733-06A0-8942-92E8-88B53C45031E}" id="{ECB6452A-497D-5643-AF8B-BA0B8C05836C}">
    <text>ini juga ya? just checking rumus nya @Wevi Yolasari Sitanggang</text>
    <mentions>
      <mention mentionpersonId="{DC70F91C-2EC3-774D-822D-AEC37F022D3C}" mentionId="{86C2DB42-5C5E-A24F-92B2-3447E8E1584B}" startIndex="37" length="25"/>
    </mentions>
  </threadedComment>
  <threadedComment ref="W85" dT="2025-01-30T02:59:51.80" personId="{1B7269D0-4579-46EF-9021-5BA95B5B2960}" id="{7B01D306-FA14-3D43-A473-CD129DAF46F2}">
    <text xml:space="preserve">Masih perlu konfirmasi dengan team lapangan (Anwar)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vmlDrawing" Target="../drawings/vmlDrawing1.v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microsoft.com/office/2017/10/relationships/threadedComment" Target="../threadedComments/threadedComment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ivotTable" Target="../pivotTables/pivotTable21.xml"/><Relationship Id="rId7" Type="http://schemas.openxmlformats.org/officeDocument/2006/relationships/vmlDrawing" Target="../drawings/vmlDrawing2.v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Relationship Id="rId9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4.xml"/><Relationship Id="rId3" Type="http://schemas.openxmlformats.org/officeDocument/2006/relationships/pivotTable" Target="../pivotTables/pivotTable29.xml"/><Relationship Id="rId7" Type="http://schemas.openxmlformats.org/officeDocument/2006/relationships/pivotTable" Target="../pivotTables/pivotTable33.xml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6" Type="http://schemas.openxmlformats.org/officeDocument/2006/relationships/pivotTable" Target="../pivotTables/pivotTable32.xml"/><Relationship Id="rId5" Type="http://schemas.openxmlformats.org/officeDocument/2006/relationships/pivotTable" Target="../pivotTables/pivotTable31.xml"/><Relationship Id="rId4" Type="http://schemas.openxmlformats.org/officeDocument/2006/relationships/pivotTable" Target="../pivotTables/pivot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Relationship Id="rId4" Type="http://schemas.openxmlformats.org/officeDocument/2006/relationships/pivotTable" Target="../pivotTables/pivotTable38.xm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:x:/s/Operations/ETYQgMxolv9GnTelbvcOkwEB-8ZRN_Szf5JLLdNumIpOkg?e=ioUh1q" TargetMode="External"/><Relationship Id="rId21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2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63" Type="http://schemas.openxmlformats.org/officeDocument/2006/relationships/hyperlink" Target="../../../../../:x:/s/Operations/EUEPdDDugBdEip01UPkYVhAB4-k-GQcHmA5ikjix36pQ4Q?e=toxqYe" TargetMode="External"/><Relationship Id="rId84" Type="http://schemas.openxmlformats.org/officeDocument/2006/relationships/hyperlink" Target="../../../../../:x:/s/Operations/ERZ9UCA9T2BHugI033rXxDMBy5hyH5uym2WlOiSq9wY_Wg?e=EfYbTb" TargetMode="External"/><Relationship Id="rId138" Type="http://schemas.openxmlformats.org/officeDocument/2006/relationships/hyperlink" Target="../../../../../:x:/s/Operations/EVksXWO_U_tLvA0kL9vDmoQB8wkMButCVMBDeHcId2EsOQ?e=3GVf9f" TargetMode="External"/><Relationship Id="rId159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170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107" Type="http://schemas.openxmlformats.org/officeDocument/2006/relationships/hyperlink" Target="../../../../../:x:/s/Operations/EenDulgQe4FMnt-O1tW-5-QBK7WLtxivzlBzWk0ifZjglg?e=ETXZJO" TargetMode="External"/><Relationship Id="rId11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2" Type="http://schemas.openxmlformats.org/officeDocument/2006/relationships/hyperlink" Target="../../../../../:x:/s/Operations/EexpFc8FXJxEoDCcXTTTiigBghmWB5f5dSD4MTB8fwm_jw?e=qammBQ" TargetMode="External"/><Relationship Id="rId53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74" Type="http://schemas.openxmlformats.org/officeDocument/2006/relationships/hyperlink" Target="../../../../../:x:/s/Operations/EfWzC_kXZe9LsSZogPLb_voBxs9bXf2io7xRTTKFkd_tdg?e=0eUpKI" TargetMode="External"/><Relationship Id="rId128" Type="http://schemas.openxmlformats.org/officeDocument/2006/relationships/hyperlink" Target="../../../../../:x:/s/Operations/EUPmdUxhaoNBqiF9x4p-CywB_9Tibx1vGRfiqABHd5uFIA?e=C4glqn" TargetMode="External"/><Relationship Id="rId149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5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95" Type="http://schemas.openxmlformats.org/officeDocument/2006/relationships/hyperlink" Target="../../../../../:x:/s/Operations/EWIzu5mxB6BBqpgX9CzU6DkBgKzHB0Q_EO1vXfJmTu-fag?e=HrIP6q" TargetMode="External"/><Relationship Id="rId160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22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3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64" Type="http://schemas.openxmlformats.org/officeDocument/2006/relationships/hyperlink" Target="../../../../../:x:/s/Operations/EUEPdDDugBdEip01UPkYVhAB4-k-GQcHmA5ikjix36pQ4Q?e=toxqYe" TargetMode="External"/><Relationship Id="rId118" Type="http://schemas.openxmlformats.org/officeDocument/2006/relationships/hyperlink" Target="../../../../../:x:/s/Operations/ETYQgMxolv9GnTelbvcOkwEB-8ZRN_Szf5JLLdNumIpOkg?e=ioUh1q" TargetMode="External"/><Relationship Id="rId139" Type="http://schemas.openxmlformats.org/officeDocument/2006/relationships/hyperlink" Target="../../../../../:x:/s/Operations/EVksXWO_U_tLvA0kL9vDmoQB8wkMButCVMBDeHcId2EsOQ?e=3GVf9f" TargetMode="External"/><Relationship Id="rId85" Type="http://schemas.openxmlformats.org/officeDocument/2006/relationships/hyperlink" Target="../../../../../:x:/s/Operations/ERZ9UCA9T2BHugI033rXxDMBy5hyH5uym2WlOiSq9wY_Wg?e=EfYbTb" TargetMode="External"/><Relationship Id="rId150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1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12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3" Type="http://schemas.openxmlformats.org/officeDocument/2006/relationships/hyperlink" Target="../../../../../:x:/s/Operations/EexpFc8FXJxEoDCcXTTTiigBghmWB5f5dSD4MTB8fwm_jw?e=qammBQ" TargetMode="External"/><Relationship Id="rId108" Type="http://schemas.openxmlformats.org/officeDocument/2006/relationships/hyperlink" Target="../../../../../:x:/s/Operations/EenDulgQe4FMnt-O1tW-5-QBK7WLtxivzlBzWk0ifZjglg?e=ETXZJO" TargetMode="External"/><Relationship Id="rId129" Type="http://schemas.openxmlformats.org/officeDocument/2006/relationships/hyperlink" Target="../../../../../:x:/s/Operations/EUPmdUxhaoNBqiF9x4p-CywB_9Tibx1vGRfiqABHd5uFIA?e=C4glqn" TargetMode="External"/><Relationship Id="rId54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75" Type="http://schemas.openxmlformats.org/officeDocument/2006/relationships/hyperlink" Target="../../../../../:x:/s/Operations/EXnG80DHH5VIlpMSINngfPABnt0P322O3G9p4fyMoihYdw?e=4YMO5H" TargetMode="External"/><Relationship Id="rId96" Type="http://schemas.openxmlformats.org/officeDocument/2006/relationships/hyperlink" Target="../../../../../:x:/s/Operations/EWIzu5mxB6BBqpgX9CzU6DkBgKzHB0Q_EO1vXfJmTu-fag?e=HrIP6q" TargetMode="External"/><Relationship Id="rId140" Type="http://schemas.openxmlformats.org/officeDocument/2006/relationships/hyperlink" Target="../../../../../:x:/s/Operations/EVksXWO_U_tLvA0kL9vDmoQB8wkMButCVMBDeHcId2EsOQ?e=3GVf9f" TargetMode="External"/><Relationship Id="rId161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6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23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28" Type="http://schemas.openxmlformats.org/officeDocument/2006/relationships/hyperlink" Target="../../../../../:x:/s/Operations/EexpFc8FXJxEoDCcXTTTiigBghmWB5f5dSD4MTB8fwm_jw?e=qammBQ" TargetMode="External"/><Relationship Id="rId49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114" Type="http://schemas.openxmlformats.org/officeDocument/2006/relationships/hyperlink" Target="../../../../../:x:/s/Operations/ETYQgMxolv9GnTelbvcOkwEB-8ZRN_Szf5JLLdNumIpOkg?e=ioUh1q" TargetMode="External"/><Relationship Id="rId119" Type="http://schemas.openxmlformats.org/officeDocument/2006/relationships/hyperlink" Target="../../../../../:x:/s/Operations/ETYQgMxolv9GnTelbvcOkwEB-8ZRN_Szf5JLLdNumIpOkg?e=ioUh1q" TargetMode="External"/><Relationship Id="rId44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60" Type="http://schemas.openxmlformats.org/officeDocument/2006/relationships/hyperlink" Target="../../../../../:x:/s/Operations/EUEPdDDugBdEip01UPkYVhAB4-k-GQcHmA5ikjix36pQ4Q?e=toxqYe" TargetMode="External"/><Relationship Id="rId65" Type="http://schemas.openxmlformats.org/officeDocument/2006/relationships/hyperlink" Target="../../../../../:x:/s/Operations/EUEPdDDugBdEip01UPkYVhAB4-k-GQcHmA5ikjix36pQ4Q?e=toxqYe" TargetMode="External"/><Relationship Id="rId81" Type="http://schemas.openxmlformats.org/officeDocument/2006/relationships/hyperlink" Target="../../../../../:x:/s/Operations/EXnG80DHH5VIlpMSINngfPABnt0P322O3G9p4fyMoihYdw?e=4YMO5H" TargetMode="External"/><Relationship Id="rId86" Type="http://schemas.openxmlformats.org/officeDocument/2006/relationships/hyperlink" Target="../../../../../:x:/s/Operations/ERZ9UCA9T2BHugI033rXxDMBy5hyH5uym2WlOiSq9wY_Wg?e=EfYbTb" TargetMode="External"/><Relationship Id="rId130" Type="http://schemas.openxmlformats.org/officeDocument/2006/relationships/hyperlink" Target="../../../../../:x:/s/Operations/EUPmdUxhaoNBqiF9x4p-CywB_9Tibx1vGRfiqABHd5uFIA?e=C4glqn" TargetMode="External"/><Relationship Id="rId135" Type="http://schemas.openxmlformats.org/officeDocument/2006/relationships/hyperlink" Target="../../../../../:x:/s/Operations/EVksXWO_U_tLvA0kL9vDmoQB8wkMButCVMBDeHcId2EsOQ?e=3GVf9f" TargetMode="External"/><Relationship Id="rId151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56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7" Type="http://schemas.microsoft.com/office/2019/04/relationships/namedSheetView" Target="../namedSheetViews/namedSheetView1.xml"/><Relationship Id="rId172" Type="http://schemas.openxmlformats.org/officeDocument/2006/relationships/hyperlink" Target="https://61nngljuq69wkvzlaiog9kkphca.sharepoint.com/:x:/s/Operations/IQBvn_wkSfF6TIyb44rFra-PARHEaH1QKO-5CKXLvIidI_0?e=AfqWgt" TargetMode="External"/><Relationship Id="rId13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18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39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109" Type="http://schemas.openxmlformats.org/officeDocument/2006/relationships/hyperlink" Target="../../../../../:x:/s/Operations/EenDulgQe4FMnt-O1tW-5-QBK7WLtxivzlBzWk0ifZjglg?e=ETXZJO" TargetMode="External"/><Relationship Id="rId34" Type="http://schemas.openxmlformats.org/officeDocument/2006/relationships/hyperlink" Target="../../../../../:x:/s/Operations/EexpFc8FXJxEoDCcXTTTiigBghmWB5f5dSD4MTB8fwm_jw?e=qammBQ" TargetMode="External"/><Relationship Id="rId50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55" Type="http://schemas.openxmlformats.org/officeDocument/2006/relationships/hyperlink" Target="../../../../../:x:/r/sites/Operations/_layouts/15/Doc.aspx?sourcedoc=%7BBE29DB61-9CD2-470A-8CC9-FBC820AEE156%7D&amp;file=07)%20Rekap%20KSJ%20Outlet%20-%20Sept%202024.xlsx&amp;action=default&amp;mobileredirect=true&amp;DefaultItemOpen=1" TargetMode="External"/><Relationship Id="rId76" Type="http://schemas.openxmlformats.org/officeDocument/2006/relationships/hyperlink" Target="../../../../../:x:/s/Operations/EXnG80DHH5VIlpMSINngfPABnt0P322O3G9p4fyMoihYdw?e=4YMO5H" TargetMode="External"/><Relationship Id="rId97" Type="http://schemas.openxmlformats.org/officeDocument/2006/relationships/hyperlink" Target="../../../../../:x:/s/Operations/EWIzu5mxB6BBqpgX9CzU6DkBgKzHB0Q_EO1vXfJmTu-fag?e=HrIP6q" TargetMode="External"/><Relationship Id="rId104" Type="http://schemas.openxmlformats.org/officeDocument/2006/relationships/hyperlink" Target="../../../../../:x:/s/Operations/EZiFstyrecZMn9paaT5bfloBk5xXZcE4VOmf_X5g9j0_Zw?e=Xj1m0T" TargetMode="External"/><Relationship Id="rId120" Type="http://schemas.openxmlformats.org/officeDocument/2006/relationships/hyperlink" Target="../../../../../:x:/s/Operations/ETYQgMxolv9GnTelbvcOkwEB-8ZRN_Szf5JLLdNumIpOkg?e=ioUh1q" TargetMode="External"/><Relationship Id="rId125" Type="http://schemas.openxmlformats.org/officeDocument/2006/relationships/hyperlink" Target="../../../../../:x:/s/Operations/ET659fQBNNhKqnCQutkHyAgBlr9q61gOUTPHc4CaI1PlKQ?e=iff7Y1" TargetMode="External"/><Relationship Id="rId141" Type="http://schemas.openxmlformats.org/officeDocument/2006/relationships/hyperlink" Target="../../../../../:x:/s/Operations/EVksXWO_U_tLvA0kL9vDmoQB8wkMButCVMBDeHcId2EsOQ?e=3GVf9f" TargetMode="External"/><Relationship Id="rId146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67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7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71" Type="http://schemas.openxmlformats.org/officeDocument/2006/relationships/hyperlink" Target="../../../../../:x:/s/Operations/EfWzC_kXZe9LsSZogPLb_voBxs9bXf2io7xRTTKFkd_tdg?e=0eUpKI" TargetMode="External"/><Relationship Id="rId92" Type="http://schemas.openxmlformats.org/officeDocument/2006/relationships/hyperlink" Target="../../../../../:x:/s/Operations/EWIzu5mxB6BBqpgX9CzU6DkBgKzHB0Q_EO1vXfJmTu-fag?e=HrIP6q" TargetMode="External"/><Relationship Id="rId162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2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29" Type="http://schemas.openxmlformats.org/officeDocument/2006/relationships/hyperlink" Target="../../../../../:x:/s/Operations/EexpFc8FXJxEoDCcXTTTiigBghmWB5f5dSD4MTB8fwm_jw?e=qammBQ" TargetMode="External"/><Relationship Id="rId24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0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45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66" Type="http://schemas.openxmlformats.org/officeDocument/2006/relationships/hyperlink" Target="../../../../../:x:/r/sites/Operations/_layouts/15/Doc.aspx?sourcedoc=%7B60970E1A-ECF1-41D8-A342-04989CE83005%7D&amp;file=Rekapan%20KSJ%2023-%201%20Maret%202025.xlsx&amp;action=default&amp;mobileredirect=true" TargetMode="External"/><Relationship Id="rId87" Type="http://schemas.openxmlformats.org/officeDocument/2006/relationships/hyperlink" Target="../../../../../:x:/s/Operations/ERZ9UCA9T2BHugI033rXxDMBy5hyH5uym2WlOiSq9wY_Wg?e=EfYbTb" TargetMode="External"/><Relationship Id="rId110" Type="http://schemas.openxmlformats.org/officeDocument/2006/relationships/hyperlink" Target="../../../../../:x:/s/Operations/EenDulgQe4FMnt-O1tW-5-QBK7WLtxivzlBzWk0ifZjglg?e=ETXZJO" TargetMode="External"/><Relationship Id="rId115" Type="http://schemas.openxmlformats.org/officeDocument/2006/relationships/hyperlink" Target="../../../../../:x:/s/Operations/ETYQgMxolv9GnTelbvcOkwEB-8ZRN_Szf5JLLdNumIpOkg?e=ioUh1q" TargetMode="External"/><Relationship Id="rId131" Type="http://schemas.openxmlformats.org/officeDocument/2006/relationships/hyperlink" Target="../../../../../:x:/s/Operations/EUPmdUxhaoNBqiF9x4p-CywB_9Tibx1vGRfiqABHd5uFIA?e=C4glqn" TargetMode="External"/><Relationship Id="rId136" Type="http://schemas.openxmlformats.org/officeDocument/2006/relationships/hyperlink" Target="../../../../../:x:/s/Operations/EVksXWO_U_tLvA0kL9vDmoQB8wkMButCVMBDeHcId2EsOQ?e=3GVf9f" TargetMode="External"/><Relationship Id="rId157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61" Type="http://schemas.openxmlformats.org/officeDocument/2006/relationships/hyperlink" Target="../../../../../:x:/s/Operations/EUEPdDDugBdEip01UPkYVhAB4-k-GQcHmA5ikjix36pQ4Q?e=toxqYe" TargetMode="External"/><Relationship Id="rId82" Type="http://schemas.openxmlformats.org/officeDocument/2006/relationships/hyperlink" Target="../../../../../:x:/s/Operations/EXnG80DHH5VIlpMSINngfPABnt0P322O3G9p4fyMoihYdw?e=4YMO5H" TargetMode="External"/><Relationship Id="rId152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3" Type="http://schemas.openxmlformats.org/officeDocument/2006/relationships/hyperlink" Target="https://61nngljuq69wkvzlaiog9kkphca.sharepoint.com/:x:/s/Operations/IQBvn_wkSfF6TIyb44rFra-PARHEaH1QKO-5CKXLvIidI_0?e=AfqWgt" TargetMode="External"/><Relationship Id="rId19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14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0" Type="http://schemas.openxmlformats.org/officeDocument/2006/relationships/hyperlink" Target="../../../../../:x:/s/Operations/EexpFc8FXJxEoDCcXTTTiigBghmWB5f5dSD4MTB8fwm_jw?e=qammBQ" TargetMode="External"/><Relationship Id="rId35" Type="http://schemas.openxmlformats.org/officeDocument/2006/relationships/hyperlink" Target="../../../../../:x:/s/Operations/EexpFc8FXJxEoDCcXTTTiigBghmWB5f5dSD4MTB8fwm_jw?e=qammBQ" TargetMode="External"/><Relationship Id="rId56" Type="http://schemas.openxmlformats.org/officeDocument/2006/relationships/hyperlink" Target="../../../../../:x:/r/sites/Operations/_layouts/15/Doc.aspx?sourcedoc=%7BBE29DB61-9CD2-470A-8CC9-FBC820AEE156%7D&amp;file=07)%20Rekap%20KSJ%20Outlet%20-%20Sept%202024.xlsx&amp;action=default&amp;mobileredirect=true&amp;DefaultItemOpen=1" TargetMode="External"/><Relationship Id="rId77" Type="http://schemas.openxmlformats.org/officeDocument/2006/relationships/hyperlink" Target="../../../../../:x:/s/Operations/EXnG80DHH5VIlpMSINngfPABnt0P322O3G9p4fyMoihYdw?e=4YMO5H" TargetMode="External"/><Relationship Id="rId100" Type="http://schemas.openxmlformats.org/officeDocument/2006/relationships/hyperlink" Target="../../../../../:x:/s/Operations/EZiFstyrecZMn9paaT5bfloBk5xXZcE4VOmf_X5g9j0_Zw?e=Xj1m0T" TargetMode="External"/><Relationship Id="rId105" Type="http://schemas.openxmlformats.org/officeDocument/2006/relationships/hyperlink" Target="../../../../../:x:/s/Operations/EZiFstyrecZMn9paaT5bfloBk5xXZcE4VOmf_X5g9j0_Zw?e=Xj1m0T" TargetMode="External"/><Relationship Id="rId126" Type="http://schemas.openxmlformats.org/officeDocument/2006/relationships/hyperlink" Target="../../../../../:x:/s/Operations/ET659fQBNNhKqnCQutkHyAgBlr9q61gOUTPHc4CaI1PlKQ?e=iff7Y1" TargetMode="External"/><Relationship Id="rId147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68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8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51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72" Type="http://schemas.openxmlformats.org/officeDocument/2006/relationships/hyperlink" Target="../../../../../:x:/s/Operations/EfWzC_kXZe9LsSZogPLb_voBxs9bXf2io7xRTTKFkd_tdg?e=0eUpKI" TargetMode="External"/><Relationship Id="rId93" Type="http://schemas.openxmlformats.org/officeDocument/2006/relationships/hyperlink" Target="../../../../../:x:/s/Operations/EWIzu5mxB6BBqpgX9CzU6DkBgKzHB0Q_EO1vXfJmTu-fag?e=HrIP6q" TargetMode="External"/><Relationship Id="rId98" Type="http://schemas.openxmlformats.org/officeDocument/2006/relationships/hyperlink" Target="../../../../../:x:/s/Operations/EWIzu5mxB6BBqpgX9CzU6DkBgKzHB0Q_EO1vXfJmTu-fag?e=HrIP6q" TargetMode="External"/><Relationship Id="rId121" Type="http://schemas.openxmlformats.org/officeDocument/2006/relationships/hyperlink" Target="../../../../../:x:/s/Operations/ET659fQBNNhKqnCQutkHyAgBlr9q61gOUTPHc4CaI1PlKQ?e=iff7Y1" TargetMode="External"/><Relationship Id="rId142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63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3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25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6" Type="http://schemas.openxmlformats.org/officeDocument/2006/relationships/hyperlink" Target="../../../../../:x:/s/Operations/EYRl5-yUUzBFkkzlb0yWivYBeCwghO10OdBVueRtHX2ulA?e=VXT9ua" TargetMode="External"/><Relationship Id="rId67" Type="http://schemas.openxmlformats.org/officeDocument/2006/relationships/hyperlink" Target="../../../../../:x:/s/Operations/EfWzC_kXZe9LsSZogPLb_voBxs9bXf2io7xRTTKFkd_tdg?e=0eUpKI" TargetMode="External"/><Relationship Id="rId116" Type="http://schemas.openxmlformats.org/officeDocument/2006/relationships/hyperlink" Target="../../../../../:x:/s/Operations/ETYQgMxolv9GnTelbvcOkwEB-8ZRN_Szf5JLLdNumIpOkg?e=ioUh1q" TargetMode="External"/><Relationship Id="rId137" Type="http://schemas.openxmlformats.org/officeDocument/2006/relationships/hyperlink" Target="../../../../../:x:/s/Operations/EVksXWO_U_tLvA0kL9vDmoQB8wkMButCVMBDeHcId2EsOQ?e=3GVf9f" TargetMode="External"/><Relationship Id="rId158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20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1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62" Type="http://schemas.openxmlformats.org/officeDocument/2006/relationships/hyperlink" Target="../../../../../:x:/s/Operations/EUEPdDDugBdEip01UPkYVhAB4-k-GQcHmA5ikjix36pQ4Q?e=toxqYe" TargetMode="External"/><Relationship Id="rId83" Type="http://schemas.openxmlformats.org/officeDocument/2006/relationships/hyperlink" Target="../../../../../:x:/s/Operations/ERZ9UCA9T2BHugI033rXxDMBy5hyH5uym2WlOiSq9wY_Wg?e=EfYbTb" TargetMode="External"/><Relationship Id="rId88" Type="http://schemas.openxmlformats.org/officeDocument/2006/relationships/hyperlink" Target="../../../../../:x:/s/Operations/ERZ9UCA9T2BHugI033rXxDMBy5hyH5uym2WlOiSq9wY_Wg?e=EfYbTb" TargetMode="External"/><Relationship Id="rId111" Type="http://schemas.openxmlformats.org/officeDocument/2006/relationships/hyperlink" Target="../../../../../:x:/s/Operations/EenDulgQe4FMnt-O1tW-5-QBK7WLtxivzlBzWk0ifZjglg?e=ETXZJO" TargetMode="External"/><Relationship Id="rId132" Type="http://schemas.openxmlformats.org/officeDocument/2006/relationships/hyperlink" Target="../../../../../:x:/s/Operations/EUPmdUxhaoNBqiF9x4p-CywB_9Tibx1vGRfiqABHd5uFIA?e=C4glqn" TargetMode="External"/><Relationship Id="rId153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4" Type="http://schemas.openxmlformats.org/officeDocument/2006/relationships/vmlDrawing" Target="../drawings/vmlDrawing3.vml"/><Relationship Id="rId15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6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57" Type="http://schemas.openxmlformats.org/officeDocument/2006/relationships/hyperlink" Target="../../../../../:x:/r/sites/Operations/_layouts/15/Doc.aspx?sourcedoc=%7BBE29DB61-9CD2-470A-8CC9-FBC820AEE156%7D&amp;file=07)%20Rekap%20KSJ%20Outlet%20-%20Sept%202024.xlsx&amp;action=default&amp;mobileredirect=true&amp;DefaultItemOpen=1" TargetMode="External"/><Relationship Id="rId106" Type="http://schemas.openxmlformats.org/officeDocument/2006/relationships/hyperlink" Target="../../../../../:x:/s/Operations/EZiFstyrecZMn9paaT5bfloBk5xXZcE4VOmf_X5g9j0_Zw?e=Xj1m0T" TargetMode="External"/><Relationship Id="rId127" Type="http://schemas.openxmlformats.org/officeDocument/2006/relationships/hyperlink" Target="../../../../../:x:/s/Operations/ET659fQBNNhKqnCQutkHyAgBlr9q61gOUTPHc4CaI1PlKQ?e=iff7Y1" TargetMode="External"/><Relationship Id="rId10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1" Type="http://schemas.openxmlformats.org/officeDocument/2006/relationships/hyperlink" Target="../../../../../:x:/s/Operations/EexpFc8FXJxEoDCcXTTTiigBghmWB5f5dSD4MTB8fwm_jw?e=qammBQ" TargetMode="External"/><Relationship Id="rId52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73" Type="http://schemas.openxmlformats.org/officeDocument/2006/relationships/hyperlink" Target="../../../../../:x:/s/Operations/EfWzC_kXZe9LsSZogPLb_voBxs9bXf2io7xRTTKFkd_tdg?e=0eUpKI" TargetMode="External"/><Relationship Id="rId78" Type="http://schemas.openxmlformats.org/officeDocument/2006/relationships/hyperlink" Target="../../../../../:x:/s/Operations/EXnG80DHH5VIlpMSINngfPABnt0P322O3G9p4fyMoihYdw?e=4YMO5H" TargetMode="External"/><Relationship Id="rId94" Type="http://schemas.openxmlformats.org/officeDocument/2006/relationships/hyperlink" Target="../../../../../:x:/s/Operations/EWIzu5mxB6BBqpgX9CzU6DkBgKzHB0Q_EO1vXfJmTu-fag?e=HrIP6q" TargetMode="External"/><Relationship Id="rId99" Type="http://schemas.openxmlformats.org/officeDocument/2006/relationships/hyperlink" Target="../../../../../:x:/s/Operations/EWIzu5mxB6BBqpgX9CzU6DkBgKzHB0Q_EO1vXfJmTu-fag?e=HrIP6q" TargetMode="External"/><Relationship Id="rId101" Type="http://schemas.openxmlformats.org/officeDocument/2006/relationships/hyperlink" Target="../../../../../:x:/s/Operations/EZiFstyrecZMn9paaT5bfloBk5xXZcE4VOmf_X5g9j0_Zw?e=Xj1m0T" TargetMode="External"/><Relationship Id="rId122" Type="http://schemas.openxmlformats.org/officeDocument/2006/relationships/hyperlink" Target="../../../../../:x:/s/Operations/ET659fQBNNhKqnCQutkHyAgBlr9q61gOUTPHc4CaI1PlKQ?e=iff7Y1" TargetMode="External"/><Relationship Id="rId143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48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64" Type="http://schemas.openxmlformats.org/officeDocument/2006/relationships/hyperlink" Target="../../../../../:x:/r/sites/Operations/_layouts/15/Doc.aspx?sourcedoc=%7BB50B723C-5957-43B0-AA96-5B09A08FF57C%7D&amp;file=Rekapan%209-15%20Juni%202025.xlsx&amp;action=default&amp;mobileredirect=true" TargetMode="External"/><Relationship Id="rId169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4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Relationship Id="rId9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26" Type="http://schemas.openxmlformats.org/officeDocument/2006/relationships/hyperlink" Target="https://61nngljuq69wkvzlaiog9kkphca-my.sharepoint.com/:x:/r/personal/wevi_rideblitz_com/_layouts/15/Doc.aspx?sourcedoc=%7B168E2304-6C22-437F-9B0E-CE52F71AC3FD%7D&amp;file=Rekapan%202-8%20Februari%202025.xlsx&amp;fromShare=true&amp;action=default&amp;mobileredirect=true" TargetMode="External"/><Relationship Id="rId47" Type="http://schemas.openxmlformats.org/officeDocument/2006/relationships/hyperlink" Target="../../../../../:x:/s/Operations/EYRl5-yUUzBFkkzlb0yWivYBeCwghO10OdBVueRtHX2ulA?e=VXT9ua" TargetMode="External"/><Relationship Id="rId68" Type="http://schemas.openxmlformats.org/officeDocument/2006/relationships/hyperlink" Target="../../../../../:x:/s/Operations/EfWzC_kXZe9LsSZogPLb_voBxs9bXf2io7xRTTKFkd_tdg?e=0eUpKI" TargetMode="External"/><Relationship Id="rId89" Type="http://schemas.openxmlformats.org/officeDocument/2006/relationships/hyperlink" Target="../../../../../:x:/s/Operations/ERZ9UCA9T2BHugI033rXxDMBy5hyH5uym2WlOiSq9wY_Wg?e=EfYbTb" TargetMode="External"/><Relationship Id="rId112" Type="http://schemas.openxmlformats.org/officeDocument/2006/relationships/hyperlink" Target="../../../../../:x:/s/Operations/EenDulgQe4FMnt-O1tW-5-QBK7WLtxivzlBzWk0ifZjglg?e=ETXZJO" TargetMode="External"/><Relationship Id="rId133" Type="http://schemas.openxmlformats.org/officeDocument/2006/relationships/hyperlink" Target="../../../../../:x:/s/Operations/EUPmdUxhaoNBqiF9x4p-CywB_9Tibx1vGRfiqABHd5uFIA?e=C4glqn" TargetMode="External"/><Relationship Id="rId154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5" Type="http://schemas.openxmlformats.org/officeDocument/2006/relationships/table" Target="../tables/table4.xml"/><Relationship Id="rId16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7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58" Type="http://schemas.openxmlformats.org/officeDocument/2006/relationships/hyperlink" Target="../../../../../:x:/r/sites/Operations/_layouts/15/Doc.aspx?sourcedoc=%7BBE29DB61-9CD2-470A-8CC9-FBC820AEE156%7D&amp;file=07)%20Rekap%20KSJ%20Outlet%20-%20Sept%202024.xlsx&amp;action=default&amp;mobileredirect=true&amp;DefaultItemOpen=1" TargetMode="External"/><Relationship Id="rId79" Type="http://schemas.openxmlformats.org/officeDocument/2006/relationships/hyperlink" Target="../../../../../:x:/s/Operations/EXnG80DHH5VIlpMSINngfPABnt0P322O3G9p4fyMoihYdw?e=4YMO5H" TargetMode="External"/><Relationship Id="rId102" Type="http://schemas.openxmlformats.org/officeDocument/2006/relationships/hyperlink" Target="../../../../../:x:/s/Operations/EZiFstyrecZMn9paaT5bfloBk5xXZcE4VOmf_X5g9j0_Zw?e=Xj1m0T" TargetMode="External"/><Relationship Id="rId123" Type="http://schemas.openxmlformats.org/officeDocument/2006/relationships/hyperlink" Target="../../../../../:x:/s/Operations/ET659fQBNNhKqnCQutkHyAgBlr9q61gOUTPHc4CaI1PlKQ?e=iff7Y1" TargetMode="External"/><Relationship Id="rId144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90" Type="http://schemas.openxmlformats.org/officeDocument/2006/relationships/hyperlink" Target="../../../../../:x:/s/Operations/ERZ9UCA9T2BHugI033rXxDMBy5hyH5uym2WlOiSq9wY_Wg?e=EfYbTb" TargetMode="External"/><Relationship Id="rId165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27" Type="http://schemas.openxmlformats.org/officeDocument/2006/relationships/hyperlink" Target="../../../../../:x:/s/Operations/EexpFc8FXJxEoDCcXTTTiigBghmWB5f5dSD4MTB8fwm_jw?e=qammBQ" TargetMode="External"/><Relationship Id="rId48" Type="http://schemas.openxmlformats.org/officeDocument/2006/relationships/hyperlink" Target="../../../../../:x:/r/sites/Operations/_layouts/15/Doc.aspx?sourcedoc=%7BAFDA014A-EBE8-499D-ACC8-3A2736450CA7%7D&amp;file=08)%20Rekap%20KSJ%20Outlet%20-%20Oct%202024.xlsx&amp;action=default&amp;mobileredirect=true&amp;DefaultItemOpen=1" TargetMode="External"/><Relationship Id="rId69" Type="http://schemas.openxmlformats.org/officeDocument/2006/relationships/hyperlink" Target="../../../../../:x:/s/Operations/EfWzC_kXZe9LsSZogPLb_voBxs9bXf2io7xRTTKFkd_tdg?e=0eUpKI" TargetMode="External"/><Relationship Id="rId113" Type="http://schemas.openxmlformats.org/officeDocument/2006/relationships/hyperlink" Target="../../../../../:x:/s/Operations/EenDulgQe4FMnt-O1tW-5-QBK7WLtxivzlBzWk0ifZjglg?e=ETXZJO" TargetMode="External"/><Relationship Id="rId134" Type="http://schemas.openxmlformats.org/officeDocument/2006/relationships/hyperlink" Target="../../../../../:x:/s/Operations/EUPmdUxhaoNBqiF9x4p-CywB_9Tibx1vGRfiqABHd5uFIA?e=C4glqn" TargetMode="External"/><Relationship Id="rId80" Type="http://schemas.openxmlformats.org/officeDocument/2006/relationships/hyperlink" Target="../../../../../:x:/s/Operations/EXnG80DHH5VIlpMSINngfPABnt0P322O3G9p4fyMoihYdw?e=4YMO5H" TargetMode="External"/><Relationship Id="rId155" Type="http://schemas.openxmlformats.org/officeDocument/2006/relationships/hyperlink" Target="../../../../../:x:/r/sites/Operations/_layouts/15/Doc.aspx?sourcedoc=%7B5B334199-42CE-49FA-AA58-4AFB51ECF43B%7D&amp;file=Rekapan%2026-1%20Juni%202025.xlsx&amp;action=default&amp;mobileredirect=true" TargetMode="External"/><Relationship Id="rId176" Type="http://schemas.openxmlformats.org/officeDocument/2006/relationships/comments" Target="../comments3.xml"/><Relationship Id="rId17" Type="http://schemas.openxmlformats.org/officeDocument/2006/relationships/hyperlink" Target="../../../../../:x:/r/sites/Operations/_layouts/15/Doc.aspx?sourcedoc=%7B95C6AF7B-B25D-46A1-B9CB-0ABEED8EC8EA%7D&amp;file=Rekapan%209-15%20Februari%202025.xlsx&amp;action=default&amp;mobileredirect=true" TargetMode="External"/><Relationship Id="rId38" Type="http://schemas.openxmlformats.org/officeDocument/2006/relationships/hyperlink" Target="../../../../../:x:/r/sites/Operations/_layouts/15/Doc.aspx?sourcedoc=%7BA1BCDC60-51E5-4071-B270-17B55BED7CE4%7D&amp;file=09)%20Rekap%20KSJ%20Outlet%20-%20Nov%202024.xlsx&amp;action=default&amp;mobileredirect=true" TargetMode="External"/><Relationship Id="rId59" Type="http://schemas.openxmlformats.org/officeDocument/2006/relationships/hyperlink" Target="../../../../../:x:/s/Operations/EUEPdDDugBdEip01UPkYVhAB4-k-GQcHmA5ikjix36pQ4Q?e=toxqYe" TargetMode="External"/><Relationship Id="rId103" Type="http://schemas.openxmlformats.org/officeDocument/2006/relationships/hyperlink" Target="../../../../../:x:/s/Operations/EZiFstyrecZMn9paaT5bfloBk5xXZcE4VOmf_X5g9j0_Zw?e=Xj1m0T" TargetMode="External"/><Relationship Id="rId124" Type="http://schemas.openxmlformats.org/officeDocument/2006/relationships/hyperlink" Target="../../../../../:x:/s/Operations/ET659fQBNNhKqnCQutkHyAgBlr9q61gOUTPHc4CaI1PlKQ?e=iff7Y1" TargetMode="External"/><Relationship Id="rId70" Type="http://schemas.openxmlformats.org/officeDocument/2006/relationships/hyperlink" Target="../../../../../:x:/s/Operations/EfWzC_kXZe9LsSZogPLb_voBxs9bXf2io7xRTTKFkd_tdg?e=0eUpKI" TargetMode="External"/><Relationship Id="rId91" Type="http://schemas.openxmlformats.org/officeDocument/2006/relationships/hyperlink" Target="../../../../../:x:/s/Operations/ERZ9UCA9T2BHugI033rXxDMBy5hyH5uym2WlOiSq9wY_Wg?e=EfYbTb" TargetMode="External"/><Relationship Id="rId145" Type="http://schemas.openxmlformats.org/officeDocument/2006/relationships/hyperlink" Target="../../../../../:x:/r/sites/Operations/_layouts/15/Doc.aspx?sourcedoc=%7B629AAFDE-08ED-43B6-9B4B-02FA78C2787E%7D&amp;file=Rekapan%2019-25%20Mei%202025.xlsx&amp;action=default&amp;mobileredirect=true" TargetMode="External"/><Relationship Id="rId166" Type="http://schemas.openxmlformats.org/officeDocument/2006/relationships/hyperlink" Target="../../../../../:x:/r/sites/Operations/_layouts/15/Doc.aspx?sourcedoc=%7B80F46C7A-B74E-4F10-AAF9-3BA3C9960B80%7D&amp;file=Rekapan%2016-22%20Juni%202025.xlsx&amp;action=default&amp;mobileredirect=true" TargetMode="External"/><Relationship Id="rId1" Type="http://schemas.openxmlformats.org/officeDocument/2006/relationships/hyperlink" Target="https://61nngljuq69wkvzlaiog9kkphca-my.sharepoint.com/:x:/r/personal/wevi_rideblitz_com/_layouts/15/Doc.aspx?sourcedoc=%7B46416CD1-7022-4A2D-ACFF-5C358281530F%7D&amp;file=Incentive_Blitz_JKT_26-1_Feb_2025.xlsx&amp;action=default&amp;mobileredirect=true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s/Operations/EexpFc8FXJxEoDCcXTTTiigBghmWB5f5dSD4MTB8fwm_jw?e=qammBQ" TargetMode="External"/><Relationship Id="rId13" Type="http://schemas.openxmlformats.org/officeDocument/2006/relationships/comments" Target="../comments4.xml"/><Relationship Id="rId3" Type="http://schemas.openxmlformats.org/officeDocument/2006/relationships/hyperlink" Target="../../../../../:x:/s/Operations/EexpFc8FXJxEoDCcXTTTiigBghmWB5f5dSD4MTB8fwm_jw?e=qammBQ" TargetMode="External"/><Relationship Id="rId7" Type="http://schemas.openxmlformats.org/officeDocument/2006/relationships/hyperlink" Target="../../../../../:x:/s/Operations/EexpFc8FXJxEoDCcXTTTiigBghmWB5f5dSD4MTB8fwm_jw?e=qammBQ" TargetMode="External"/><Relationship Id="rId12" Type="http://schemas.openxmlformats.org/officeDocument/2006/relationships/table" Target="../tables/table6.xml"/><Relationship Id="rId2" Type="http://schemas.openxmlformats.org/officeDocument/2006/relationships/hyperlink" Target="../../../../../:x:/s/Operations/EexpFc8FXJxEoDCcXTTTiigBghmWB5f5dSD4MTB8fwm_jw?e=qammBQ" TargetMode="External"/><Relationship Id="rId1" Type="http://schemas.openxmlformats.org/officeDocument/2006/relationships/hyperlink" Target="../../../../../:x:/s/Operations/EexpFc8FXJxEoDCcXTTTiigBghmWB5f5dSD4MTB8fwm_jw?e=qammBQ" TargetMode="External"/><Relationship Id="rId6" Type="http://schemas.openxmlformats.org/officeDocument/2006/relationships/hyperlink" Target="../../../../../:x:/s/Operations/EexpFc8FXJxEoDCcXTTTiigBghmWB5f5dSD4MTB8fwm_jw?e=qammBQ" TargetMode="External"/><Relationship Id="rId11" Type="http://schemas.openxmlformats.org/officeDocument/2006/relationships/table" Target="../tables/table5.xml"/><Relationship Id="rId5" Type="http://schemas.openxmlformats.org/officeDocument/2006/relationships/hyperlink" Target="../../../../../:x:/s/Operations/EexpFc8FXJxEoDCcXTTTiigBghmWB5f5dSD4MTB8fwm_jw?e=qammBQ" TargetMode="External"/><Relationship Id="rId15" Type="http://schemas.microsoft.com/office/2019/04/relationships/documenttask" Target="../documenttasks/documenttask1.xml"/><Relationship Id="rId10" Type="http://schemas.openxmlformats.org/officeDocument/2006/relationships/vmlDrawing" Target="../drawings/vmlDrawing4.vml"/><Relationship Id="rId4" Type="http://schemas.openxmlformats.org/officeDocument/2006/relationships/hyperlink" Target="../../../../../:x:/s/Operations/EexpFc8FXJxEoDCcXTTTiigBghmWB5f5dSD4MTB8fwm_jw?e=qammBQ" TargetMode="External"/><Relationship Id="rId9" Type="http://schemas.openxmlformats.org/officeDocument/2006/relationships/hyperlink" Target="../../../../../:x:/s/Operations/EexpFc8FXJxEoDCcXTTTiigBghmWB5f5dSD4MTB8fwm_jw?e=qammBQ" TargetMode="External"/><Relationship Id="rId1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4381-5B17-495D-BF22-F0903AB51245}">
  <dimension ref="B1:X15"/>
  <sheetViews>
    <sheetView workbookViewId="0"/>
  </sheetViews>
  <sheetFormatPr defaultColWidth="11.42578125" defaultRowHeight="15"/>
  <cols>
    <col min="1" max="1" width="3.140625" customWidth="1"/>
    <col min="2" max="2" width="8" customWidth="1"/>
    <col min="3" max="3" width="8" bestFit="1" customWidth="1"/>
    <col min="4" max="4" width="14.28515625" customWidth="1"/>
    <col min="5" max="5" width="14" bestFit="1" customWidth="1"/>
    <col min="6" max="6" width="11.28515625" customWidth="1"/>
    <col min="7" max="7" width="17.85546875" customWidth="1"/>
    <col min="8" max="8" width="15.140625" customWidth="1"/>
    <col min="9" max="9" width="16" customWidth="1"/>
    <col min="10" max="10" width="33.28515625" customWidth="1"/>
    <col min="11" max="11" width="25.85546875" customWidth="1"/>
    <col min="12" max="12" width="35" customWidth="1"/>
    <col min="13" max="13" width="30.28515625" customWidth="1"/>
    <col min="14" max="14" width="22.7109375" customWidth="1"/>
    <col min="15" max="15" width="28.28515625" customWidth="1"/>
    <col min="16" max="16" width="24" customWidth="1"/>
    <col min="17" max="17" width="28.28515625" customWidth="1"/>
    <col min="18" max="18" width="26.28515625" customWidth="1"/>
    <col min="19" max="19" width="28.140625" customWidth="1"/>
    <col min="20" max="20" width="10.85546875" bestFit="1" customWidth="1"/>
    <col min="21" max="22" width="9.140625" bestFit="1" customWidth="1"/>
    <col min="23" max="23" width="14" bestFit="1" customWidth="1"/>
  </cols>
  <sheetData>
    <row r="1" spans="2:24" ht="15.95" thickBot="1"/>
    <row r="2" spans="2:24" ht="15.95" thickBot="1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2" t="s">
        <v>6</v>
      </c>
      <c r="I2" s="22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3" t="s">
        <v>18</v>
      </c>
      <c r="W2" s="4" t="s">
        <v>19</v>
      </c>
      <c r="X2" s="5" t="s">
        <v>20</v>
      </c>
    </row>
    <row r="3" spans="2:24" hidden="1">
      <c r="B3" t="s">
        <v>21</v>
      </c>
      <c r="C3">
        <v>1</v>
      </c>
      <c r="D3" t="s">
        <v>22</v>
      </c>
      <c r="E3" t="s">
        <v>23</v>
      </c>
      <c r="F3" t="s">
        <v>24</v>
      </c>
      <c r="G3" s="1">
        <v>59</v>
      </c>
      <c r="H3" s="1">
        <v>13353</v>
      </c>
      <c r="I3" s="1">
        <v>122195000</v>
      </c>
      <c r="J3" s="1">
        <v>10620300</v>
      </c>
      <c r="K3" s="1">
        <v>15250000</v>
      </c>
      <c r="L3" s="1"/>
      <c r="M3" s="1"/>
      <c r="N3" s="1">
        <v>10156500</v>
      </c>
      <c r="O3" s="1">
        <v>25870300</v>
      </c>
      <c r="P3" s="1">
        <v>25660950</v>
      </c>
      <c r="Q3" s="1"/>
      <c r="R3" s="1">
        <v>7586000</v>
      </c>
      <c r="S3" s="1">
        <v>4392000</v>
      </c>
      <c r="T3" s="12">
        <f>SUM(Table23[[#This Row],[Total Sharing % (Weekly)]:[Total Subsidi Molis KSJ (Monthly)]])-SUM(Table23[[#This Row],[Total Selling Comission/Sales (Weekly)]:[Total Income Sales (Weekly)]])</f>
        <v>-24258150</v>
      </c>
      <c r="W3" s="6" t="s">
        <v>23</v>
      </c>
      <c r="X3" s="7" t="s">
        <v>25</v>
      </c>
    </row>
    <row r="4" spans="2:24">
      <c r="B4" t="s">
        <v>21</v>
      </c>
      <c r="C4">
        <v>1</v>
      </c>
      <c r="D4" t="s">
        <v>26</v>
      </c>
      <c r="E4" t="s">
        <v>27</v>
      </c>
      <c r="F4" t="s">
        <v>28</v>
      </c>
      <c r="G4">
        <v>4</v>
      </c>
      <c r="H4" s="1">
        <v>683</v>
      </c>
      <c r="I4" s="16">
        <v>5610000</v>
      </c>
      <c r="J4" s="1">
        <v>683000</v>
      </c>
      <c r="K4" s="1">
        <v>650000</v>
      </c>
      <c r="N4" s="1">
        <v>932400</v>
      </c>
      <c r="O4" s="1">
        <f>SUM(Table23[[#This Row],[Total Selling Comission/Sales (Weekly)]]+Table23[[#This Row],[Total Daily Incentive (Weekly)]]+Table23[[#This Row],[Total 26 Days Attendance Bonus (Monthly)]]+Table23[[#This Row],[Total Selling 20Mio Bonus (Monthly)]])</f>
        <v>1333000</v>
      </c>
      <c r="P4" s="1">
        <f>Table23[[#This Row],[Total Selling KSJ]]*23%</f>
        <v>1290300</v>
      </c>
      <c r="Q4" s="1"/>
      <c r="R4" s="1">
        <v>0</v>
      </c>
      <c r="S4" s="1"/>
      <c r="T4" s="1">
        <f>SUM(Table23[[#This Row],[Total Sharing % (Weekly)]:[Total Subsidi Molis KSJ (Monthly)]])-SUM(Table23[[#This Row],[Total Selling Comission/Sales (Weekly)]:[Total Income Sales (Weekly)]])</f>
        <v>-2308100</v>
      </c>
      <c r="W4" s="6" t="s">
        <v>27</v>
      </c>
      <c r="X4" s="7" t="s">
        <v>28</v>
      </c>
    </row>
    <row r="5" spans="2:24">
      <c r="B5" t="s">
        <v>21</v>
      </c>
      <c r="C5">
        <v>1</v>
      </c>
      <c r="D5" t="s">
        <v>26</v>
      </c>
      <c r="E5" t="s">
        <v>29</v>
      </c>
      <c r="F5" t="s">
        <v>28</v>
      </c>
      <c r="G5">
        <v>3</v>
      </c>
      <c r="H5">
        <v>299</v>
      </c>
      <c r="I5" s="1">
        <v>2728000</v>
      </c>
      <c r="J5" s="14">
        <v>299000</v>
      </c>
      <c r="K5" s="15">
        <v>285000</v>
      </c>
      <c r="N5" s="16">
        <v>599400</v>
      </c>
      <c r="O5" s="1">
        <f>SUM(Table23[[#This Row],[Total Selling Comission/Sales (Weekly)]]+Table23[[#This Row],[Total Daily Incentive (Weekly)]]+Table23[[#This Row],[Total 26 Days Attendance Bonus (Monthly)]]+Table23[[#This Row],[Total Selling 20Mio Bonus (Monthly)]])</f>
        <v>584000</v>
      </c>
      <c r="P5" s="1">
        <f>Table23[[#This Row],[Total Selling KSJ]]*23%</f>
        <v>627440</v>
      </c>
      <c r="R5" s="17" t="s">
        <v>30</v>
      </c>
      <c r="S5" s="16"/>
      <c r="T5" s="12">
        <f>SUM(Table23[[#This Row],[Total Sharing % (Weekly)]:[Total Subsidi Molis KSJ (Monthly)]])-SUM(Table23[[#This Row],[Total Selling Comission/Sales (Weekly)]:[Total Income Sales (Weekly)]])</f>
        <v>-1139960</v>
      </c>
      <c r="W5" s="6" t="s">
        <v>29</v>
      </c>
      <c r="X5" s="7" t="s">
        <v>31</v>
      </c>
    </row>
    <row r="6" spans="2:24">
      <c r="B6" t="s">
        <v>21</v>
      </c>
      <c r="C6">
        <v>1</v>
      </c>
      <c r="D6" s="18" t="s">
        <v>32</v>
      </c>
      <c r="E6" t="s">
        <v>33</v>
      </c>
      <c r="F6" t="s">
        <v>28</v>
      </c>
      <c r="G6" s="16">
        <v>1</v>
      </c>
      <c r="H6" s="16">
        <v>30</v>
      </c>
      <c r="I6" s="16"/>
      <c r="J6" s="16">
        <v>30000</v>
      </c>
      <c r="K6" s="16">
        <v>75000</v>
      </c>
      <c r="L6" s="16"/>
      <c r="M6" s="16"/>
      <c r="N6" s="16"/>
      <c r="O6" s="1">
        <f>SUM(Table23[[#This Row],[Total Selling Comission/Sales (Weekly)]]+Table23[[#This Row],[Total Daily Incentive (Weekly)]]+Table23[[#This Row],[Total 26 Days Attendance Bonus (Monthly)]]+Table23[[#This Row],[Total Selling 20Mio Bonus (Monthly)]])</f>
        <v>105000</v>
      </c>
      <c r="P6" s="16"/>
      <c r="Q6" s="16"/>
      <c r="R6" s="16"/>
      <c r="S6" s="16"/>
      <c r="T6" s="12">
        <f>SUM(Table23[[#This Row],[Total Sharing % (Weekly)]:[Total Subsidi Molis KSJ (Monthly)]])-SUM(Table23[[#This Row],[Total Selling Comission/Sales (Weekly)]:[Total Income Sales (Weekly)]])</f>
        <v>-210000</v>
      </c>
      <c r="W6" s="6" t="s">
        <v>34</v>
      </c>
      <c r="X6" s="7" t="s">
        <v>24</v>
      </c>
    </row>
    <row r="7" spans="2:24">
      <c r="B7" t="s">
        <v>21</v>
      </c>
      <c r="C7">
        <v>2</v>
      </c>
      <c r="D7" s="18" t="s">
        <v>35</v>
      </c>
      <c r="E7" t="s">
        <v>27</v>
      </c>
      <c r="F7" t="s">
        <v>28</v>
      </c>
      <c r="G7">
        <v>4</v>
      </c>
      <c r="H7" s="16">
        <v>538</v>
      </c>
      <c r="I7" s="16">
        <v>4754000</v>
      </c>
      <c r="J7" s="16">
        <v>538000</v>
      </c>
      <c r="K7" s="16">
        <v>450000</v>
      </c>
      <c r="L7" s="16"/>
      <c r="M7" s="16"/>
      <c r="N7" s="12">
        <v>699300</v>
      </c>
      <c r="O7" s="1">
        <f>SUM(Table23[[#This Row],[Total Selling Comission/Sales (Weekly)]]+Table23[[#This Row],[Total Daily Incentive (Weekly)]]+Table23[[#This Row],[Total 26 Days Attendance Bonus (Monthly)]]+Table23[[#This Row],[Total Selling 20Mio Bonus (Monthly)]])</f>
        <v>988000</v>
      </c>
      <c r="P7" s="1">
        <f>Table23[[#This Row],[Total Selling KSJ]]*23%</f>
        <v>1093420</v>
      </c>
      <c r="Q7" s="16"/>
      <c r="R7" s="16"/>
      <c r="S7" s="16"/>
      <c r="T7" s="12">
        <f>SUM(Table23[[#This Row],[Total Sharing % (Weekly)]:[Total Subsidi Molis KSJ (Monthly)]])-SUM(Table23[[#This Row],[Total Selling Comission/Sales (Weekly)]:[Total Income Sales (Weekly)]])</f>
        <v>-1581880</v>
      </c>
      <c r="W7" s="6" t="s">
        <v>33</v>
      </c>
      <c r="X7" s="7"/>
    </row>
    <row r="8" spans="2:24" s="16" customFormat="1">
      <c r="B8" s="16" t="s">
        <v>21</v>
      </c>
      <c r="C8" s="16">
        <v>2</v>
      </c>
      <c r="D8" s="16" t="s">
        <v>35</v>
      </c>
      <c r="E8" s="16" t="s">
        <v>29</v>
      </c>
      <c r="G8" s="16">
        <v>3</v>
      </c>
      <c r="H8" s="16">
        <v>504</v>
      </c>
      <c r="I8" s="16">
        <v>2704000</v>
      </c>
      <c r="J8" s="16">
        <v>504000</v>
      </c>
      <c r="K8" s="16">
        <v>540000</v>
      </c>
      <c r="N8" s="16">
        <v>699300</v>
      </c>
      <c r="O8" s="1">
        <f>SUM(Table23[[#This Row],[Total Selling Comission/Sales (Weekly)]]+Table23[[#This Row],[Total Daily Incentive (Weekly)]]+Table23[[#This Row],[Total 26 Days Attendance Bonus (Monthly)]]+Table23[[#This Row],[Total Selling 20Mio Bonus (Monthly)]])</f>
        <v>1044000</v>
      </c>
      <c r="P8" s="1">
        <f>Table23[[#This Row],[Total Selling KSJ]]*23%</f>
        <v>621920</v>
      </c>
      <c r="T8" s="16">
        <f>SUM(Table23[[#This Row],[Total Sharing % (Weekly)]:[Total Subsidi Molis KSJ (Monthly)]])-SUM(Table23[[#This Row],[Total Selling Comission/Sales (Weekly)]:[Total Income Sales (Weekly)]])</f>
        <v>-2165380</v>
      </c>
      <c r="W8" s="20"/>
      <c r="X8" s="21"/>
    </row>
    <row r="9" spans="2:24">
      <c r="K9" s="16"/>
      <c r="T9" s="12">
        <f>SUM(Table23[[#This Row],[Total Sharing % (Weekly)]:[Total Subsidi Molis KSJ (Monthly)]])-SUM(Table23[[#This Row],[Total Selling Comission/Sales (Weekly)]:[Total Income Sales (Weekly)]])</f>
        <v>0</v>
      </c>
      <c r="W9" s="6"/>
      <c r="X9" s="7"/>
    </row>
    <row r="10" spans="2:24">
      <c r="T10" s="12">
        <f>SUM(Table23[[#This Row],[Total Sharing % (Weekly)]:[Total Subsidi Molis KSJ (Monthly)]])-SUM(Table23[[#This Row],[Total Selling Comission/Sales (Weekly)]:[Total Income Sales (Weekly)]])</f>
        <v>0</v>
      </c>
      <c r="W10" s="6"/>
      <c r="X10" s="7"/>
    </row>
    <row r="11" spans="2:24">
      <c r="T11" s="12">
        <f>SUM(Table23[[#This Row],[Total Sharing % (Weekly)]:[Total Subsidi Molis KSJ (Monthly)]])-SUM(Table23[[#This Row],[Total Selling Comission/Sales (Weekly)]:[Total Income Sales (Weekly)]])</f>
        <v>0</v>
      </c>
      <c r="W11" s="6"/>
      <c r="X11" s="7"/>
    </row>
    <row r="12" spans="2:24" ht="15.95" thickBot="1">
      <c r="T12" s="12">
        <f>SUM(Table23[[#This Row],[Total Sharing % (Weekly)]:[Total Subsidi Molis KSJ (Monthly)]])-SUM(Table23[[#This Row],[Total Selling Comission/Sales (Weekly)]:[Total Income Sales (Weekly)]])</f>
        <v>0</v>
      </c>
      <c r="W12" s="8"/>
      <c r="X12" s="9"/>
    </row>
    <row r="13" spans="2:24">
      <c r="T13" s="12">
        <f>SUM(Table23[[#This Row],[Total Sharing % (Weekly)]:[Total Subsidi Molis KSJ (Monthly)]])-SUM(Table23[[#This Row],[Total Selling Comission/Sales (Weekly)]:[Total Income Sales (Weekly)]])</f>
        <v>0</v>
      </c>
    </row>
    <row r="14" spans="2:24">
      <c r="T14" s="12">
        <f>SUM(Table23[[#This Row],[Total Sharing % (Weekly)]:[Total Subsidi Molis KSJ (Monthly)]])-SUM(Table23[[#This Row],[Total Selling Comission/Sales (Weekly)]:[Total Income Sales (Weekly)]])</f>
        <v>0</v>
      </c>
    </row>
    <row r="15" spans="2:24">
      <c r="T15" s="12">
        <f>SUM(Table23[[#This Row],[Total Sharing % (Weekly)]:[Total Subsidi Molis KSJ (Monthly)]])-SUM(Table23[[#This Row],[Total Selling Comission/Sales (Weekly)]:[Total Income Sales (Weekly)]])</f>
        <v>0</v>
      </c>
    </row>
  </sheetData>
  <dataValidations count="2">
    <dataValidation type="list" allowBlank="1" showInputMessage="1" showErrorMessage="1" sqref="E3:E15" xr:uid="{64282885-0C99-40F4-9622-741DAF71CDFE}">
      <formula1>$W$3:$W$8</formula1>
    </dataValidation>
    <dataValidation type="list" allowBlank="1" showInputMessage="1" showErrorMessage="1" sqref="F3:F15" xr:uid="{26EBEE09-F205-4289-BC94-C4CD2AB0E9DF}">
      <formula1>$X$3:$X$10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2955-1F9F-4A7D-8631-8BA2B2FA9E49}">
  <sheetPr>
    <tabColor theme="8" tint="0.59999389629810485"/>
  </sheetPr>
  <dimension ref="A1:X64"/>
  <sheetViews>
    <sheetView topLeftCell="A28" workbookViewId="0">
      <selection activeCell="B51" sqref="B51"/>
    </sheetView>
  </sheetViews>
  <sheetFormatPr defaultColWidth="11.42578125" defaultRowHeight="15"/>
  <cols>
    <col min="1" max="1" width="23" customWidth="1"/>
    <col min="2" max="2" width="22.7109375" customWidth="1"/>
    <col min="3" max="3" width="27" customWidth="1"/>
    <col min="4" max="4" width="29" customWidth="1"/>
    <col min="5" max="5" width="24.28515625" customWidth="1"/>
    <col min="6" max="6" width="1.7109375" customWidth="1"/>
    <col min="7" max="7" width="17.140625" customWidth="1"/>
    <col min="8" max="8" width="3.42578125" customWidth="1"/>
    <col min="9" max="9" width="15.7109375" customWidth="1"/>
    <col min="10" max="10" width="2.42578125" customWidth="1"/>
    <col min="11" max="11" width="13.42578125" customWidth="1"/>
    <col min="12" max="12" width="15" customWidth="1"/>
    <col min="13" max="13" width="16" customWidth="1"/>
    <col min="14" max="14" width="14.85546875" customWidth="1"/>
    <col min="15" max="15" width="1.85546875" customWidth="1"/>
    <col min="16" max="16" width="16.42578125" customWidth="1"/>
    <col min="17" max="17" width="10.28515625" customWidth="1"/>
    <col min="18" max="18" width="5.7109375" customWidth="1"/>
    <col min="19" max="19" width="2.7109375" customWidth="1"/>
    <col min="20" max="20" width="14.42578125" customWidth="1"/>
    <col min="21" max="21" width="12.42578125" bestFit="1" customWidth="1"/>
    <col min="22" max="22" width="11.140625" bestFit="1" customWidth="1"/>
    <col min="23" max="23" width="12" bestFit="1" customWidth="1"/>
    <col min="24" max="24" width="13.85546875" customWidth="1"/>
  </cols>
  <sheetData>
    <row r="1" spans="1:24">
      <c r="A1" s="230" t="s">
        <v>36</v>
      </c>
    </row>
    <row r="2" spans="1:24">
      <c r="A2" t="s">
        <v>37</v>
      </c>
      <c r="K2" s="91" t="s">
        <v>38</v>
      </c>
    </row>
    <row r="3" spans="1:24">
      <c r="A3" t="s">
        <v>39</v>
      </c>
      <c r="B3" t="s">
        <v>40</v>
      </c>
      <c r="C3" t="s">
        <v>41</v>
      </c>
      <c r="D3" t="s">
        <v>42</v>
      </c>
      <c r="E3" t="s">
        <v>43</v>
      </c>
      <c r="G3" t="s">
        <v>44</v>
      </c>
      <c r="I3" t="s">
        <v>45</v>
      </c>
      <c r="K3" t="s">
        <v>46</v>
      </c>
      <c r="L3" t="s">
        <v>47</v>
      </c>
      <c r="M3" t="s">
        <v>48</v>
      </c>
      <c r="N3" t="s">
        <v>49</v>
      </c>
      <c r="P3" s="89" t="s">
        <v>50</v>
      </c>
      <c r="Q3" s="89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</row>
    <row r="4" spans="1:24">
      <c r="A4">
        <v>316</v>
      </c>
      <c r="B4" s="16">
        <v>3087496000</v>
      </c>
      <c r="C4" s="16">
        <v>683337449</v>
      </c>
      <c r="D4" s="16">
        <v>200702143</v>
      </c>
      <c r="E4" s="16">
        <v>802748960</v>
      </c>
      <c r="F4" s="16"/>
      <c r="G4" s="16">
        <f>SUM(D4:F4)-C4</f>
        <v>320113654</v>
      </c>
      <c r="H4" s="16"/>
      <c r="I4" s="16">
        <f>D4+E4+F4</f>
        <v>1003451103</v>
      </c>
      <c r="K4" s="16">
        <v>19814286</v>
      </c>
      <c r="L4" s="16">
        <v>308070000</v>
      </c>
      <c r="M4" s="16">
        <v>2521683</v>
      </c>
      <c r="N4" s="16">
        <f>SUM(K4:M4)+C4</f>
        <v>1013743418</v>
      </c>
      <c r="P4" s="126">
        <f>(E4+F4+D4)-N4</f>
        <v>-10292315</v>
      </c>
      <c r="Q4" s="225">
        <f>P4/(D4+E4+F4)</f>
        <v>-1.0256917321859777E-2</v>
      </c>
      <c r="T4" s="16">
        <f>E4</f>
        <v>802748960</v>
      </c>
      <c r="X4" s="231">
        <f>B4-T4</f>
        <v>2284747040</v>
      </c>
    </row>
    <row r="5" spans="1:24">
      <c r="P5" s="89"/>
      <c r="Q5" s="89"/>
      <c r="T5" s="27">
        <f>T4/B4</f>
        <v>0.26</v>
      </c>
    </row>
    <row r="6" spans="1:24">
      <c r="P6" s="89"/>
      <c r="Q6" s="89"/>
    </row>
    <row r="7" spans="1:24">
      <c r="A7" s="233" t="s">
        <v>57</v>
      </c>
      <c r="P7" s="89"/>
      <c r="Q7" s="89"/>
    </row>
    <row r="8" spans="1:24">
      <c r="A8" t="s">
        <v>39</v>
      </c>
      <c r="B8" t="s">
        <v>40</v>
      </c>
      <c r="C8" t="s">
        <v>41</v>
      </c>
      <c r="D8" t="s">
        <v>58</v>
      </c>
      <c r="E8" t="s">
        <v>43</v>
      </c>
      <c r="G8" t="s">
        <v>59</v>
      </c>
      <c r="P8" s="89"/>
      <c r="Q8" s="89"/>
    </row>
    <row r="9" spans="1:24">
      <c r="A9">
        <v>316</v>
      </c>
      <c r="B9" s="16">
        <v>3087496000</v>
      </c>
      <c r="C9" s="16">
        <v>683337449</v>
      </c>
      <c r="D9" s="16">
        <f>A9*A10</f>
        <v>379200000</v>
      </c>
      <c r="E9" s="16">
        <f>C9*7%</f>
        <v>47833621.430000007</v>
      </c>
      <c r="F9" s="16"/>
      <c r="G9" s="16">
        <f>D9+E9+F9</f>
        <v>427033621.43000001</v>
      </c>
      <c r="H9" s="16"/>
      <c r="I9" s="16">
        <f>C9+D9+E9+F9</f>
        <v>1110371070.4300001</v>
      </c>
      <c r="K9" s="16">
        <v>19814286</v>
      </c>
      <c r="L9" s="16">
        <v>308070000</v>
      </c>
      <c r="M9" s="16">
        <v>2521683</v>
      </c>
      <c r="N9" s="16">
        <f>SUM(K9:M9)</f>
        <v>330405969</v>
      </c>
      <c r="P9" s="126">
        <f>G9-N9</f>
        <v>96627652.430000007</v>
      </c>
      <c r="Q9" s="225">
        <f>P9/(D9+E9+F9)</f>
        <v>0.22627645126963231</v>
      </c>
      <c r="T9" s="16"/>
      <c r="U9" s="16">
        <f>C9</f>
        <v>683337449</v>
      </c>
      <c r="V9" s="16">
        <f>E9</f>
        <v>47833621.430000007</v>
      </c>
      <c r="W9" s="16">
        <f>D9</f>
        <v>379200000</v>
      </c>
      <c r="X9" s="16">
        <f>B9-SUM(U9:W9)</f>
        <v>1977124929.5699999</v>
      </c>
    </row>
    <row r="10" spans="1:24">
      <c r="A10" s="1">
        <v>1200000</v>
      </c>
      <c r="P10" s="89"/>
      <c r="Q10" s="89"/>
      <c r="T10" s="27">
        <f>SUM(U9:W9)/B9</f>
        <v>0.3596348207187961</v>
      </c>
    </row>
    <row r="11" spans="1:24">
      <c r="P11" s="89"/>
      <c r="Q11" s="89"/>
    </row>
    <row r="12" spans="1:24" hidden="1">
      <c r="A12" t="s">
        <v>60</v>
      </c>
      <c r="P12" s="89"/>
      <c r="Q12" s="89"/>
    </row>
    <row r="13" spans="1:24" hidden="1">
      <c r="A13" t="s">
        <v>39</v>
      </c>
      <c r="B13" t="s">
        <v>40</v>
      </c>
      <c r="C13" t="s">
        <v>41</v>
      </c>
      <c r="D13" t="s">
        <v>58</v>
      </c>
      <c r="E13" t="s">
        <v>43</v>
      </c>
      <c r="G13" t="s">
        <v>59</v>
      </c>
      <c r="P13" s="89"/>
      <c r="Q13" s="89"/>
    </row>
    <row r="14" spans="1:24" hidden="1">
      <c r="A14">
        <v>316</v>
      </c>
      <c r="B14" s="16">
        <v>3087496000</v>
      </c>
      <c r="C14" s="16">
        <v>683337449</v>
      </c>
      <c r="D14" s="16">
        <f>A14*A10</f>
        <v>379200000</v>
      </c>
      <c r="E14" s="16">
        <f>B14*7%</f>
        <v>216124720.00000003</v>
      </c>
      <c r="F14" s="16"/>
      <c r="G14" s="16">
        <f>D14+E14+F14</f>
        <v>595324720</v>
      </c>
      <c r="H14" s="16"/>
      <c r="I14" s="16">
        <f>C14+D14+E14+F14</f>
        <v>1278662169</v>
      </c>
      <c r="K14" s="16">
        <v>19814286</v>
      </c>
      <c r="L14" s="16">
        <v>308070000</v>
      </c>
      <c r="M14" s="16">
        <v>2521683</v>
      </c>
      <c r="N14" s="16">
        <f>SUM(K14:M14)</f>
        <v>330405969</v>
      </c>
      <c r="P14" s="126">
        <f>G14-N14</f>
        <v>264918751</v>
      </c>
      <c r="Q14" s="225">
        <f>P14/(D14+E14+F14)</f>
        <v>0.44499874119119393</v>
      </c>
    </row>
    <row r="15" spans="1:24" hidden="1">
      <c r="P15" s="89"/>
      <c r="Q15" s="89"/>
    </row>
    <row r="16" spans="1:24" hidden="1">
      <c r="A16" s="233" t="s">
        <v>61</v>
      </c>
      <c r="P16" s="89"/>
      <c r="Q16" s="89"/>
    </row>
    <row r="17" spans="1:24" hidden="1">
      <c r="A17" t="s">
        <v>39</v>
      </c>
      <c r="B17" t="s">
        <v>40</v>
      </c>
      <c r="C17" t="s">
        <v>41</v>
      </c>
      <c r="D17" t="s">
        <v>58</v>
      </c>
      <c r="E17" t="s">
        <v>43</v>
      </c>
      <c r="G17" t="s">
        <v>59</v>
      </c>
      <c r="P17" s="89"/>
      <c r="Q17" s="89"/>
    </row>
    <row r="18" spans="1:24" hidden="1">
      <c r="A18">
        <v>316</v>
      </c>
      <c r="B18" s="16">
        <v>3087496000</v>
      </c>
      <c r="C18" s="16">
        <v>683337449</v>
      </c>
      <c r="D18" s="16">
        <f>A18*A19</f>
        <v>316000000</v>
      </c>
      <c r="E18" s="16">
        <f>B18*10%</f>
        <v>308749600</v>
      </c>
      <c r="F18" s="16"/>
      <c r="G18" s="16">
        <f>D18+E18+F18</f>
        <v>624749600</v>
      </c>
      <c r="H18" s="16"/>
      <c r="I18" s="16">
        <f>C18+D18+E18+F18</f>
        <v>1308087049</v>
      </c>
      <c r="K18" s="16">
        <v>19814286</v>
      </c>
      <c r="L18" s="16">
        <v>308070000</v>
      </c>
      <c r="M18" s="16">
        <v>2521683</v>
      </c>
      <c r="N18" s="16">
        <f>SUM(K18:M18)</f>
        <v>330405969</v>
      </c>
      <c r="P18" s="126">
        <f>G18-N18</f>
        <v>294343631</v>
      </c>
      <c r="Q18" s="225">
        <f>P18/(D18+E18+F18)</f>
        <v>0.47113856655530473</v>
      </c>
    </row>
    <row r="19" spans="1:24" hidden="1">
      <c r="A19" s="1">
        <v>1000000</v>
      </c>
      <c r="P19" s="89"/>
      <c r="Q19" s="89"/>
    </row>
    <row r="20" spans="1:24">
      <c r="P20" s="89"/>
      <c r="Q20" s="89"/>
    </row>
    <row r="21" spans="1:24">
      <c r="A21" t="s">
        <v>62</v>
      </c>
      <c r="P21" s="89"/>
      <c r="Q21" s="89"/>
    </row>
    <row r="22" spans="1:24">
      <c r="A22" t="s">
        <v>39</v>
      </c>
      <c r="B22" t="s">
        <v>40</v>
      </c>
      <c r="C22" t="s">
        <v>41</v>
      </c>
      <c r="D22" t="s">
        <v>58</v>
      </c>
      <c r="E22" t="s">
        <v>43</v>
      </c>
      <c r="G22" t="s">
        <v>59</v>
      </c>
      <c r="P22" s="89"/>
      <c r="Q22" s="89"/>
    </row>
    <row r="23" spans="1:24">
      <c r="A23">
        <v>316</v>
      </c>
      <c r="B23" s="16">
        <v>3087496000</v>
      </c>
      <c r="C23" s="16">
        <v>683337449</v>
      </c>
      <c r="D23" s="16">
        <f>A23*A24</f>
        <v>316000000</v>
      </c>
      <c r="E23" s="16">
        <f>C23*10%</f>
        <v>68333744.900000006</v>
      </c>
      <c r="F23" s="16"/>
      <c r="G23" s="16">
        <f>D23+E23+F23</f>
        <v>384333744.89999998</v>
      </c>
      <c r="H23" s="16"/>
      <c r="I23" s="16">
        <f>C23+D23+E23+F23</f>
        <v>1067671193.9</v>
      </c>
      <c r="K23" s="16">
        <v>19814286</v>
      </c>
      <c r="L23" s="16">
        <v>308070000</v>
      </c>
      <c r="M23" s="16">
        <v>2521683</v>
      </c>
      <c r="N23" s="16">
        <f>SUM(K23:M23)</f>
        <v>330405969</v>
      </c>
      <c r="P23" s="126">
        <f>G23-N23</f>
        <v>53927775.899999976</v>
      </c>
      <c r="Q23" s="225">
        <f>P23/(D23+E23+F23)</f>
        <v>0.14031496483357578</v>
      </c>
    </row>
    <row r="24" spans="1:24">
      <c r="A24" s="1">
        <v>1000000</v>
      </c>
      <c r="P24" s="89"/>
      <c r="Q24" s="89"/>
    </row>
    <row r="25" spans="1:24" ht="15.95" thickBot="1">
      <c r="P25" s="89"/>
      <c r="Q25" s="89"/>
    </row>
    <row r="26" spans="1:24">
      <c r="A26" s="219" t="s">
        <v>63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6"/>
      <c r="Q26" s="227"/>
    </row>
    <row r="27" spans="1:24">
      <c r="A27" s="221" t="s">
        <v>39</v>
      </c>
      <c r="B27" t="s">
        <v>40</v>
      </c>
      <c r="C27" t="s">
        <v>41</v>
      </c>
      <c r="D27" t="s">
        <v>58</v>
      </c>
      <c r="E27" t="s">
        <v>43</v>
      </c>
      <c r="G27" t="s">
        <v>59</v>
      </c>
      <c r="P27" s="89"/>
      <c r="Q27" s="228"/>
      <c r="X27" s="16"/>
    </row>
    <row r="28" spans="1:24">
      <c r="A28" s="232">
        <v>303</v>
      </c>
      <c r="B28" s="16">
        <v>3087496000</v>
      </c>
      <c r="C28" s="16">
        <v>683337449</v>
      </c>
      <c r="D28" s="16">
        <f>A28*A29</f>
        <v>303000000</v>
      </c>
      <c r="E28" s="16">
        <f>C28*7%</f>
        <v>47833621.430000007</v>
      </c>
      <c r="F28" s="16"/>
      <c r="G28" s="16">
        <f>D28+E28+F28</f>
        <v>350833621.43000001</v>
      </c>
      <c r="H28" s="16"/>
      <c r="I28" s="16">
        <f>C28+D28+E28+F28</f>
        <v>1034171070.4300001</v>
      </c>
      <c r="K28" s="16">
        <v>19814286</v>
      </c>
      <c r="L28" s="16">
        <v>308070000</v>
      </c>
      <c r="M28" s="16">
        <v>2521683</v>
      </c>
      <c r="N28" s="16">
        <f>SUM(K28:M28)</f>
        <v>330405969</v>
      </c>
      <c r="P28" s="126">
        <f>G28-N28</f>
        <v>20427652.430000007</v>
      </c>
      <c r="Q28" s="229">
        <f>P28/(D28+E28+F28)</f>
        <v>5.822603987250928E-2</v>
      </c>
      <c r="T28" s="16">
        <f>SUM(U28:V28)</f>
        <v>731171070.43000007</v>
      </c>
      <c r="U28" s="16">
        <f>C28</f>
        <v>683337449</v>
      </c>
      <c r="V28" s="16">
        <f>E28</f>
        <v>47833621.430000007</v>
      </c>
      <c r="W28" s="16">
        <f>D28</f>
        <v>303000000</v>
      </c>
      <c r="X28" s="231">
        <f>B28-SUM(U28:W28)</f>
        <v>2053324929.5699999</v>
      </c>
    </row>
    <row r="29" spans="1:24" ht="15.95" thickBot="1">
      <c r="A29" s="222">
        <v>1000000</v>
      </c>
      <c r="B29" s="223"/>
      <c r="C29" s="223" t="s">
        <v>64</v>
      </c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4"/>
      <c r="T29" s="27">
        <f>SUM(U28:W28)/B28</f>
        <v>0.33495462680113597</v>
      </c>
    </row>
    <row r="31" spans="1:24">
      <c r="B31" s="174" t="s">
        <v>65</v>
      </c>
      <c r="C31" t="s">
        <v>66</v>
      </c>
      <c r="D31" s="16">
        <f>C28</f>
        <v>683337449</v>
      </c>
      <c r="N31" s="16">
        <f>C28+E28</f>
        <v>731171070.43000007</v>
      </c>
      <c r="P31" s="16">
        <f>C28+K28+M28</f>
        <v>705673418</v>
      </c>
      <c r="Q31" s="16">
        <f>N31-P31</f>
        <v>25497652.430000067</v>
      </c>
      <c r="R31" s="13">
        <f>Q31/N31</f>
        <v>3.4872348566806606E-2</v>
      </c>
    </row>
    <row r="32" spans="1:24">
      <c r="B32" s="174" t="s">
        <v>67</v>
      </c>
      <c r="C32" t="s">
        <v>68</v>
      </c>
      <c r="D32" s="16">
        <f>E28</f>
        <v>47833621.430000007</v>
      </c>
      <c r="I32" s="199"/>
      <c r="T32" s="27"/>
    </row>
    <row r="33" spans="1:11">
      <c r="A33" t="s">
        <v>69</v>
      </c>
      <c r="B33" s="174" t="s">
        <v>70</v>
      </c>
      <c r="C33" s="234" t="s">
        <v>71</v>
      </c>
      <c r="D33" s="235">
        <f>SUM(D31:D32)</f>
        <v>731171070.43000007</v>
      </c>
      <c r="E33" s="236" t="s">
        <v>72</v>
      </c>
      <c r="G33" s="16">
        <f>D33*11%</f>
        <v>80428817.747300014</v>
      </c>
      <c r="H33" t="s">
        <v>73</v>
      </c>
      <c r="K33" t="s">
        <v>74</v>
      </c>
    </row>
    <row r="34" spans="1:11">
      <c r="B34" s="174" t="s">
        <v>75</v>
      </c>
      <c r="C34" t="s">
        <v>58</v>
      </c>
      <c r="D34" s="16">
        <f>D28</f>
        <v>303000000</v>
      </c>
      <c r="G34" s="16">
        <f>D9-D34</f>
        <v>76200000</v>
      </c>
      <c r="K34" t="s">
        <v>76</v>
      </c>
    </row>
    <row r="35" spans="1:11">
      <c r="K35" t="s">
        <v>77</v>
      </c>
    </row>
    <row r="36" spans="1:11">
      <c r="B36" s="174" t="s">
        <v>78</v>
      </c>
      <c r="C36" s="30" t="s">
        <v>79</v>
      </c>
      <c r="D36" s="161">
        <f>D33+D34</f>
        <v>1034171070.4300001</v>
      </c>
    </row>
    <row r="38" spans="1:11">
      <c r="C38" t="s">
        <v>80</v>
      </c>
    </row>
    <row r="39" spans="1:11">
      <c r="C39" t="s">
        <v>81</v>
      </c>
    </row>
    <row r="40" spans="1:11">
      <c r="C40" t="s">
        <v>82</v>
      </c>
    </row>
    <row r="49" spans="1:5">
      <c r="A49" t="s">
        <v>83</v>
      </c>
    </row>
    <row r="51" spans="1:5">
      <c r="A51" t="s">
        <v>84</v>
      </c>
    </row>
    <row r="53" spans="1:5">
      <c r="A53" t="s">
        <v>85</v>
      </c>
      <c r="B53" t="s">
        <v>86</v>
      </c>
      <c r="C53" t="s">
        <v>87</v>
      </c>
      <c r="D53" t="s">
        <v>88</v>
      </c>
    </row>
    <row r="54" spans="1:5">
      <c r="D54" t="s">
        <v>89</v>
      </c>
    </row>
    <row r="55" spans="1:5">
      <c r="C55" t="s">
        <v>90</v>
      </c>
      <c r="D55" t="s">
        <v>91</v>
      </c>
    </row>
    <row r="56" spans="1:5">
      <c r="D56" s="239" t="s">
        <v>92</v>
      </c>
    </row>
    <row r="57" spans="1:5">
      <c r="D57" t="s">
        <v>93</v>
      </c>
      <c r="E57" t="s">
        <v>94</v>
      </c>
    </row>
    <row r="59" spans="1:5">
      <c r="A59" t="s">
        <v>68</v>
      </c>
      <c r="B59" t="s">
        <v>95</v>
      </c>
    </row>
    <row r="61" spans="1:5">
      <c r="A61" t="s">
        <v>96</v>
      </c>
      <c r="B61" t="s">
        <v>97</v>
      </c>
      <c r="C61" t="s">
        <v>98</v>
      </c>
    </row>
    <row r="64" spans="1:5">
      <c r="A6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08AD-9C72-9B4B-BB45-A2DFE4170A2B}">
  <sheetPr>
    <tabColor rgb="FF92D050"/>
  </sheetPr>
  <dimension ref="B1:GW193"/>
  <sheetViews>
    <sheetView zoomScale="125" workbookViewId="0">
      <pane ySplit="5" topLeftCell="A70" activePane="bottomLeft" state="frozen"/>
      <selection pane="bottomLeft" activeCell="G93" sqref="G93"/>
    </sheetView>
  </sheetViews>
  <sheetFormatPr defaultColWidth="11.42578125" defaultRowHeight="15"/>
  <cols>
    <col min="1" max="1" width="2" customWidth="1"/>
    <col min="2" max="2" width="18.5703125" bestFit="1" customWidth="1"/>
    <col min="3" max="3" width="18.7109375" bestFit="1" customWidth="1"/>
    <col min="4" max="4" width="11.28515625" bestFit="1" customWidth="1"/>
    <col min="5" max="5" width="15" bestFit="1" customWidth="1"/>
    <col min="6" max="6" width="18.5703125" bestFit="1" customWidth="1"/>
    <col min="7" max="7" width="31.28515625" bestFit="1" customWidth="1"/>
    <col min="8" max="8" width="13.85546875" bestFit="1" customWidth="1"/>
    <col min="9" max="10" width="15.7109375" bestFit="1" customWidth="1"/>
    <col min="11" max="11" width="14.5703125" bestFit="1" customWidth="1"/>
    <col min="12" max="12" width="15.7109375" bestFit="1" customWidth="1"/>
    <col min="13" max="13" width="12.85546875" bestFit="1" customWidth="1"/>
    <col min="14" max="14" width="7.85546875" bestFit="1" customWidth="1"/>
    <col min="15" max="15" width="8.140625" bestFit="1" customWidth="1"/>
    <col min="16" max="18" width="9.140625" bestFit="1" customWidth="1"/>
    <col min="19" max="19" width="18.28515625" customWidth="1"/>
    <col min="20" max="20" width="21.7109375" customWidth="1"/>
    <col min="21" max="21" width="12.42578125" customWidth="1"/>
    <col min="22" max="22" width="15.85546875" bestFit="1" customWidth="1"/>
    <col min="23" max="23" width="18.85546875" bestFit="1" customWidth="1"/>
    <col min="24" max="24" width="34.85546875" bestFit="1" customWidth="1"/>
    <col min="25" max="25" width="15.85546875" bestFit="1" customWidth="1"/>
    <col min="26" max="26" width="13.140625" bestFit="1" customWidth="1"/>
    <col min="27" max="27" width="14.85546875" bestFit="1" customWidth="1"/>
    <col min="28" max="29" width="15.85546875" bestFit="1" customWidth="1"/>
    <col min="30" max="30" width="14.85546875" bestFit="1" customWidth="1"/>
    <col min="31" max="31" width="15.85546875" bestFit="1" customWidth="1"/>
    <col min="32" max="32" width="13.140625" bestFit="1" customWidth="1"/>
    <col min="33" max="33" width="7.85546875" bestFit="1" customWidth="1"/>
    <col min="34" max="34" width="9.140625" bestFit="1" customWidth="1"/>
    <col min="35" max="35" width="8" customWidth="1"/>
    <col min="36" max="36" width="13.28515625" customWidth="1"/>
    <col min="37" max="37" width="12.28515625" bestFit="1" customWidth="1"/>
    <col min="38" max="38" width="6.85546875" customWidth="1"/>
    <col min="39" max="41" width="0" hidden="1" customWidth="1"/>
    <col min="43" max="43" width="15.85546875" bestFit="1" customWidth="1"/>
    <col min="44" max="44" width="18.85546875" bestFit="1" customWidth="1"/>
    <col min="45" max="45" width="15.85546875" bestFit="1" customWidth="1"/>
    <col min="46" max="46" width="15.140625" bestFit="1" customWidth="1"/>
    <col min="47" max="47" width="12.85546875" bestFit="1" customWidth="1"/>
    <col min="48" max="48" width="14.85546875" bestFit="1" customWidth="1"/>
    <col min="49" max="49" width="15.85546875" bestFit="1" customWidth="1"/>
    <col min="50" max="50" width="14.85546875" bestFit="1" customWidth="1"/>
    <col min="51" max="51" width="15.85546875" bestFit="1" customWidth="1"/>
    <col min="52" max="52" width="13.140625" bestFit="1" customWidth="1"/>
    <col min="53" max="53" width="7.85546875" bestFit="1" customWidth="1"/>
    <col min="54" max="54" width="2.7109375" customWidth="1"/>
    <col min="55" max="55" width="7.7109375" customWidth="1"/>
    <col min="56" max="56" width="10.85546875" customWidth="1"/>
    <col min="57" max="58" width="11.7109375" bestFit="1" customWidth="1"/>
    <col min="59" max="59" width="6.28515625" customWidth="1"/>
    <col min="60" max="60" width="11.7109375" bestFit="1" customWidth="1"/>
    <col min="61" max="61" width="7.85546875" customWidth="1"/>
    <col min="66" max="66" width="12.85546875" customWidth="1"/>
    <col min="67" max="67" width="15.85546875" bestFit="1" customWidth="1"/>
    <col min="68" max="68" width="34.42578125" bestFit="1" customWidth="1"/>
    <col min="69" max="69" width="15.85546875" bestFit="1" customWidth="1"/>
    <col min="70" max="70" width="15.140625" bestFit="1" customWidth="1"/>
    <col min="71" max="71" width="14.7109375" bestFit="1" customWidth="1"/>
    <col min="72" max="72" width="15.140625" bestFit="1" customWidth="1"/>
    <col min="73" max="73" width="14.85546875" bestFit="1" customWidth="1"/>
    <col min="74" max="74" width="15.85546875" bestFit="1" customWidth="1"/>
    <col min="75" max="75" width="13.42578125" bestFit="1" customWidth="1"/>
    <col min="76" max="76" width="15.85546875" bestFit="1" customWidth="1"/>
    <col min="77" max="77" width="14.85546875" bestFit="1" customWidth="1"/>
    <col min="78" max="78" width="13.140625" bestFit="1" customWidth="1"/>
    <col min="79" max="79" width="21.42578125" bestFit="1" customWidth="1"/>
    <col min="80" max="80" width="26.7109375" bestFit="1" customWidth="1"/>
    <col min="81" max="81" width="15.28515625" bestFit="1" customWidth="1"/>
    <col min="82" max="82" width="14.85546875" bestFit="1" customWidth="1"/>
    <col min="83" max="84" width="12.85546875" bestFit="1" customWidth="1"/>
    <col min="85" max="85" width="19.28515625" bestFit="1" customWidth="1"/>
    <col min="86" max="86" width="34.85546875" bestFit="1" customWidth="1"/>
    <col min="87" max="89" width="33.42578125" bestFit="1" customWidth="1"/>
    <col min="90" max="90" width="12.85546875" bestFit="1" customWidth="1"/>
    <col min="94" max="94" width="15.85546875" bestFit="1" customWidth="1"/>
    <col min="95" max="95" width="9.85546875" bestFit="1" customWidth="1"/>
    <col min="96" max="96" width="31" bestFit="1" customWidth="1"/>
    <col min="97" max="97" width="33.28515625" bestFit="1" customWidth="1"/>
    <col min="98" max="98" width="12.85546875" bestFit="1" customWidth="1"/>
    <col min="99" max="99" width="13" bestFit="1" customWidth="1"/>
    <col min="100" max="100" width="20.85546875" bestFit="1" customWidth="1"/>
    <col min="101" max="101" width="19.140625" bestFit="1" customWidth="1"/>
    <col min="102" max="102" width="8.85546875" bestFit="1" customWidth="1"/>
    <col min="103" max="108" width="8.140625" bestFit="1" customWidth="1"/>
    <col min="109" max="109" width="10.42578125" bestFit="1" customWidth="1"/>
    <col min="110" max="110" width="8.140625" bestFit="1" customWidth="1"/>
    <col min="111" max="112" width="10.140625" bestFit="1" customWidth="1"/>
    <col min="113" max="113" width="11.140625" bestFit="1" customWidth="1"/>
    <col min="116" max="116" width="15.85546875" bestFit="1" customWidth="1"/>
    <col min="117" max="117" width="9.85546875" bestFit="1" customWidth="1"/>
    <col min="118" max="118" width="18" bestFit="1" customWidth="1"/>
    <col min="119" max="119" width="15.85546875" bestFit="1" customWidth="1"/>
    <col min="120" max="120" width="13.140625" bestFit="1" customWidth="1"/>
    <col min="121" max="121" width="7.140625" bestFit="1" customWidth="1"/>
    <col min="122" max="122" width="8.42578125" bestFit="1" customWidth="1"/>
    <col min="123" max="123" width="17.140625" bestFit="1" customWidth="1"/>
    <col min="124" max="124" width="12.140625" customWidth="1"/>
    <col min="125" max="125" width="13.140625" customWidth="1"/>
    <col min="126" max="126" width="10.85546875" bestFit="1" customWidth="1"/>
    <col min="127" max="127" width="10.7109375" bestFit="1" customWidth="1"/>
    <col min="129" max="129" width="11.7109375" bestFit="1" customWidth="1"/>
    <col min="130" max="130" width="15" customWidth="1"/>
    <col min="131" max="131" width="12.28515625" bestFit="1" customWidth="1"/>
    <col min="133" max="133" width="15.85546875" bestFit="1" customWidth="1"/>
    <col min="134" max="134" width="30.140625" bestFit="1" customWidth="1"/>
    <col min="135" max="135" width="10.7109375" bestFit="1" customWidth="1"/>
    <col min="136" max="136" width="14.85546875" bestFit="1" customWidth="1"/>
    <col min="137" max="137" width="18" bestFit="1" customWidth="1"/>
    <col min="138" max="138" width="13.42578125" bestFit="1" customWidth="1"/>
    <col min="139" max="139" width="14.140625" bestFit="1" customWidth="1"/>
    <col min="140" max="141" width="15.85546875" bestFit="1" customWidth="1"/>
    <col min="142" max="142" width="14.85546875" bestFit="1" customWidth="1"/>
    <col min="143" max="143" width="15.85546875" bestFit="1" customWidth="1"/>
    <col min="144" max="144" width="13.140625" bestFit="1" customWidth="1"/>
    <col min="145" max="145" width="7.140625" bestFit="1" customWidth="1"/>
    <col min="146" max="146" width="9.140625" bestFit="1" customWidth="1"/>
    <col min="152" max="152" width="13.140625" bestFit="1" customWidth="1"/>
    <col min="153" max="153" width="9.28515625" bestFit="1" customWidth="1"/>
    <col min="154" max="154" width="13.7109375" bestFit="1" customWidth="1"/>
    <col min="155" max="155" width="18" bestFit="1" customWidth="1"/>
    <col min="156" max="156" width="12.7109375" bestFit="1" customWidth="1"/>
    <col min="157" max="157" width="13" bestFit="1" customWidth="1"/>
    <col min="158" max="158" width="14.7109375" bestFit="1" customWidth="1"/>
    <col min="159" max="159" width="14.28515625" bestFit="1" customWidth="1"/>
    <col min="160" max="160" width="14.7109375" bestFit="1" customWidth="1"/>
    <col min="161" max="161" width="14.28515625" bestFit="1" customWidth="1"/>
    <col min="162" max="162" width="26.7109375" bestFit="1" customWidth="1"/>
    <col min="163" max="163" width="14.7109375" bestFit="1" customWidth="1"/>
    <col min="164" max="164" width="12.140625" bestFit="1" customWidth="1"/>
    <col min="165" max="165" width="7.140625" bestFit="1" customWidth="1"/>
    <col min="166" max="166" width="7.28515625" bestFit="1" customWidth="1"/>
    <col min="175" max="175" width="15.85546875" bestFit="1" customWidth="1"/>
    <col min="176" max="176" width="10.42578125" bestFit="1" customWidth="1"/>
    <col min="177" max="177" width="15.85546875" bestFit="1" customWidth="1"/>
    <col min="178" max="178" width="15.140625" bestFit="1" customWidth="1"/>
    <col min="179" max="179" width="13.140625" bestFit="1" customWidth="1"/>
    <col min="180" max="180" width="14.85546875" bestFit="1" customWidth="1"/>
    <col min="181" max="181" width="15.85546875" bestFit="1" customWidth="1"/>
    <col min="182" max="183" width="14.85546875" bestFit="1" customWidth="1"/>
    <col min="184" max="184" width="15.85546875" bestFit="1" customWidth="1"/>
    <col min="185" max="185" width="13.140625" bestFit="1" customWidth="1"/>
    <col min="186" max="186" width="7.140625" bestFit="1" customWidth="1"/>
    <col min="187" max="187" width="9.140625" bestFit="1" customWidth="1"/>
    <col min="189" max="189" width="15.85546875" bestFit="1" customWidth="1"/>
    <col min="190" max="190" width="11.85546875" bestFit="1" customWidth="1"/>
    <col min="191" max="191" width="18.42578125" bestFit="1" customWidth="1"/>
    <col min="192" max="192" width="19.42578125" bestFit="1" customWidth="1"/>
    <col min="193" max="193" width="18.85546875" bestFit="1" customWidth="1"/>
    <col min="194" max="194" width="20.140625" bestFit="1" customWidth="1"/>
    <col min="195" max="195" width="15.85546875" bestFit="1" customWidth="1"/>
    <col min="196" max="196" width="18.85546875" bestFit="1" customWidth="1"/>
    <col min="197" max="198" width="15.85546875" bestFit="1" customWidth="1"/>
    <col min="199" max="199" width="13.140625" bestFit="1" customWidth="1"/>
    <col min="200" max="200" width="8.140625" bestFit="1" customWidth="1"/>
    <col min="201" max="201" width="12.42578125" bestFit="1" customWidth="1"/>
  </cols>
  <sheetData>
    <row r="1" spans="2:205" ht="9.9499999999999993" customHeight="1">
      <c r="G1" s="16"/>
      <c r="H1" s="16"/>
      <c r="J1" s="16"/>
    </row>
    <row r="2" spans="2:205" ht="15.95">
      <c r="B2" s="10" t="s">
        <v>100</v>
      </c>
      <c r="C2" t="s">
        <v>101</v>
      </c>
      <c r="E2" s="12"/>
      <c r="F2" s="131"/>
      <c r="I2" s="123"/>
      <c r="J2" s="158"/>
      <c r="V2" s="31" t="s">
        <v>102</v>
      </c>
      <c r="W2" t="s">
        <v>101</v>
      </c>
      <c r="X2" t="s">
        <v>103</v>
      </c>
      <c r="AQ2" s="31" t="s">
        <v>104</v>
      </c>
      <c r="AR2" t="s">
        <v>105</v>
      </c>
      <c r="AT2" cm="1">
        <f t="array" ref="AT2:AZ2">TRANSPOSE(W20:W26)</f>
        <v>422781</v>
      </c>
      <c r="AU2">
        <v>417406</v>
      </c>
      <c r="AV2">
        <v>309737</v>
      </c>
      <c r="AW2">
        <v>437817</v>
      </c>
      <c r="AX2">
        <v>450300</v>
      </c>
      <c r="AY2">
        <v>430055</v>
      </c>
      <c r="AZ2">
        <v>434599</v>
      </c>
      <c r="BC2" s="27"/>
      <c r="BD2" s="27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</row>
    <row r="3" spans="2:205" ht="15.95">
      <c r="B3" s="10" t="s">
        <v>104</v>
      </c>
      <c r="C3" t="s">
        <v>105</v>
      </c>
      <c r="F3" s="13"/>
      <c r="V3" s="10" t="s">
        <v>106</v>
      </c>
      <c r="W3" t="s">
        <v>101</v>
      </c>
      <c r="AQ3" s="10" t="s">
        <v>0</v>
      </c>
      <c r="AR3" t="s">
        <v>101</v>
      </c>
      <c r="BC3" s="27"/>
      <c r="BD3" s="27"/>
      <c r="BN3" s="89"/>
      <c r="BO3" s="90" t="s">
        <v>107</v>
      </c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G3" s="10" t="s">
        <v>106</v>
      </c>
      <c r="CH3" t="s">
        <v>101</v>
      </c>
      <c r="EC3" s="31" t="s">
        <v>102</v>
      </c>
      <c r="ED3" t="s">
        <v>101</v>
      </c>
      <c r="FS3" s="10" t="s">
        <v>104</v>
      </c>
      <c r="FT3" s="11">
        <v>2025</v>
      </c>
      <c r="GG3" s="31" t="s">
        <v>102</v>
      </c>
      <c r="GH3" t="s">
        <v>101</v>
      </c>
    </row>
    <row r="4" spans="2:205" ht="15.95" thickBot="1">
      <c r="G4" t="s">
        <v>108</v>
      </c>
      <c r="AI4" t="s">
        <v>109</v>
      </c>
      <c r="AL4" t="s">
        <v>110</v>
      </c>
      <c r="BC4" s="27"/>
      <c r="BD4" s="27" t="s">
        <v>111</v>
      </c>
      <c r="BE4" t="s">
        <v>112</v>
      </c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DY4" t="s">
        <v>109</v>
      </c>
      <c r="EQ4" t="s">
        <v>109</v>
      </c>
      <c r="EV4" s="32"/>
      <c r="FK4" t="s">
        <v>109</v>
      </c>
      <c r="FS4" s="10" t="s">
        <v>3</v>
      </c>
      <c r="FT4" t="s">
        <v>101</v>
      </c>
      <c r="GG4" s="10" t="s">
        <v>3</v>
      </c>
      <c r="GH4" t="s">
        <v>101</v>
      </c>
    </row>
    <row r="5" spans="2:205" s="32" customFormat="1" ht="57.75">
      <c r="B5" s="257" t="s">
        <v>113</v>
      </c>
      <c r="C5" s="32" t="s">
        <v>114</v>
      </c>
      <c r="D5" s="32" t="s">
        <v>115</v>
      </c>
      <c r="E5" s="32" t="s">
        <v>116</v>
      </c>
      <c r="F5" s="291" t="s">
        <v>117</v>
      </c>
      <c r="G5" s="249" t="s">
        <v>118</v>
      </c>
      <c r="H5" s="249" t="s">
        <v>119</v>
      </c>
      <c r="I5" s="249" t="s">
        <v>120</v>
      </c>
      <c r="J5" s="251" t="s">
        <v>121</v>
      </c>
      <c r="K5" s="251" t="s">
        <v>122</v>
      </c>
      <c r="L5" s="251" t="s">
        <v>123</v>
      </c>
      <c r="M5" s="269" t="s">
        <v>124</v>
      </c>
      <c r="N5" s="269" t="s">
        <v>125</v>
      </c>
      <c r="O5" s="159" t="s">
        <v>126</v>
      </c>
      <c r="P5" s="159" t="s">
        <v>127</v>
      </c>
      <c r="Q5" s="159" t="s">
        <v>128</v>
      </c>
      <c r="R5" s="159" t="s">
        <v>129</v>
      </c>
      <c r="U5" s="32" t="s">
        <v>130</v>
      </c>
      <c r="V5" s="31" t="s">
        <v>113</v>
      </c>
      <c r="W5" s="32" t="s">
        <v>114</v>
      </c>
      <c r="X5" s="32" t="s">
        <v>116</v>
      </c>
      <c r="Y5" s="249" t="s">
        <v>117</v>
      </c>
      <c r="Z5" s="249" t="s">
        <v>118</v>
      </c>
      <c r="AA5" s="249" t="s">
        <v>119</v>
      </c>
      <c r="AB5" s="270" t="s">
        <v>120</v>
      </c>
      <c r="AC5" s="251" t="s">
        <v>121</v>
      </c>
      <c r="AD5" s="251" t="s">
        <v>122</v>
      </c>
      <c r="AE5" s="251" t="s">
        <v>123</v>
      </c>
      <c r="AF5" s="269" t="s">
        <v>124</v>
      </c>
      <c r="AG5" s="269" t="s">
        <v>125</v>
      </c>
      <c r="AH5" s="159" t="s">
        <v>126</v>
      </c>
      <c r="AI5" s="193" t="s">
        <v>127</v>
      </c>
      <c r="AJ5" s="193" t="s">
        <v>131</v>
      </c>
      <c r="AK5" s="193" t="s">
        <v>129</v>
      </c>
      <c r="AL5" s="193"/>
      <c r="AM5" s="159" t="s">
        <v>132</v>
      </c>
      <c r="AN5" s="159" t="s">
        <v>131</v>
      </c>
      <c r="AO5" s="159" t="s">
        <v>129</v>
      </c>
      <c r="AQ5" s="31" t="s">
        <v>113</v>
      </c>
      <c r="AR5" s="32" t="s">
        <v>114</v>
      </c>
      <c r="AS5" s="32" t="s">
        <v>116</v>
      </c>
      <c r="AT5" s="32" t="s">
        <v>117</v>
      </c>
      <c r="AU5" s="281" t="s">
        <v>118</v>
      </c>
      <c r="AV5" s="281" t="s">
        <v>119</v>
      </c>
      <c r="AW5" s="282" t="s">
        <v>120</v>
      </c>
      <c r="AX5" s="281" t="s">
        <v>133</v>
      </c>
      <c r="AY5" s="241" t="s">
        <v>123</v>
      </c>
      <c r="AZ5" s="32" t="s">
        <v>124</v>
      </c>
      <c r="BA5" s="32" t="s">
        <v>125</v>
      </c>
      <c r="BB5"/>
      <c r="BC5" s="129"/>
      <c r="BD5" s="129" t="s">
        <v>134</v>
      </c>
      <c r="BE5" s="129" t="s">
        <v>135</v>
      </c>
      <c r="BF5" s="129" t="s">
        <v>136</v>
      </c>
      <c r="BG5" s="129" t="s">
        <v>137</v>
      </c>
      <c r="BH5" s="129" t="s">
        <v>138</v>
      </c>
      <c r="BI5" s="129" t="s">
        <v>139</v>
      </c>
      <c r="BL5" s="160"/>
      <c r="BM5" s="160"/>
      <c r="BO5" s="31" t="s">
        <v>113</v>
      </c>
      <c r="BP5" s="249" t="s">
        <v>140</v>
      </c>
      <c r="BQ5" s="279" t="s">
        <v>141</v>
      </c>
      <c r="BR5" s="251" t="s">
        <v>142</v>
      </c>
      <c r="BS5" s="251" t="s">
        <v>143</v>
      </c>
      <c r="BT5" s="251" t="s">
        <v>144</v>
      </c>
      <c r="BU5" s="251" t="s">
        <v>145</v>
      </c>
      <c r="BV5" s="251" t="s">
        <v>146</v>
      </c>
      <c r="BW5" s="251" t="s">
        <v>147</v>
      </c>
      <c r="BX5" s="240" t="s">
        <v>148</v>
      </c>
      <c r="BY5" s="269" t="s">
        <v>149</v>
      </c>
      <c r="BZ5" s="269" t="s">
        <v>150</v>
      </c>
      <c r="CA5" s="33"/>
      <c r="CB5" s="146"/>
      <c r="CF5"/>
      <c r="CG5" s="31" t="s">
        <v>113</v>
      </c>
      <c r="CH5" t="s">
        <v>116</v>
      </c>
      <c r="CI5"/>
      <c r="CJ5"/>
      <c r="CK5"/>
      <c r="CP5" s="31" t="s">
        <v>151</v>
      </c>
      <c r="CQ5" t="s">
        <v>23</v>
      </c>
      <c r="CR5"/>
      <c r="CS5"/>
      <c r="CT5"/>
      <c r="CU5"/>
      <c r="CV5" s="31" t="s">
        <v>102</v>
      </c>
      <c r="CW5" t="s">
        <v>23</v>
      </c>
      <c r="CX5"/>
      <c r="CY5"/>
      <c r="CZ5"/>
      <c r="DA5"/>
      <c r="DB5"/>
      <c r="DC5"/>
      <c r="DD5"/>
      <c r="DE5"/>
      <c r="DF5"/>
      <c r="DG5"/>
      <c r="DH5"/>
      <c r="DL5" s="31" t="s">
        <v>113</v>
      </c>
      <c r="DM5" s="32" t="s">
        <v>114</v>
      </c>
      <c r="DN5" s="32" t="s">
        <v>120</v>
      </c>
      <c r="DO5" s="251" t="s">
        <v>123</v>
      </c>
      <c r="DP5" s="269" t="s">
        <v>124</v>
      </c>
      <c r="DQ5" s="269" t="s">
        <v>125</v>
      </c>
      <c r="DR5" s="159" t="s">
        <v>126</v>
      </c>
      <c r="DS5" t="s">
        <v>152</v>
      </c>
      <c r="DT5" t="s">
        <v>153</v>
      </c>
      <c r="DU5" t="s">
        <v>154</v>
      </c>
      <c r="DV5" t="s">
        <v>155</v>
      </c>
      <c r="DW5"/>
      <c r="DX5"/>
      <c r="DY5" s="159" t="s">
        <v>127</v>
      </c>
      <c r="DZ5" s="159" t="s">
        <v>131</v>
      </c>
      <c r="EA5" s="159" t="s">
        <v>129</v>
      </c>
      <c r="EC5" s="31" t="s">
        <v>113</v>
      </c>
      <c r="ED5" t="s">
        <v>133</v>
      </c>
      <c r="EE5" s="32" t="s">
        <v>114</v>
      </c>
      <c r="EF5" s="32" t="s">
        <v>116</v>
      </c>
      <c r="EG5" s="249" t="s">
        <v>117</v>
      </c>
      <c r="EH5" s="249" t="s">
        <v>118</v>
      </c>
      <c r="EI5" s="249" t="s">
        <v>119</v>
      </c>
      <c r="EJ5" s="270" t="s">
        <v>120</v>
      </c>
      <c r="EK5" s="251" t="s">
        <v>121</v>
      </c>
      <c r="EL5" s="251" t="s">
        <v>122</v>
      </c>
      <c r="EM5" s="251" t="s">
        <v>123</v>
      </c>
      <c r="EN5" s="269" t="s">
        <v>124</v>
      </c>
      <c r="EO5" s="269" t="s">
        <v>125</v>
      </c>
      <c r="EP5" s="159" t="s">
        <v>126</v>
      </c>
      <c r="EQ5" s="159" t="s">
        <v>127</v>
      </c>
      <c r="ER5" s="159" t="s">
        <v>131</v>
      </c>
      <c r="ES5" s="159" t="s">
        <v>129</v>
      </c>
      <c r="EV5" s="16" t="e" vm="1">
        <v>#VALUE!</v>
      </c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 s="159" t="s">
        <v>127</v>
      </c>
      <c r="FL5" s="159" t="s">
        <v>131</v>
      </c>
      <c r="FM5" s="159" t="s">
        <v>129</v>
      </c>
      <c r="FN5" s="159"/>
      <c r="FS5"/>
      <c r="FT5"/>
      <c r="FU5"/>
      <c r="FV5"/>
      <c r="FW5"/>
      <c r="FX5"/>
      <c r="FY5"/>
      <c r="FZ5"/>
      <c r="GA5"/>
      <c r="GB5"/>
      <c r="GC5"/>
      <c r="GD5"/>
      <c r="GE5"/>
      <c r="GG5"/>
      <c r="GH5"/>
      <c r="GI5"/>
      <c r="GJ5"/>
      <c r="GK5"/>
      <c r="GL5"/>
      <c r="GM5"/>
      <c r="GN5"/>
      <c r="GO5"/>
      <c r="GP5"/>
      <c r="GQ5"/>
      <c r="GR5"/>
      <c r="GS5"/>
      <c r="GT5" t="s">
        <v>109</v>
      </c>
      <c r="GU5"/>
      <c r="GV5"/>
      <c r="GW5" t="s">
        <v>110</v>
      </c>
    </row>
    <row r="6" spans="2:205" ht="48">
      <c r="B6" s="253" t="s">
        <v>23</v>
      </c>
      <c r="C6" s="255">
        <v>5602477.0115109766</v>
      </c>
      <c r="D6" s="255">
        <v>293</v>
      </c>
      <c r="E6" s="254">
        <v>49240961959.001152</v>
      </c>
      <c r="F6" s="36">
        <v>12161978083.700962</v>
      </c>
      <c r="G6" s="254">
        <v>931152463.99999917</v>
      </c>
      <c r="H6" s="254">
        <v>2958822539.8841276</v>
      </c>
      <c r="I6" s="255">
        <v>16126817287.539185</v>
      </c>
      <c r="J6" s="255">
        <v>10692854859.579622</v>
      </c>
      <c r="K6" s="255">
        <v>5205095517.5964375</v>
      </c>
      <c r="L6" s="255">
        <v>15897950377.17606</v>
      </c>
      <c r="M6" s="255">
        <v>228866910.20395905</v>
      </c>
      <c r="N6" s="256">
        <v>1.4191697352508555E-2</v>
      </c>
      <c r="O6" s="36">
        <v>8789.1412776579982</v>
      </c>
      <c r="P6" s="36"/>
      <c r="Q6" s="36"/>
      <c r="R6" s="36"/>
      <c r="V6" s="11">
        <v>2024</v>
      </c>
      <c r="W6" s="16">
        <v>1706366</v>
      </c>
      <c r="X6" s="16">
        <v>15091091000</v>
      </c>
      <c r="Y6" s="16">
        <v>3443392170</v>
      </c>
      <c r="Z6" s="16">
        <v>716927828.57142854</v>
      </c>
      <c r="AA6" s="16">
        <v>664209288.71428573</v>
      </c>
      <c r="AB6" s="12">
        <v>4827279287.2857141</v>
      </c>
      <c r="AC6" s="12">
        <v>3270366348.4285717</v>
      </c>
      <c r="AD6" s="12">
        <v>1208568514.2857141</v>
      </c>
      <c r="AE6" s="12">
        <v>4478934862.7142849</v>
      </c>
      <c r="AF6" s="12">
        <v>348344424.57142854</v>
      </c>
      <c r="AG6" s="13">
        <v>7.2161647139189225E-2</v>
      </c>
      <c r="AH6" s="35">
        <v>8843.9941958524723</v>
      </c>
      <c r="AI6" s="201"/>
      <c r="AJ6" s="201">
        <f t="shared" ref="AJ6" si="0">Y6/W6</f>
        <v>2017.9681088347986</v>
      </c>
      <c r="AK6" s="201">
        <f t="shared" ref="AK6:AK29" si="1">X6/W6</f>
        <v>8843.9941958524723</v>
      </c>
      <c r="AL6" s="201"/>
      <c r="AQ6" s="11" t="s">
        <v>23</v>
      </c>
      <c r="AR6" s="35">
        <v>4847474.2832826702</v>
      </c>
      <c r="AS6" s="35">
        <v>42692943300.277718</v>
      </c>
      <c r="AT6" s="16">
        <v>10468851489.882185</v>
      </c>
      <c r="AU6" s="280">
        <v>931152463.99999976</v>
      </c>
      <c r="AV6" s="35">
        <v>2476552539.8845992</v>
      </c>
      <c r="AW6" s="35">
        <v>13934770693.666662</v>
      </c>
      <c r="AX6" s="35">
        <v>4118653171.479538</v>
      </c>
      <c r="AY6" s="35">
        <v>13655662211.326653</v>
      </c>
      <c r="AZ6" s="35">
        <v>279108482.82297695</v>
      </c>
      <c r="BA6" s="13">
        <v>2.0029643038893423E-2</v>
      </c>
      <c r="BC6" s="27"/>
      <c r="BD6" s="27"/>
      <c r="BL6" s="161"/>
      <c r="BM6" s="161"/>
      <c r="BN6" s="80"/>
      <c r="BO6" s="11">
        <v>2024</v>
      </c>
      <c r="BP6" s="123">
        <v>2750000</v>
      </c>
      <c r="BQ6" s="123">
        <v>3446142170</v>
      </c>
      <c r="BR6" s="123">
        <v>1662117785.7142859</v>
      </c>
      <c r="BS6" s="123">
        <v>1366115870.7142859</v>
      </c>
      <c r="BT6" s="123">
        <v>216332692</v>
      </c>
      <c r="BU6" s="123">
        <v>25800000</v>
      </c>
      <c r="BV6" s="123">
        <v>0</v>
      </c>
      <c r="BW6" s="123">
        <v>335785.71428571426</v>
      </c>
      <c r="BX6" s="123">
        <v>3270702134.1428576</v>
      </c>
      <c r="BY6" s="123">
        <v>175440035.85714287</v>
      </c>
      <c r="BZ6" s="13">
        <v>5.0909111465109076E-2</v>
      </c>
      <c r="CB6" s="89"/>
      <c r="CG6" s="11">
        <v>2024</v>
      </c>
      <c r="CH6" s="123">
        <v>722084000</v>
      </c>
      <c r="DL6" s="11">
        <v>2025</v>
      </c>
      <c r="DM6" s="16">
        <v>4762093</v>
      </c>
      <c r="DN6" s="12">
        <v>13660009507.368313</v>
      </c>
      <c r="DO6" s="12">
        <v>13370112719.012707</v>
      </c>
      <c r="DP6" s="12">
        <v>289896788.35560316</v>
      </c>
      <c r="DQ6" s="13">
        <v>2.1222297700395493E-2</v>
      </c>
      <c r="DR6" s="35">
        <v>8812.2552612895215</v>
      </c>
      <c r="DY6" s="35"/>
      <c r="DZ6" s="35">
        <f t="shared" ref="DZ6" si="2">DO6/DM6</f>
        <v>2807.6126860631884</v>
      </c>
      <c r="EA6" s="35">
        <f t="shared" ref="EA6" si="3">DN6/DM6</f>
        <v>2868.4886051927824</v>
      </c>
      <c r="EC6" s="11">
        <v>2024</v>
      </c>
      <c r="ED6" s="199">
        <v>1208232728.5714285</v>
      </c>
      <c r="EE6" s="16">
        <v>1706366</v>
      </c>
      <c r="EF6" s="16">
        <v>15091091000</v>
      </c>
      <c r="EG6" s="16">
        <v>3443392170</v>
      </c>
      <c r="EH6" s="16">
        <v>716927828.57142854</v>
      </c>
      <c r="EI6" s="16">
        <v>664209288.71428573</v>
      </c>
      <c r="EJ6" s="12">
        <v>4827279287.2857141</v>
      </c>
      <c r="EK6" s="12">
        <v>3270366348.4285717</v>
      </c>
      <c r="EL6" s="12">
        <v>1208568514.2857141</v>
      </c>
      <c r="EM6" s="12">
        <v>4478934862.7142849</v>
      </c>
      <c r="EN6" s="12">
        <v>348344424.57142854</v>
      </c>
      <c r="EO6" s="13">
        <v>7.2161647139189225E-2</v>
      </c>
      <c r="EP6" s="35">
        <v>8843.9941958524723</v>
      </c>
      <c r="EQ6" s="35"/>
      <c r="ER6" s="35">
        <f t="shared" ref="ER6" si="4">EF6/ED6</f>
        <v>12.490218683153179</v>
      </c>
      <c r="ES6" s="35">
        <f t="shared" ref="ES6" si="5">EE6/ED6</f>
        <v>1.4122825509101599E-3</v>
      </c>
      <c r="FK6" s="35"/>
      <c r="FL6" s="35" t="e">
        <f>EY6/EW6</f>
        <v>#DIV/0!</v>
      </c>
      <c r="FM6" s="35" t="e">
        <f t="shared" ref="FM6:FM29" si="6">EX6/EW6</f>
        <v>#DIV/0!</v>
      </c>
      <c r="FN6" s="161"/>
      <c r="FS6" s="31" t="s">
        <v>113</v>
      </c>
      <c r="FT6" s="32" t="s">
        <v>114</v>
      </c>
      <c r="FU6" s="32" t="s">
        <v>116</v>
      </c>
      <c r="FV6" s="249" t="s">
        <v>117</v>
      </c>
      <c r="FW6" s="249" t="s">
        <v>118</v>
      </c>
      <c r="FX6" s="249" t="s">
        <v>119</v>
      </c>
      <c r="FY6" s="249" t="s">
        <v>120</v>
      </c>
      <c r="FZ6" s="251" t="s">
        <v>121</v>
      </c>
      <c r="GA6" s="251" t="s">
        <v>122</v>
      </c>
      <c r="GB6" s="251" t="s">
        <v>123</v>
      </c>
      <c r="GC6" s="250" t="s">
        <v>124</v>
      </c>
      <c r="GD6" s="250" t="s">
        <v>125</v>
      </c>
      <c r="GE6" s="159" t="s">
        <v>126</v>
      </c>
      <c r="GG6" s="31" t="s">
        <v>113</v>
      </c>
      <c r="GH6" s="32" t="s">
        <v>114</v>
      </c>
      <c r="GI6" s="32" t="s">
        <v>116</v>
      </c>
      <c r="GJ6" s="249" t="s">
        <v>117</v>
      </c>
      <c r="GK6" s="249" t="s">
        <v>118</v>
      </c>
      <c r="GL6" s="249" t="s">
        <v>119</v>
      </c>
      <c r="GM6" s="270" t="s">
        <v>120</v>
      </c>
      <c r="GN6" s="251" t="s">
        <v>121</v>
      </c>
      <c r="GO6" s="251" t="s">
        <v>122</v>
      </c>
      <c r="GP6" s="251" t="s">
        <v>123</v>
      </c>
      <c r="GQ6" s="269" t="s">
        <v>124</v>
      </c>
      <c r="GR6" s="269" t="s">
        <v>125</v>
      </c>
      <c r="GS6" s="159" t="s">
        <v>126</v>
      </c>
      <c r="GT6" s="215" t="s">
        <v>127</v>
      </c>
      <c r="GU6" s="159" t="s">
        <v>131</v>
      </c>
      <c r="GV6" s="159" t="s">
        <v>129</v>
      </c>
      <c r="GW6" s="159"/>
    </row>
    <row r="7" spans="2:205" ht="15" customHeight="1">
      <c r="B7" s="26">
        <v>1</v>
      </c>
      <c r="C7" s="12">
        <v>54215</v>
      </c>
      <c r="D7" s="312">
        <v>237</v>
      </c>
      <c r="E7" s="16">
        <v>480553000</v>
      </c>
      <c r="F7" s="35">
        <v>100794950</v>
      </c>
      <c r="G7" s="16">
        <v>22268144</v>
      </c>
      <c r="H7" s="16">
        <v>22145714.285714284</v>
      </c>
      <c r="I7" s="12">
        <v>145208808.28571427</v>
      </c>
      <c r="J7" s="12">
        <v>96309428.571428567</v>
      </c>
      <c r="K7" s="12">
        <v>39323085.714285709</v>
      </c>
      <c r="L7" s="12">
        <v>135632514.28571427</v>
      </c>
      <c r="M7" s="12">
        <v>9576294</v>
      </c>
      <c r="N7" s="13">
        <v>6.594843737824492E-2</v>
      </c>
      <c r="O7" s="35">
        <v>8863.8384211011708</v>
      </c>
      <c r="P7" s="35">
        <v>308</v>
      </c>
      <c r="Q7" s="35">
        <f>E7/P7</f>
        <v>1560237.012987013</v>
      </c>
      <c r="R7" s="35">
        <f>C7/P7</f>
        <v>176.02272727272728</v>
      </c>
      <c r="V7" s="336" t="s">
        <v>21</v>
      </c>
      <c r="W7" s="288">
        <v>1327</v>
      </c>
      <c r="X7" s="288">
        <v>11390000</v>
      </c>
      <c r="Y7" s="288">
        <v>2619700</v>
      </c>
      <c r="Z7" s="288">
        <v>0</v>
      </c>
      <c r="AA7" s="288">
        <v>0</v>
      </c>
      <c r="AB7" s="121">
        <v>2619700</v>
      </c>
      <c r="AC7" s="121">
        <v>1947000</v>
      </c>
      <c r="AD7" s="121">
        <v>0</v>
      </c>
      <c r="AE7" s="121">
        <v>1947000</v>
      </c>
      <c r="AF7" s="121">
        <v>672700</v>
      </c>
      <c r="AG7" s="289">
        <v>0.25678512806809939</v>
      </c>
      <c r="AH7" s="39">
        <v>8583.2705350414471</v>
      </c>
      <c r="AI7" s="35">
        <v>5</v>
      </c>
      <c r="AJ7" s="35">
        <f t="shared" ref="AJ7:AJ18" si="7">Y7/AI7</f>
        <v>523940</v>
      </c>
      <c r="AK7" s="35">
        <f t="shared" si="1"/>
        <v>8583.2705350414471</v>
      </c>
      <c r="AL7" s="35"/>
      <c r="AN7" t="e">
        <f>Y7/AM7</f>
        <v>#DIV/0!</v>
      </c>
      <c r="AO7" t="e">
        <f>W7/AM7</f>
        <v>#DIV/0!</v>
      </c>
      <c r="AQ7" s="26">
        <v>1</v>
      </c>
      <c r="AR7" s="35">
        <v>54215</v>
      </c>
      <c r="AS7" s="35">
        <v>480553000</v>
      </c>
      <c r="AT7" s="16">
        <v>100794950</v>
      </c>
      <c r="AU7" s="280">
        <v>22268144</v>
      </c>
      <c r="AV7" s="35">
        <v>22145714.285714284</v>
      </c>
      <c r="AW7" s="35">
        <v>145208808.28571427</v>
      </c>
      <c r="AX7" s="35">
        <v>38875371.428571425</v>
      </c>
      <c r="AY7" s="35">
        <v>135632514.28571427</v>
      </c>
      <c r="AZ7" s="35">
        <v>9576294</v>
      </c>
      <c r="BA7" s="13">
        <v>6.594843737824492E-2</v>
      </c>
      <c r="BC7" s="27"/>
      <c r="BL7" s="16"/>
      <c r="BM7" s="16"/>
      <c r="BN7" s="13"/>
      <c r="BO7" s="11">
        <v>2025</v>
      </c>
      <c r="BP7" s="123">
        <v>20829200</v>
      </c>
      <c r="BQ7" s="123">
        <v>10376005750.679998</v>
      </c>
      <c r="BR7" s="123">
        <v>4658909447.7142859</v>
      </c>
      <c r="BS7" s="123">
        <v>4163623031.4285712</v>
      </c>
      <c r="BT7" s="123">
        <v>314679569</v>
      </c>
      <c r="BU7" s="123">
        <v>56800000</v>
      </c>
      <c r="BV7" s="123">
        <v>196894285.71428573</v>
      </c>
      <c r="BW7" s="123">
        <v>42084008.060327724</v>
      </c>
      <c r="BX7" s="123">
        <v>9436661948.917469</v>
      </c>
      <c r="BY7" s="123">
        <v>927284201.76252973</v>
      </c>
      <c r="BZ7" s="13">
        <v>8.9368127200754446E-2</v>
      </c>
      <c r="CB7" s="89"/>
      <c r="CG7" s="26" t="s">
        <v>156</v>
      </c>
      <c r="CH7" s="123">
        <v>722084000</v>
      </c>
      <c r="CI7" s="123">
        <f>SUM(CH7,CH9,CH11)</f>
        <v>4507391366.666666</v>
      </c>
      <c r="CP7" s="31" t="s">
        <v>113</v>
      </c>
      <c r="CQ7" s="32" t="s">
        <v>114</v>
      </c>
      <c r="CR7" s="32" t="s">
        <v>116</v>
      </c>
      <c r="CS7" s="32" t="s">
        <v>117</v>
      </c>
      <c r="CV7" s="10" t="s">
        <v>114</v>
      </c>
      <c r="CW7" s="10" t="s">
        <v>157</v>
      </c>
      <c r="DL7" s="26" t="s">
        <v>23</v>
      </c>
      <c r="DM7" s="16">
        <v>4728088</v>
      </c>
      <c r="DN7" s="12">
        <v>13596032234.288313</v>
      </c>
      <c r="DO7" s="12">
        <v>13314881357.856377</v>
      </c>
      <c r="DP7" s="12">
        <v>281150876.43193209</v>
      </c>
      <c r="DQ7" s="13">
        <v>2.0678891575653051E-2</v>
      </c>
      <c r="DR7" s="35">
        <v>8810.6312911265613</v>
      </c>
      <c r="DY7" s="35">
        <v>5</v>
      </c>
      <c r="DZ7" s="35">
        <f t="shared" ref="DZ7:DZ18" si="8">DO7/DY7</f>
        <v>2662976271.5712752</v>
      </c>
      <c r="EA7" s="35">
        <f t="shared" ref="EA7:EA12" si="9">DN7/DY7</f>
        <v>2719206446.8576627</v>
      </c>
      <c r="EC7" s="26" t="s">
        <v>21</v>
      </c>
      <c r="ED7" s="199">
        <v>0</v>
      </c>
      <c r="EE7" s="16">
        <v>1327</v>
      </c>
      <c r="EF7" s="16">
        <v>11390000</v>
      </c>
      <c r="EG7" s="16">
        <v>2619700</v>
      </c>
      <c r="EH7" s="16">
        <v>0</v>
      </c>
      <c r="EI7" s="16">
        <v>0</v>
      </c>
      <c r="EJ7" s="12">
        <v>2619700</v>
      </c>
      <c r="EK7" s="12">
        <v>1947000</v>
      </c>
      <c r="EL7" s="12">
        <v>0</v>
      </c>
      <c r="EM7" s="12">
        <v>1947000</v>
      </c>
      <c r="EN7" s="12">
        <v>672700</v>
      </c>
      <c r="EO7" s="13">
        <v>0.25678512806809939</v>
      </c>
      <c r="EP7" s="35">
        <v>8583.2705350414471</v>
      </c>
      <c r="EQ7" s="35">
        <v>5</v>
      </c>
      <c r="ER7" s="35">
        <f t="shared" ref="ER7:ER18" si="10">EF7/EQ7</f>
        <v>2278000</v>
      </c>
      <c r="ES7" s="35">
        <f t="shared" ref="ES7:ES12" si="11">EE7/EQ7</f>
        <v>265.39999999999998</v>
      </c>
      <c r="FK7" s="35">
        <v>5</v>
      </c>
      <c r="FL7" s="35">
        <f t="shared" ref="FL7:FL18" si="12">EY7/FK7</f>
        <v>0</v>
      </c>
      <c r="FM7" s="35" t="e">
        <f t="shared" si="6"/>
        <v>#DIV/0!</v>
      </c>
      <c r="FN7" s="16"/>
      <c r="FS7" s="11">
        <v>1</v>
      </c>
      <c r="FT7" s="16">
        <v>54245</v>
      </c>
      <c r="FU7" s="35">
        <v>480963000</v>
      </c>
      <c r="FV7" s="16">
        <v>100897450</v>
      </c>
      <c r="FW7" s="35">
        <v>22268144</v>
      </c>
      <c r="FX7" s="35">
        <v>22205714.285714284</v>
      </c>
      <c r="FY7" s="12">
        <v>145371308.28571427</v>
      </c>
      <c r="FZ7" s="12">
        <v>96414428.571428567</v>
      </c>
      <c r="GA7" s="12">
        <v>39489585.714285709</v>
      </c>
      <c r="GB7" s="12">
        <v>135904014.28571427</v>
      </c>
      <c r="GC7" s="12">
        <v>9467294</v>
      </c>
      <c r="GD7" s="13">
        <v>6.512491434274556E-2</v>
      </c>
      <c r="GE7" s="35">
        <v>8866.494607797953</v>
      </c>
      <c r="GG7" s="11">
        <v>2024</v>
      </c>
      <c r="GH7" s="16">
        <v>1706366</v>
      </c>
      <c r="GI7" s="16">
        <v>15091091000</v>
      </c>
      <c r="GJ7" s="16">
        <v>3443392170</v>
      </c>
      <c r="GK7" s="16">
        <v>716927828.57142854</v>
      </c>
      <c r="GL7" s="16">
        <v>664209288.71428573</v>
      </c>
      <c r="GM7" s="12">
        <v>4827279287.2857141</v>
      </c>
      <c r="GN7" s="12">
        <v>3270366348.4285717</v>
      </c>
      <c r="GO7" s="12">
        <v>1208568514.2857141</v>
      </c>
      <c r="GP7" s="12">
        <v>4478934862.7142849</v>
      </c>
      <c r="GQ7" s="12">
        <v>348344424.57142854</v>
      </c>
      <c r="GR7" s="13">
        <v>7.2161647139189225E-2</v>
      </c>
      <c r="GS7" s="35">
        <v>8843.9941958524723</v>
      </c>
      <c r="GT7" s="35"/>
      <c r="GU7" s="35">
        <f t="shared" ref="GU7" si="13">GJ7/GH7</f>
        <v>2017.9681088347986</v>
      </c>
      <c r="GV7" s="35">
        <f t="shared" ref="GV7:GV31" si="14">GI7/GH7</f>
        <v>8843.9941958524723</v>
      </c>
      <c r="GW7" s="161"/>
    </row>
    <row r="8" spans="2:205" ht="15.95">
      <c r="B8" s="26">
        <v>2</v>
      </c>
      <c r="C8" s="12">
        <v>96367</v>
      </c>
      <c r="D8" s="312">
        <v>257</v>
      </c>
      <c r="E8" s="16">
        <v>852699000</v>
      </c>
      <c r="F8" s="35">
        <v>193676870</v>
      </c>
      <c r="G8" s="16">
        <v>38969252</v>
      </c>
      <c r="H8" s="16">
        <v>41087000</v>
      </c>
      <c r="I8" s="12">
        <v>273733122</v>
      </c>
      <c r="J8" s="12">
        <v>165929300</v>
      </c>
      <c r="K8" s="12">
        <v>75508700</v>
      </c>
      <c r="L8" s="12">
        <v>241438000</v>
      </c>
      <c r="M8" s="12">
        <v>32295121.999999996</v>
      </c>
      <c r="N8" s="13">
        <v>0.11798032245436486</v>
      </c>
      <c r="O8" s="35">
        <v>8848.4543464048893</v>
      </c>
      <c r="P8" s="35">
        <v>335</v>
      </c>
      <c r="Q8" s="35">
        <f>E8/P8</f>
        <v>2545370.1492537311</v>
      </c>
      <c r="R8" s="35">
        <f t="shared" ref="R8:R71" si="15">C8/P8</f>
        <v>287.6626865671642</v>
      </c>
      <c r="V8" s="265" t="s">
        <v>158</v>
      </c>
      <c r="W8" s="79">
        <v>2954</v>
      </c>
      <c r="X8" s="79">
        <v>25778000</v>
      </c>
      <c r="Y8" s="79">
        <v>5928940</v>
      </c>
      <c r="Z8" s="79">
        <v>0</v>
      </c>
      <c r="AA8" s="79">
        <v>0</v>
      </c>
      <c r="AB8" s="264">
        <v>5928940</v>
      </c>
      <c r="AC8" s="264">
        <v>3404000</v>
      </c>
      <c r="AD8" s="264">
        <v>0</v>
      </c>
      <c r="AE8" s="264">
        <v>3404000</v>
      </c>
      <c r="AF8" s="264">
        <v>2524940</v>
      </c>
      <c r="AG8" s="80">
        <v>0.42586701838777252</v>
      </c>
      <c r="AH8" s="134">
        <v>8726.4725795531485</v>
      </c>
      <c r="AI8" s="35">
        <v>5</v>
      </c>
      <c r="AJ8" s="35">
        <f t="shared" si="7"/>
        <v>1185788</v>
      </c>
      <c r="AK8" s="35">
        <f t="shared" si="1"/>
        <v>8726.4725795531485</v>
      </c>
      <c r="AL8" s="35"/>
      <c r="AN8" t="e">
        <f t="shared" ref="AN8:AN30" si="16">Y8/AM8</f>
        <v>#DIV/0!</v>
      </c>
      <c r="AO8" t="e">
        <f t="shared" ref="AO8:AO30" si="17">W8/AM8</f>
        <v>#DIV/0!</v>
      </c>
      <c r="AQ8" s="26">
        <v>2</v>
      </c>
      <c r="AR8" s="35">
        <v>96367</v>
      </c>
      <c r="AS8" s="35">
        <v>852699000</v>
      </c>
      <c r="AT8" s="16">
        <v>193676870</v>
      </c>
      <c r="AU8" s="280">
        <v>38969252</v>
      </c>
      <c r="AV8" s="35">
        <v>41087000</v>
      </c>
      <c r="AW8" s="35">
        <v>273733122</v>
      </c>
      <c r="AX8" s="35">
        <v>74725200</v>
      </c>
      <c r="AY8" s="35">
        <v>241438000</v>
      </c>
      <c r="AZ8" s="35">
        <v>32295121.999999996</v>
      </c>
      <c r="BA8" s="13">
        <v>0.11798032245436486</v>
      </c>
      <c r="BC8" s="27"/>
      <c r="BL8" s="16"/>
      <c r="BM8" s="16"/>
      <c r="BN8" s="13"/>
      <c r="BO8" s="11">
        <v>2026</v>
      </c>
      <c r="BP8" s="123">
        <v>0</v>
      </c>
      <c r="BQ8" s="123">
        <v>1963720596.1000001</v>
      </c>
      <c r="BR8" s="123">
        <v>764937008.57142854</v>
      </c>
      <c r="BS8" s="123">
        <v>854406442.85714293</v>
      </c>
      <c r="BT8" s="123">
        <v>0</v>
      </c>
      <c r="BU8" s="123">
        <v>2400000</v>
      </c>
      <c r="BV8" s="123">
        <v>77910714.285714284</v>
      </c>
      <c r="BW8" s="123">
        <v>8514853.5651612915</v>
      </c>
      <c r="BX8" s="123">
        <v>1708169019.2794471</v>
      </c>
      <c r="BY8" s="123">
        <v>253351576.82055297</v>
      </c>
      <c r="BZ8" s="13">
        <v>0.12901610204818126</v>
      </c>
      <c r="CB8" s="89"/>
      <c r="CG8" s="278" t="s">
        <v>23</v>
      </c>
      <c r="CH8" s="123">
        <v>722084000</v>
      </c>
      <c r="CI8" s="123">
        <f>CI7/15000</f>
        <v>300492.75777777773</v>
      </c>
      <c r="CP8" s="11">
        <v>2024</v>
      </c>
      <c r="CQ8" s="16">
        <v>1706366</v>
      </c>
      <c r="CR8" s="16">
        <v>15091091000</v>
      </c>
      <c r="CS8" s="16">
        <v>3443392170</v>
      </c>
      <c r="CV8" s="31" t="s">
        <v>113</v>
      </c>
      <c r="CW8" s="263" t="s">
        <v>21</v>
      </c>
      <c r="CX8" s="263" t="s">
        <v>158</v>
      </c>
      <c r="CY8" s="263" t="s">
        <v>159</v>
      </c>
      <c r="CZ8" s="266" t="s">
        <v>160</v>
      </c>
      <c r="DA8" s="266" t="s">
        <v>161</v>
      </c>
      <c r="DB8" s="266" t="s">
        <v>156</v>
      </c>
      <c r="DC8" s="152" t="s">
        <v>162</v>
      </c>
      <c r="DD8" s="152" t="s">
        <v>163</v>
      </c>
      <c r="DE8" s="152" t="s">
        <v>164</v>
      </c>
      <c r="DF8" s="260" t="s">
        <v>165</v>
      </c>
      <c r="DG8" s="260" t="s">
        <v>36</v>
      </c>
      <c r="DH8" s="260" t="s">
        <v>166</v>
      </c>
      <c r="DI8" t="s">
        <v>167</v>
      </c>
      <c r="DL8" s="284" t="s">
        <v>21</v>
      </c>
      <c r="DM8" s="79">
        <v>419504</v>
      </c>
      <c r="DN8" s="264">
        <v>1187943196</v>
      </c>
      <c r="DO8" s="264">
        <v>1154335968.1428571</v>
      </c>
      <c r="DP8" s="264">
        <v>33607227.857142828</v>
      </c>
      <c r="DQ8" s="80">
        <v>2.8290265031445855E-2</v>
      </c>
      <c r="DR8" s="134">
        <v>8851.1813951714412</v>
      </c>
      <c r="DV8" s="13">
        <f>DQ8</f>
        <v>2.8290265031445855E-2</v>
      </c>
      <c r="DY8" s="35">
        <v>5</v>
      </c>
      <c r="DZ8" s="35">
        <f t="shared" si="8"/>
        <v>230867193.62857142</v>
      </c>
      <c r="EA8" s="35">
        <f t="shared" si="9"/>
        <v>237588639.19999999</v>
      </c>
      <c r="EC8" s="26" t="s">
        <v>158</v>
      </c>
      <c r="ED8" s="199">
        <v>0</v>
      </c>
      <c r="EE8" s="16">
        <v>2954</v>
      </c>
      <c r="EF8" s="16">
        <v>25778000</v>
      </c>
      <c r="EG8" s="16">
        <v>5928940</v>
      </c>
      <c r="EH8" s="16">
        <v>0</v>
      </c>
      <c r="EI8" s="16">
        <v>0</v>
      </c>
      <c r="EJ8" s="12">
        <v>5928940</v>
      </c>
      <c r="EK8" s="12">
        <v>3404000</v>
      </c>
      <c r="EL8" s="12">
        <v>0</v>
      </c>
      <c r="EM8" s="12">
        <v>3404000</v>
      </c>
      <c r="EN8" s="12">
        <v>2524940</v>
      </c>
      <c r="EO8" s="13">
        <v>0.42586701838777252</v>
      </c>
      <c r="EP8" s="35">
        <v>8726.4725795531485</v>
      </c>
      <c r="EQ8" s="35">
        <v>5</v>
      </c>
      <c r="ER8" s="35">
        <f t="shared" si="10"/>
        <v>5155600</v>
      </c>
      <c r="ES8" s="35">
        <f t="shared" si="11"/>
        <v>590.79999999999995</v>
      </c>
      <c r="FK8" s="35">
        <v>5</v>
      </c>
      <c r="FL8" s="35">
        <f t="shared" si="12"/>
        <v>0</v>
      </c>
      <c r="FM8" s="35" t="e">
        <f t="shared" si="6"/>
        <v>#DIV/0!</v>
      </c>
      <c r="FN8" s="16"/>
      <c r="FS8" s="11">
        <v>2</v>
      </c>
      <c r="FT8" s="16">
        <v>97349</v>
      </c>
      <c r="FU8" s="35">
        <v>861037000</v>
      </c>
      <c r="FV8" s="16">
        <v>196178270</v>
      </c>
      <c r="FW8" s="35">
        <v>38969252</v>
      </c>
      <c r="FX8" s="35">
        <v>41087000</v>
      </c>
      <c r="FY8" s="12">
        <v>276234522</v>
      </c>
      <c r="FZ8" s="12">
        <v>167846300</v>
      </c>
      <c r="GA8" s="12">
        <v>77040500</v>
      </c>
      <c r="GB8" s="12">
        <v>244886800</v>
      </c>
      <c r="GC8" s="12">
        <v>31347721.999999996</v>
      </c>
      <c r="GD8" s="13">
        <v>0.11348227503584797</v>
      </c>
      <c r="GE8" s="35">
        <v>8844.8468910825995</v>
      </c>
      <c r="GG8" s="26" t="s">
        <v>21</v>
      </c>
      <c r="GH8" s="16">
        <v>1327</v>
      </c>
      <c r="GI8" s="16">
        <v>11390000</v>
      </c>
      <c r="GJ8" s="16">
        <v>2619700</v>
      </c>
      <c r="GK8" s="16">
        <v>0</v>
      </c>
      <c r="GL8" s="16">
        <v>0</v>
      </c>
      <c r="GM8" s="12">
        <v>2619700</v>
      </c>
      <c r="GN8" s="12">
        <v>1947000</v>
      </c>
      <c r="GO8" s="12">
        <v>0</v>
      </c>
      <c r="GP8" s="12">
        <v>1947000</v>
      </c>
      <c r="GQ8" s="12">
        <v>672700</v>
      </c>
      <c r="GR8" s="13">
        <v>0.25678512806809939</v>
      </c>
      <c r="GS8" s="35">
        <v>8583.2705350414471</v>
      </c>
      <c r="GT8" s="35">
        <v>5</v>
      </c>
      <c r="GU8" s="35">
        <f t="shared" ref="GU8:GU19" si="18">GJ8/GT8</f>
        <v>523940</v>
      </c>
      <c r="GV8" s="35">
        <f t="shared" si="14"/>
        <v>8583.2705350414471</v>
      </c>
      <c r="GW8" s="16"/>
    </row>
    <row r="9" spans="2:205" ht="18" customHeight="1">
      <c r="B9" s="26">
        <v>3</v>
      </c>
      <c r="C9" s="12">
        <v>94488</v>
      </c>
      <c r="D9" s="312">
        <v>256</v>
      </c>
      <c r="E9" s="16">
        <v>836582000</v>
      </c>
      <c r="F9" s="35">
        <v>189936300</v>
      </c>
      <c r="G9" s="16">
        <v>38969252.000000007</v>
      </c>
      <c r="H9" s="16">
        <v>41694000</v>
      </c>
      <c r="I9" s="12">
        <v>271449551.99999994</v>
      </c>
      <c r="J9" s="12">
        <v>165413600</v>
      </c>
      <c r="K9" s="12">
        <v>73877000</v>
      </c>
      <c r="L9" s="12">
        <v>239290600</v>
      </c>
      <c r="M9" s="12">
        <v>32158951.999999996</v>
      </c>
      <c r="N9" s="13">
        <v>0.11847119202466028</v>
      </c>
      <c r="O9" s="35">
        <v>8853.8438743544157</v>
      </c>
      <c r="P9" s="35">
        <v>337</v>
      </c>
      <c r="Q9" s="35">
        <f t="shared" ref="Q9:Q71" si="19">E9/P9</f>
        <v>2482439.1691394658</v>
      </c>
      <c r="R9" s="35">
        <f t="shared" si="15"/>
        <v>280.379821958457</v>
      </c>
      <c r="V9" s="26" t="s">
        <v>159</v>
      </c>
      <c r="W9" s="16">
        <v>5309</v>
      </c>
      <c r="X9" s="16">
        <v>46238000</v>
      </c>
      <c r="Y9" s="16">
        <v>10634740</v>
      </c>
      <c r="Z9" s="16">
        <v>0</v>
      </c>
      <c r="AA9" s="16">
        <v>0</v>
      </c>
      <c r="AB9" s="12">
        <v>10634740</v>
      </c>
      <c r="AC9" s="12">
        <v>11759000</v>
      </c>
      <c r="AD9" s="12">
        <v>0</v>
      </c>
      <c r="AE9" s="12">
        <v>11759000</v>
      </c>
      <c r="AF9" s="12">
        <v>-1124260</v>
      </c>
      <c r="AG9" s="13">
        <v>-0.10571579559067734</v>
      </c>
      <c r="AH9" s="35">
        <v>8709.3614616688646</v>
      </c>
      <c r="AI9" s="35">
        <v>19</v>
      </c>
      <c r="AJ9" s="35">
        <f t="shared" si="7"/>
        <v>559723.15789473685</v>
      </c>
      <c r="AK9" s="35">
        <f t="shared" si="1"/>
        <v>8709.3614616688646</v>
      </c>
      <c r="AL9" s="35"/>
      <c r="AN9" t="e">
        <f t="shared" si="16"/>
        <v>#DIV/0!</v>
      </c>
      <c r="AO9" t="e">
        <f t="shared" si="17"/>
        <v>#DIV/0!</v>
      </c>
      <c r="AQ9" s="26">
        <v>3</v>
      </c>
      <c r="AR9" s="35">
        <v>94488</v>
      </c>
      <c r="AS9" s="35">
        <v>836582000</v>
      </c>
      <c r="AT9" s="16">
        <v>189936300</v>
      </c>
      <c r="AU9" s="280">
        <v>38969252.000000007</v>
      </c>
      <c r="AV9" s="35">
        <v>41694000</v>
      </c>
      <c r="AW9" s="35">
        <v>271449551.99999994</v>
      </c>
      <c r="AX9" s="35">
        <v>73093500</v>
      </c>
      <c r="AY9" s="35">
        <v>239290600</v>
      </c>
      <c r="AZ9" s="35">
        <v>32158951.999999996</v>
      </c>
      <c r="BA9" s="13">
        <v>0.11847119202466028</v>
      </c>
      <c r="BC9" s="27"/>
      <c r="BL9" s="16"/>
      <c r="BM9" s="16"/>
      <c r="BN9" s="80"/>
      <c r="BO9" s="26" t="s">
        <v>21</v>
      </c>
      <c r="BP9" s="123">
        <v>0</v>
      </c>
      <c r="BQ9" s="123">
        <v>658464063.89999998</v>
      </c>
      <c r="BR9" s="123">
        <v>252953380</v>
      </c>
      <c r="BS9" s="123">
        <v>319318497.14285713</v>
      </c>
      <c r="BT9" s="123">
        <v>0</v>
      </c>
      <c r="BU9" s="123">
        <v>1400000</v>
      </c>
      <c r="BV9" s="123">
        <v>26992857.142857138</v>
      </c>
      <c r="BW9" s="123">
        <v>2548065.7400000002</v>
      </c>
      <c r="BX9" s="123">
        <v>603212800.02571428</v>
      </c>
      <c r="BY9" s="123">
        <v>54551263.874285698</v>
      </c>
      <c r="BZ9" s="13">
        <v>8.2846227858184712E-2</v>
      </c>
      <c r="CB9" s="89"/>
      <c r="CG9" s="11">
        <v>2025</v>
      </c>
      <c r="CH9" s="123">
        <v>3781515866.6666665</v>
      </c>
      <c r="CP9" s="26" t="s">
        <v>21</v>
      </c>
      <c r="CQ9" s="16">
        <v>1327</v>
      </c>
      <c r="CR9" s="16">
        <v>11390000</v>
      </c>
      <c r="CS9" s="16">
        <v>2619700</v>
      </c>
      <c r="CV9" s="11">
        <v>2025</v>
      </c>
      <c r="CW9" s="79">
        <v>419504</v>
      </c>
      <c r="CX9" s="79">
        <v>410587</v>
      </c>
      <c r="CY9" s="79">
        <v>303719</v>
      </c>
      <c r="CZ9" s="127">
        <v>430416</v>
      </c>
      <c r="DA9" s="127">
        <v>439801</v>
      </c>
      <c r="DB9" s="127">
        <v>420746</v>
      </c>
      <c r="DC9" s="83">
        <v>426901</v>
      </c>
      <c r="DD9" s="83">
        <v>416046</v>
      </c>
      <c r="DE9" s="83">
        <v>394115</v>
      </c>
      <c r="DF9" s="16">
        <v>376557</v>
      </c>
      <c r="DG9" s="16">
        <v>355469</v>
      </c>
      <c r="DH9" s="16">
        <v>334227</v>
      </c>
      <c r="DI9" s="16">
        <v>4728088</v>
      </c>
      <c r="DL9" s="284" t="s">
        <v>158</v>
      </c>
      <c r="DM9" s="79">
        <v>410587</v>
      </c>
      <c r="DN9" s="264">
        <v>1197426632.5714288</v>
      </c>
      <c r="DO9" s="264">
        <v>1166137215.1428571</v>
      </c>
      <c r="DP9" s="264">
        <v>31289417.428571414</v>
      </c>
      <c r="DQ9" s="80">
        <v>2.6130550780700913E-2</v>
      </c>
      <c r="DR9" s="134">
        <v>8914.8877095475509</v>
      </c>
      <c r="DS9" s="27">
        <f>(DM9-DM8)/DM8</f>
        <v>-2.1256054769442007E-2</v>
      </c>
      <c r="DT9" s="27">
        <f>(DN9-DN8)/DN8</f>
        <v>7.9830724258205827E-3</v>
      </c>
      <c r="DU9" s="27">
        <f>(DP9-DP8)/DP8</f>
        <v>-6.8967617276376764E-2</v>
      </c>
      <c r="DV9" s="13">
        <f>DQ9</f>
        <v>2.6130550780700913E-2</v>
      </c>
      <c r="DY9" s="35">
        <v>19</v>
      </c>
      <c r="DZ9" s="35">
        <f t="shared" si="8"/>
        <v>61375642.902255632</v>
      </c>
      <c r="EA9" s="35">
        <f t="shared" si="9"/>
        <v>63022454.345864676</v>
      </c>
      <c r="EC9" s="26" t="s">
        <v>159</v>
      </c>
      <c r="ED9" s="199">
        <v>0</v>
      </c>
      <c r="EE9" s="16">
        <v>5309</v>
      </c>
      <c r="EF9" s="16">
        <v>46238000</v>
      </c>
      <c r="EG9" s="16">
        <v>10634740</v>
      </c>
      <c r="EH9" s="16">
        <v>0</v>
      </c>
      <c r="EI9" s="16">
        <v>0</v>
      </c>
      <c r="EJ9" s="12">
        <v>10634740</v>
      </c>
      <c r="EK9" s="12">
        <v>11759000</v>
      </c>
      <c r="EL9" s="12">
        <v>0</v>
      </c>
      <c r="EM9" s="12">
        <v>11759000</v>
      </c>
      <c r="EN9" s="12">
        <v>-1124260</v>
      </c>
      <c r="EO9" s="13">
        <v>-0.10571579559067734</v>
      </c>
      <c r="EP9" s="35">
        <v>8709.3614616688646</v>
      </c>
      <c r="EQ9" s="35">
        <v>19</v>
      </c>
      <c r="ER9" s="35">
        <f t="shared" si="10"/>
        <v>2433578.9473684211</v>
      </c>
      <c r="ES9" s="35">
        <f t="shared" si="11"/>
        <v>279.42105263157896</v>
      </c>
      <c r="FK9" s="35">
        <v>19</v>
      </c>
      <c r="FL9" s="35">
        <f t="shared" si="12"/>
        <v>0</v>
      </c>
      <c r="FM9" s="35" t="e">
        <f t="shared" si="6"/>
        <v>#DIV/0!</v>
      </c>
      <c r="FN9" s="16"/>
      <c r="FS9" s="11">
        <v>3</v>
      </c>
      <c r="FT9" s="16">
        <v>95652</v>
      </c>
      <c r="FU9" s="35">
        <v>844040000</v>
      </c>
      <c r="FV9" s="16">
        <v>192173700</v>
      </c>
      <c r="FW9" s="35">
        <v>38969252.000000007</v>
      </c>
      <c r="FX9" s="35">
        <v>41694000</v>
      </c>
      <c r="FY9" s="12">
        <v>273686951.99999994</v>
      </c>
      <c r="FZ9" s="12">
        <v>167877600</v>
      </c>
      <c r="GA9" s="12">
        <v>75974900</v>
      </c>
      <c r="GB9" s="12">
        <v>243852500</v>
      </c>
      <c r="GC9" s="12">
        <v>29834451.999999996</v>
      </c>
      <c r="GD9" s="13">
        <v>0.10900940575347561</v>
      </c>
      <c r="GE9" s="35">
        <v>8824.0705892192527</v>
      </c>
      <c r="GG9" s="26" t="s">
        <v>158</v>
      </c>
      <c r="GH9" s="16">
        <v>2954</v>
      </c>
      <c r="GI9" s="16">
        <v>25778000</v>
      </c>
      <c r="GJ9" s="16">
        <v>5928940</v>
      </c>
      <c r="GK9" s="16">
        <v>0</v>
      </c>
      <c r="GL9" s="16">
        <v>0</v>
      </c>
      <c r="GM9" s="12">
        <v>5928940</v>
      </c>
      <c r="GN9" s="12">
        <v>3404000</v>
      </c>
      <c r="GO9" s="12">
        <v>0</v>
      </c>
      <c r="GP9" s="12">
        <v>3404000</v>
      </c>
      <c r="GQ9" s="12">
        <v>2524940</v>
      </c>
      <c r="GR9" s="13">
        <v>0.42586701838777252</v>
      </c>
      <c r="GS9" s="35">
        <v>8726.4725795531485</v>
      </c>
      <c r="GT9" s="35">
        <v>5</v>
      </c>
      <c r="GU9" s="35">
        <f t="shared" si="18"/>
        <v>1185788</v>
      </c>
      <c r="GV9" s="35">
        <f t="shared" si="14"/>
        <v>8726.4725795531485</v>
      </c>
      <c r="GW9" s="16"/>
    </row>
    <row r="10" spans="2:205" ht="18" customHeight="1">
      <c r="B10" s="26">
        <v>4</v>
      </c>
      <c r="C10" s="12">
        <v>89310</v>
      </c>
      <c r="D10" s="312">
        <v>255</v>
      </c>
      <c r="E10" s="16">
        <v>788386000</v>
      </c>
      <c r="F10" s="35">
        <v>178790620</v>
      </c>
      <c r="G10" s="16">
        <v>38969252.000000007</v>
      </c>
      <c r="H10" s="16">
        <v>42164000</v>
      </c>
      <c r="I10" s="12">
        <v>260548871.99999997</v>
      </c>
      <c r="J10" s="12">
        <v>258224911</v>
      </c>
      <c r="K10" s="12">
        <v>74409800</v>
      </c>
      <c r="L10" s="12">
        <v>332634711</v>
      </c>
      <c r="M10" s="12">
        <v>-72085839</v>
      </c>
      <c r="N10" s="13">
        <v>-0.27666916554526477</v>
      </c>
      <c r="O10" s="35">
        <v>8827.5221139849964</v>
      </c>
      <c r="P10" s="35">
        <v>351</v>
      </c>
      <c r="Q10" s="35">
        <f t="shared" si="19"/>
        <v>2246113.9601139603</v>
      </c>
      <c r="R10" s="35">
        <f t="shared" si="15"/>
        <v>254.44444444444446</v>
      </c>
      <c r="V10" s="26" t="s">
        <v>160</v>
      </c>
      <c r="W10" s="16">
        <v>17929</v>
      </c>
      <c r="X10" s="16">
        <v>156418000</v>
      </c>
      <c r="Y10" s="16">
        <v>35976140</v>
      </c>
      <c r="Z10" s="16">
        <v>3840000</v>
      </c>
      <c r="AA10" s="16">
        <v>4930000</v>
      </c>
      <c r="AB10" s="12">
        <v>44746140</v>
      </c>
      <c r="AC10" s="12">
        <v>38477000</v>
      </c>
      <c r="AD10" s="12">
        <v>5298300</v>
      </c>
      <c r="AE10" s="12">
        <v>43775300</v>
      </c>
      <c r="AF10" s="12">
        <v>970840</v>
      </c>
      <c r="AG10" s="13">
        <v>2.1696620088347284E-2</v>
      </c>
      <c r="AH10" s="35">
        <v>8724.3014111216471</v>
      </c>
      <c r="AI10" s="35">
        <v>30</v>
      </c>
      <c r="AJ10" s="35">
        <f t="shared" si="7"/>
        <v>1199204.6666666667</v>
      </c>
      <c r="AK10" s="35">
        <f t="shared" si="1"/>
        <v>8724.3014111216471</v>
      </c>
      <c r="AL10" s="35"/>
      <c r="AN10" t="e">
        <f t="shared" si="16"/>
        <v>#DIV/0!</v>
      </c>
      <c r="AO10" t="e">
        <f t="shared" si="17"/>
        <v>#DIV/0!</v>
      </c>
      <c r="AQ10" s="26">
        <v>4</v>
      </c>
      <c r="AR10" s="35">
        <v>89310</v>
      </c>
      <c r="AS10" s="35">
        <v>788386000</v>
      </c>
      <c r="AT10" s="16">
        <v>178790620</v>
      </c>
      <c r="AU10" s="280">
        <v>38969252.000000007</v>
      </c>
      <c r="AV10" s="35">
        <v>42164000</v>
      </c>
      <c r="AW10" s="35">
        <v>260548871.99999997</v>
      </c>
      <c r="AX10" s="35">
        <v>73626300</v>
      </c>
      <c r="AY10" s="35">
        <v>332634711</v>
      </c>
      <c r="AZ10" s="35">
        <v>-72085839</v>
      </c>
      <c r="BA10" s="13">
        <v>-0.27666916554526477</v>
      </c>
      <c r="BC10" s="27"/>
      <c r="BL10" s="16"/>
      <c r="BM10" s="16"/>
      <c r="BN10" s="80"/>
      <c r="BO10" s="278" t="s">
        <v>168</v>
      </c>
      <c r="BP10" s="123">
        <v>0</v>
      </c>
      <c r="BQ10" s="123">
        <v>657425293.89999998</v>
      </c>
      <c r="BR10" s="123">
        <v>252953380</v>
      </c>
      <c r="BS10" s="123">
        <v>319318497.14285713</v>
      </c>
      <c r="BT10" s="123">
        <v>0</v>
      </c>
      <c r="BU10" s="123">
        <v>1400000</v>
      </c>
      <c r="BV10" s="123">
        <v>26992857.142857138</v>
      </c>
      <c r="BW10" s="123">
        <v>2548065.7400000002</v>
      </c>
      <c r="BX10" s="123">
        <v>603212800.02571428</v>
      </c>
      <c r="BY10" s="123">
        <v>53512493.874285698</v>
      </c>
      <c r="BZ10" s="13">
        <v>8.1397071835853957E-2</v>
      </c>
      <c r="CB10" s="89"/>
      <c r="CG10" s="26" t="s">
        <v>156</v>
      </c>
      <c r="CH10" s="123">
        <v>3781515866.6666665</v>
      </c>
      <c r="CP10" s="26" t="s">
        <v>158</v>
      </c>
      <c r="CQ10" s="16">
        <v>2954</v>
      </c>
      <c r="CR10" s="16">
        <v>25778000</v>
      </c>
      <c r="CS10" s="16">
        <v>5928940</v>
      </c>
      <c r="CV10" s="11" t="s">
        <v>167</v>
      </c>
      <c r="CW10" s="16">
        <v>419504</v>
      </c>
      <c r="CX10" s="16">
        <v>410587</v>
      </c>
      <c r="CY10" s="16">
        <v>303719</v>
      </c>
      <c r="CZ10" s="16">
        <v>430416</v>
      </c>
      <c r="DA10" s="16">
        <v>439801</v>
      </c>
      <c r="DB10" s="16">
        <v>420746</v>
      </c>
      <c r="DC10" s="16">
        <v>426901</v>
      </c>
      <c r="DD10" s="16">
        <v>416046</v>
      </c>
      <c r="DE10" s="16">
        <v>394115</v>
      </c>
      <c r="DF10" s="16">
        <v>376557</v>
      </c>
      <c r="DG10" s="16">
        <v>355469</v>
      </c>
      <c r="DH10" s="16">
        <v>334227</v>
      </c>
      <c r="DI10" s="16">
        <v>4728088</v>
      </c>
      <c r="DL10" s="284" t="s">
        <v>159</v>
      </c>
      <c r="DM10" s="79">
        <v>303719</v>
      </c>
      <c r="DN10" s="264">
        <v>1019212099.0779221</v>
      </c>
      <c r="DO10" s="264">
        <v>1042313439.2337661</v>
      </c>
      <c r="DP10" s="264">
        <v>-23101340.15584413</v>
      </c>
      <c r="DQ10" s="80">
        <v>-2.2665881004301103E-2</v>
      </c>
      <c r="DR10" s="134">
        <v>8899.8021197225062</v>
      </c>
      <c r="DS10" s="27">
        <f t="shared" ref="DS10:DS17" si="20">(DM10-DM9)/DM9</f>
        <v>-0.26028101230677053</v>
      </c>
      <c r="DT10" s="27">
        <f t="shared" ref="DT10:DT17" si="21">(DN10-DN9)/DN9</f>
        <v>-0.1488312758759989</v>
      </c>
      <c r="DU10" s="27">
        <f t="shared" ref="DU10:DU17" si="22">(DP10-DP9)/DP9</f>
        <v>-1.7383116099422651</v>
      </c>
      <c r="DV10" s="13">
        <f t="shared" ref="DV10:DV17" si="23">DQ10</f>
        <v>-2.2665881004301103E-2</v>
      </c>
      <c r="DY10" s="35">
        <v>30</v>
      </c>
      <c r="DZ10" s="35">
        <f t="shared" si="8"/>
        <v>34743781.307792202</v>
      </c>
      <c r="EA10" s="35">
        <f t="shared" si="9"/>
        <v>33973736.635930739</v>
      </c>
      <c r="EC10" s="26" t="s">
        <v>160</v>
      </c>
      <c r="ED10" s="199">
        <v>5298300</v>
      </c>
      <c r="EE10" s="16">
        <v>17929</v>
      </c>
      <c r="EF10" s="16">
        <v>156418000</v>
      </c>
      <c r="EG10" s="16">
        <v>35976140</v>
      </c>
      <c r="EH10" s="16">
        <v>3840000</v>
      </c>
      <c r="EI10" s="16">
        <v>4930000</v>
      </c>
      <c r="EJ10" s="12">
        <v>44746140</v>
      </c>
      <c r="EK10" s="12">
        <v>38477000</v>
      </c>
      <c r="EL10" s="12">
        <v>5298300</v>
      </c>
      <c r="EM10" s="12">
        <v>43775300</v>
      </c>
      <c r="EN10" s="12">
        <v>970840</v>
      </c>
      <c r="EO10" s="13">
        <v>2.1696620088347284E-2</v>
      </c>
      <c r="EP10" s="35">
        <v>8724.3014111216471</v>
      </c>
      <c r="EQ10" s="35">
        <v>30</v>
      </c>
      <c r="ER10" s="35">
        <f t="shared" si="10"/>
        <v>5213933.333333333</v>
      </c>
      <c r="ES10" s="35">
        <f t="shared" si="11"/>
        <v>597.63333333333333</v>
      </c>
      <c r="FK10" s="35">
        <v>30</v>
      </c>
      <c r="FL10" s="35">
        <f t="shared" si="12"/>
        <v>0</v>
      </c>
      <c r="FM10" s="35" t="e">
        <f t="shared" si="6"/>
        <v>#DIV/0!</v>
      </c>
      <c r="FN10" s="16"/>
      <c r="FS10" s="11">
        <v>4</v>
      </c>
      <c r="FT10" s="16">
        <v>90411</v>
      </c>
      <c r="FU10" s="35">
        <v>797625000</v>
      </c>
      <c r="FV10" s="16">
        <v>181718270</v>
      </c>
      <c r="FW10" s="35">
        <v>38969252.000000007</v>
      </c>
      <c r="FX10" s="35">
        <v>42164000</v>
      </c>
      <c r="FY10" s="12">
        <v>263476521.99999997</v>
      </c>
      <c r="FZ10" s="12">
        <v>260925911</v>
      </c>
      <c r="GA10" s="12">
        <v>76807400</v>
      </c>
      <c r="GB10" s="12">
        <v>337733311</v>
      </c>
      <c r="GC10" s="12">
        <v>-74256789</v>
      </c>
      <c r="GD10" s="13">
        <v>-0.28183455753981757</v>
      </c>
      <c r="GE10" s="35">
        <v>8822.211898994592</v>
      </c>
      <c r="GG10" s="26" t="s">
        <v>159</v>
      </c>
      <c r="GH10" s="16">
        <v>5309</v>
      </c>
      <c r="GI10" s="16">
        <v>46238000</v>
      </c>
      <c r="GJ10" s="16">
        <v>10634740</v>
      </c>
      <c r="GK10" s="16">
        <v>0</v>
      </c>
      <c r="GL10" s="16">
        <v>0</v>
      </c>
      <c r="GM10" s="12">
        <v>10634740</v>
      </c>
      <c r="GN10" s="12">
        <v>11759000</v>
      </c>
      <c r="GO10" s="12">
        <v>0</v>
      </c>
      <c r="GP10" s="12">
        <v>11759000</v>
      </c>
      <c r="GQ10" s="12">
        <v>-1124260</v>
      </c>
      <c r="GR10" s="13">
        <v>-0.10571579559067734</v>
      </c>
      <c r="GS10" s="35">
        <v>8709.3614616688646</v>
      </c>
      <c r="GT10" s="35">
        <v>19</v>
      </c>
      <c r="GU10" s="35">
        <f t="shared" si="18"/>
        <v>559723.15789473685</v>
      </c>
      <c r="GV10" s="35">
        <f t="shared" si="14"/>
        <v>8709.3614616688646</v>
      </c>
      <c r="GW10" s="16"/>
    </row>
    <row r="11" spans="2:205" ht="18" customHeight="1">
      <c r="B11" s="26">
        <v>5</v>
      </c>
      <c r="C11" s="12">
        <v>102013</v>
      </c>
      <c r="D11" s="312">
        <v>250</v>
      </c>
      <c r="E11" s="16">
        <v>904590000</v>
      </c>
      <c r="F11" s="35">
        <v>203813500</v>
      </c>
      <c r="G11" s="16">
        <v>39557652.928571425</v>
      </c>
      <c r="H11" s="16">
        <v>37423500</v>
      </c>
      <c r="I11" s="12">
        <v>282494652.9285714</v>
      </c>
      <c r="J11" s="12">
        <v>162149199.99999997</v>
      </c>
      <c r="K11" s="12">
        <v>77414299.999999985</v>
      </c>
      <c r="L11" s="12">
        <v>239563499.99999994</v>
      </c>
      <c r="M11" s="12">
        <v>42931152.928571403</v>
      </c>
      <c r="N11" s="13">
        <v>0.15197155940302529</v>
      </c>
      <c r="O11" s="35">
        <v>8867.3992530363776</v>
      </c>
      <c r="P11" s="35">
        <v>348</v>
      </c>
      <c r="Q11" s="35">
        <f t="shared" si="19"/>
        <v>2599396.5517241377</v>
      </c>
      <c r="R11" s="35">
        <f t="shared" si="15"/>
        <v>293.14080459770116</v>
      </c>
      <c r="V11" s="26" t="s">
        <v>161</v>
      </c>
      <c r="W11" s="16">
        <v>33818</v>
      </c>
      <c r="X11" s="16">
        <v>296842000</v>
      </c>
      <c r="Y11" s="16">
        <v>68273660</v>
      </c>
      <c r="Z11" s="16">
        <v>11976000</v>
      </c>
      <c r="AA11" s="16">
        <v>15666000</v>
      </c>
      <c r="AB11" s="12">
        <v>95915660</v>
      </c>
      <c r="AC11" s="12">
        <v>64868000</v>
      </c>
      <c r="AD11" s="12">
        <v>19155000</v>
      </c>
      <c r="AE11" s="12">
        <v>84023000</v>
      </c>
      <c r="AF11" s="12">
        <v>11892660</v>
      </c>
      <c r="AG11" s="13">
        <v>0.12399080608943315</v>
      </c>
      <c r="AH11" s="35">
        <v>8777.63321308179</v>
      </c>
      <c r="AI11" s="35">
        <v>45</v>
      </c>
      <c r="AJ11" s="35">
        <f t="shared" si="7"/>
        <v>1517192.4444444445</v>
      </c>
      <c r="AK11" s="35">
        <f t="shared" si="1"/>
        <v>8777.63321308179</v>
      </c>
      <c r="AL11" s="35"/>
      <c r="AN11" t="e">
        <f t="shared" si="16"/>
        <v>#DIV/0!</v>
      </c>
      <c r="AO11" t="e">
        <f t="shared" si="17"/>
        <v>#DIV/0!</v>
      </c>
      <c r="AQ11" s="26">
        <v>5</v>
      </c>
      <c r="AR11" s="35">
        <v>102013</v>
      </c>
      <c r="AS11" s="35">
        <v>904590000</v>
      </c>
      <c r="AT11" s="16">
        <v>203813500</v>
      </c>
      <c r="AU11" s="280">
        <v>39557652.928571425</v>
      </c>
      <c r="AV11" s="35">
        <v>37423500</v>
      </c>
      <c r="AW11" s="35">
        <v>282494652.9285714</v>
      </c>
      <c r="AX11" s="35">
        <v>75790799.999999985</v>
      </c>
      <c r="AY11" s="35">
        <v>239563499.99999994</v>
      </c>
      <c r="AZ11" s="35">
        <v>42931152.928571403</v>
      </c>
      <c r="BA11" s="13">
        <v>0.15197155940302529</v>
      </c>
      <c r="BC11" s="27"/>
      <c r="BL11" s="16"/>
      <c r="BM11" s="16"/>
      <c r="BN11" s="13"/>
      <c r="BO11" s="278" t="s">
        <v>169</v>
      </c>
      <c r="BP11" s="123">
        <v>0</v>
      </c>
      <c r="BQ11" s="123">
        <v>1038770</v>
      </c>
      <c r="BR11" s="123">
        <v>0</v>
      </c>
      <c r="BS11" s="123">
        <v>0</v>
      </c>
      <c r="BT11" s="123">
        <v>0</v>
      </c>
      <c r="BU11" s="123">
        <v>0</v>
      </c>
      <c r="BV11" s="123">
        <v>0</v>
      </c>
      <c r="BW11" s="123">
        <v>0</v>
      </c>
      <c r="BX11" s="123">
        <v>0</v>
      </c>
      <c r="BY11" s="123">
        <v>1038770</v>
      </c>
      <c r="BZ11" s="13">
        <v>1</v>
      </c>
      <c r="CB11" s="89"/>
      <c r="CG11" s="278" t="s">
        <v>170</v>
      </c>
      <c r="CH11" s="123">
        <v>3791500</v>
      </c>
      <c r="CI11" s="123">
        <f>CH11/15000</f>
        <v>252.76666666666668</v>
      </c>
      <c r="CP11" s="26" t="s">
        <v>159</v>
      </c>
      <c r="CQ11" s="16">
        <v>5309</v>
      </c>
      <c r="CR11" s="16">
        <v>46238000</v>
      </c>
      <c r="CS11" s="16">
        <v>10634740</v>
      </c>
      <c r="DL11" s="285" t="s">
        <v>160</v>
      </c>
      <c r="DM11" s="127">
        <v>430416</v>
      </c>
      <c r="DN11" s="267">
        <v>1215590116.181818</v>
      </c>
      <c r="DO11" s="267">
        <v>1136843420.909091</v>
      </c>
      <c r="DP11" s="267">
        <v>78746695.27272734</v>
      </c>
      <c r="DQ11" s="51">
        <v>6.4780631418813753E-2</v>
      </c>
      <c r="DR11" s="50">
        <v>8896.2770900710002</v>
      </c>
      <c r="DS11" s="27">
        <f t="shared" si="20"/>
        <v>0.41715203856196026</v>
      </c>
      <c r="DT11" s="27">
        <f t="shared" si="21"/>
        <v>0.192676300920641</v>
      </c>
      <c r="DU11" s="27">
        <f t="shared" si="22"/>
        <v>-4.4087500872890333</v>
      </c>
      <c r="DV11" s="13">
        <f t="shared" si="23"/>
        <v>6.4780631418813753E-2</v>
      </c>
      <c r="DY11" s="35">
        <v>45</v>
      </c>
      <c r="DZ11" s="35">
        <f t="shared" si="8"/>
        <v>25263187.131313134</v>
      </c>
      <c r="EA11" s="35">
        <f t="shared" si="9"/>
        <v>27013113.69292929</v>
      </c>
      <c r="EC11" s="26" t="s">
        <v>161</v>
      </c>
      <c r="ED11" s="199">
        <v>19155000</v>
      </c>
      <c r="EE11" s="16">
        <v>33818</v>
      </c>
      <c r="EF11" s="16">
        <v>296842000</v>
      </c>
      <c r="EG11" s="16">
        <v>68273660</v>
      </c>
      <c r="EH11" s="16">
        <v>11976000</v>
      </c>
      <c r="EI11" s="16">
        <v>15666000</v>
      </c>
      <c r="EJ11" s="12">
        <v>95915660</v>
      </c>
      <c r="EK11" s="12">
        <v>64868000</v>
      </c>
      <c r="EL11" s="12">
        <v>19155000</v>
      </c>
      <c r="EM11" s="12">
        <v>84023000</v>
      </c>
      <c r="EN11" s="12">
        <v>11892660</v>
      </c>
      <c r="EO11" s="13">
        <v>0.12399080608943315</v>
      </c>
      <c r="EP11" s="35">
        <v>8777.63321308179</v>
      </c>
      <c r="EQ11" s="35">
        <v>45</v>
      </c>
      <c r="ER11" s="35">
        <f t="shared" si="10"/>
        <v>6596488.888888889</v>
      </c>
      <c r="ES11" s="35">
        <f t="shared" si="11"/>
        <v>751.51111111111106</v>
      </c>
      <c r="FK11" s="35">
        <v>45</v>
      </c>
      <c r="FL11" s="35">
        <f t="shared" si="12"/>
        <v>0</v>
      </c>
      <c r="FM11" s="35" t="e">
        <f t="shared" si="6"/>
        <v>#DIV/0!</v>
      </c>
      <c r="FN11" s="16"/>
      <c r="FS11" s="11">
        <v>5</v>
      </c>
      <c r="FT11" s="16">
        <v>103168</v>
      </c>
      <c r="FU11" s="35">
        <v>915190000</v>
      </c>
      <c r="FV11" s="16">
        <v>207110850</v>
      </c>
      <c r="FW11" s="35">
        <v>39557652.928571425</v>
      </c>
      <c r="FX11" s="35">
        <v>37423500</v>
      </c>
      <c r="FY11" s="12">
        <v>285792002.9285714</v>
      </c>
      <c r="FZ11" s="12">
        <v>165344299.99999997</v>
      </c>
      <c r="GA11" s="12">
        <v>81776599.999999985</v>
      </c>
      <c r="GB11" s="12">
        <v>247120899.99999994</v>
      </c>
      <c r="GC11" s="12">
        <v>38671102.92857141</v>
      </c>
      <c r="GD11" s="13">
        <v>0.13531205398436766</v>
      </c>
      <c r="GE11" s="35">
        <v>8870.8708126550864</v>
      </c>
      <c r="GG11" s="26" t="s">
        <v>160</v>
      </c>
      <c r="GH11" s="16">
        <v>17929</v>
      </c>
      <c r="GI11" s="16">
        <v>156418000</v>
      </c>
      <c r="GJ11" s="16">
        <v>35976140</v>
      </c>
      <c r="GK11" s="16">
        <v>3840000</v>
      </c>
      <c r="GL11" s="16">
        <v>4930000</v>
      </c>
      <c r="GM11" s="12">
        <v>44746140</v>
      </c>
      <c r="GN11" s="12">
        <v>38477000</v>
      </c>
      <c r="GO11" s="12">
        <v>5298300</v>
      </c>
      <c r="GP11" s="12">
        <v>43775300</v>
      </c>
      <c r="GQ11" s="12">
        <v>970840</v>
      </c>
      <c r="GR11" s="13">
        <v>2.1696620088347284E-2</v>
      </c>
      <c r="GS11" s="35">
        <v>8724.3014111216471</v>
      </c>
      <c r="GT11" s="35">
        <v>30</v>
      </c>
      <c r="GU11" s="35">
        <f t="shared" si="18"/>
        <v>1199204.6666666667</v>
      </c>
      <c r="GV11" s="35">
        <f t="shared" si="14"/>
        <v>8724.3014111216471</v>
      </c>
      <c r="GW11" s="16"/>
    </row>
    <row r="12" spans="2:205" ht="18" customHeight="1">
      <c r="B12" s="26">
        <v>6</v>
      </c>
      <c r="C12" s="12">
        <v>103235</v>
      </c>
      <c r="D12" s="312">
        <v>270</v>
      </c>
      <c r="E12" s="16">
        <v>910700000</v>
      </c>
      <c r="F12" s="35">
        <v>207146320</v>
      </c>
      <c r="G12" s="16">
        <v>43088058.5</v>
      </c>
      <c r="H12" s="16">
        <v>48392000</v>
      </c>
      <c r="I12" s="12">
        <v>299376378.5</v>
      </c>
      <c r="J12" s="12">
        <v>186015200</v>
      </c>
      <c r="K12" s="12">
        <v>89048500</v>
      </c>
      <c r="L12" s="12">
        <v>275063700</v>
      </c>
      <c r="M12" s="12">
        <v>24312678.5</v>
      </c>
      <c r="N12" s="13">
        <v>8.1211078248112356E-2</v>
      </c>
      <c r="O12" s="35">
        <v>8821.6205744175913</v>
      </c>
      <c r="P12" s="35">
        <v>376</v>
      </c>
      <c r="Q12" s="35">
        <f t="shared" si="19"/>
        <v>2422074.4680851065</v>
      </c>
      <c r="R12" s="35">
        <f t="shared" si="15"/>
        <v>274.56117021276594</v>
      </c>
      <c r="V12" s="26" t="s">
        <v>156</v>
      </c>
      <c r="W12" s="16">
        <v>82290</v>
      </c>
      <c r="X12" s="16">
        <v>722084000</v>
      </c>
      <c r="Y12" s="16">
        <v>166079320</v>
      </c>
      <c r="Z12" s="16">
        <v>31560000</v>
      </c>
      <c r="AA12" s="16">
        <v>23688000</v>
      </c>
      <c r="AB12" s="12">
        <v>221327320</v>
      </c>
      <c r="AC12" s="12">
        <v>174990000</v>
      </c>
      <c r="AD12" s="12">
        <v>44788500</v>
      </c>
      <c r="AE12" s="12">
        <v>219778500</v>
      </c>
      <c r="AF12" s="12">
        <v>1548820</v>
      </c>
      <c r="AG12" s="13">
        <v>6.9978708457681593E-3</v>
      </c>
      <c r="AH12" s="35">
        <v>8774.869364442824</v>
      </c>
      <c r="AI12" s="35">
        <v>82</v>
      </c>
      <c r="AJ12" s="35">
        <f t="shared" si="7"/>
        <v>2025357.5609756098</v>
      </c>
      <c r="AK12" s="35">
        <f t="shared" si="1"/>
        <v>8774.869364442824</v>
      </c>
      <c r="AL12" s="35"/>
      <c r="AN12" t="e">
        <f t="shared" si="16"/>
        <v>#DIV/0!</v>
      </c>
      <c r="AO12" t="e">
        <f t="shared" si="17"/>
        <v>#DIV/0!</v>
      </c>
      <c r="AQ12" s="26">
        <v>6</v>
      </c>
      <c r="AR12" s="35">
        <v>103235</v>
      </c>
      <c r="AS12" s="35">
        <v>910700000</v>
      </c>
      <c r="AT12" s="16">
        <v>207146320</v>
      </c>
      <c r="AU12" s="280">
        <v>43088058.5</v>
      </c>
      <c r="AV12" s="35">
        <v>48392000</v>
      </c>
      <c r="AW12" s="35">
        <v>299376378.5</v>
      </c>
      <c r="AX12" s="35">
        <v>87325000</v>
      </c>
      <c r="AY12" s="35">
        <v>275063700</v>
      </c>
      <c r="AZ12" s="35">
        <v>24312678.5</v>
      </c>
      <c r="BA12" s="13">
        <v>8.1211078248112356E-2</v>
      </c>
      <c r="BC12" s="27"/>
      <c r="BL12" s="16"/>
      <c r="BM12" s="16"/>
      <c r="BN12" s="13"/>
      <c r="BO12" s="26" t="s">
        <v>158</v>
      </c>
      <c r="BP12" s="123">
        <v>0</v>
      </c>
      <c r="BQ12" s="123">
        <v>484484290.19999999</v>
      </c>
      <c r="BR12" s="123">
        <v>173561482.14285713</v>
      </c>
      <c r="BS12" s="123">
        <v>219165088.57142857</v>
      </c>
      <c r="BT12" s="123">
        <v>0</v>
      </c>
      <c r="BU12" s="123">
        <v>514285.71428571426</v>
      </c>
      <c r="BV12" s="123">
        <v>20178571.428571425</v>
      </c>
      <c r="BW12" s="123">
        <v>2548065.7400000002</v>
      </c>
      <c r="BX12" s="123">
        <v>415967493.59714288</v>
      </c>
      <c r="BY12" s="123">
        <v>67402510.888571426</v>
      </c>
      <c r="BZ12" s="13">
        <v>0.13912218053705516</v>
      </c>
      <c r="CB12" s="89"/>
      <c r="CG12" s="278" t="s">
        <v>27</v>
      </c>
      <c r="CH12" s="123">
        <v>27479000</v>
      </c>
      <c r="CP12" s="26" t="s">
        <v>160</v>
      </c>
      <c r="CQ12" s="16">
        <v>17929</v>
      </c>
      <c r="CR12" s="16">
        <v>156418000</v>
      </c>
      <c r="CS12" s="16">
        <v>35976140</v>
      </c>
      <c r="DL12" s="285" t="s">
        <v>161</v>
      </c>
      <c r="DM12" s="127">
        <v>439801</v>
      </c>
      <c r="DN12" s="267">
        <v>1245333756.1428571</v>
      </c>
      <c r="DO12" s="267">
        <v>1171677902.1843319</v>
      </c>
      <c r="DP12" s="267">
        <v>73655853.958525375</v>
      </c>
      <c r="DQ12" s="51">
        <v>5.9145472926597539E-2</v>
      </c>
      <c r="DR12" s="50">
        <v>8761.4284642372349</v>
      </c>
      <c r="DS12" s="27">
        <f t="shared" si="20"/>
        <v>2.1804486822051224E-2</v>
      </c>
      <c r="DT12" s="27">
        <f t="shared" si="21"/>
        <v>2.4468477955763714E-2</v>
      </c>
      <c r="DU12" s="27">
        <f t="shared" si="22"/>
        <v>-6.4648316942959985E-2</v>
      </c>
      <c r="DV12" s="13">
        <f t="shared" si="23"/>
        <v>5.9145472926597539E-2</v>
      </c>
      <c r="DY12" s="35">
        <v>82</v>
      </c>
      <c r="DZ12" s="35">
        <f t="shared" si="8"/>
        <v>14288754.904686974</v>
      </c>
      <c r="EA12" s="35">
        <f t="shared" si="9"/>
        <v>15186997.026132403</v>
      </c>
      <c r="EC12" s="26" t="s">
        <v>156</v>
      </c>
      <c r="ED12" s="199">
        <v>44788500</v>
      </c>
      <c r="EE12" s="16">
        <v>82290</v>
      </c>
      <c r="EF12" s="16">
        <v>722084000</v>
      </c>
      <c r="EG12" s="16">
        <v>166079320</v>
      </c>
      <c r="EH12" s="16">
        <v>31560000</v>
      </c>
      <c r="EI12" s="16">
        <v>23688000</v>
      </c>
      <c r="EJ12" s="12">
        <v>221327320</v>
      </c>
      <c r="EK12" s="12">
        <v>174990000</v>
      </c>
      <c r="EL12" s="12">
        <v>44788500</v>
      </c>
      <c r="EM12" s="12">
        <v>219778500</v>
      </c>
      <c r="EN12" s="12">
        <v>1548820</v>
      </c>
      <c r="EO12" s="13">
        <v>6.9978708457681593E-3</v>
      </c>
      <c r="EP12" s="35">
        <v>8774.869364442824</v>
      </c>
      <c r="EQ12" s="35">
        <v>82</v>
      </c>
      <c r="ER12" s="35">
        <f t="shared" si="10"/>
        <v>8805902.4390243907</v>
      </c>
      <c r="ES12" s="35">
        <f t="shared" si="11"/>
        <v>1003.5365853658536</v>
      </c>
      <c r="FK12" s="35">
        <v>82</v>
      </c>
      <c r="FL12" s="35">
        <f t="shared" si="12"/>
        <v>0</v>
      </c>
      <c r="FM12" s="35" t="e">
        <f t="shared" si="6"/>
        <v>#DIV/0!</v>
      </c>
      <c r="FN12" s="16"/>
      <c r="FS12" s="11">
        <v>6</v>
      </c>
      <c r="FT12" s="16">
        <v>104904</v>
      </c>
      <c r="FU12" s="35">
        <v>927044000</v>
      </c>
      <c r="FV12" s="16">
        <v>212139170</v>
      </c>
      <c r="FW12" s="35">
        <v>43088058.5</v>
      </c>
      <c r="FX12" s="35">
        <v>49652000</v>
      </c>
      <c r="FY12" s="12">
        <v>305629228.5</v>
      </c>
      <c r="FZ12" s="12">
        <v>189953800</v>
      </c>
      <c r="GA12" s="12">
        <v>93668500</v>
      </c>
      <c r="GB12" s="12">
        <v>283622300</v>
      </c>
      <c r="GC12" s="12">
        <v>22006928.5</v>
      </c>
      <c r="GD12" s="13">
        <v>7.2005313784967398E-2</v>
      </c>
      <c r="GE12" s="35">
        <v>8837.0700831236172</v>
      </c>
      <c r="GG12" s="26" t="s">
        <v>161</v>
      </c>
      <c r="GH12" s="16">
        <v>33818</v>
      </c>
      <c r="GI12" s="16">
        <v>296842000</v>
      </c>
      <c r="GJ12" s="16">
        <v>68273660</v>
      </c>
      <c r="GK12" s="16">
        <v>11976000</v>
      </c>
      <c r="GL12" s="16">
        <v>15666000</v>
      </c>
      <c r="GM12" s="12">
        <v>95915660</v>
      </c>
      <c r="GN12" s="12">
        <v>64868000</v>
      </c>
      <c r="GO12" s="12">
        <v>19155000</v>
      </c>
      <c r="GP12" s="12">
        <v>84023000</v>
      </c>
      <c r="GQ12" s="12">
        <v>11892660</v>
      </c>
      <c r="GR12" s="13">
        <v>0.12399080608943315</v>
      </c>
      <c r="GS12" s="35">
        <v>8777.63321308179</v>
      </c>
      <c r="GT12" s="35">
        <v>45</v>
      </c>
      <c r="GU12" s="35">
        <f t="shared" si="18"/>
        <v>1517192.4444444445</v>
      </c>
      <c r="GV12" s="35">
        <f t="shared" si="14"/>
        <v>8777.63321308179</v>
      </c>
      <c r="GW12" s="16"/>
    </row>
    <row r="13" spans="2:205" ht="15" customHeight="1">
      <c r="B13" s="26">
        <v>7</v>
      </c>
      <c r="C13" s="12">
        <v>106459</v>
      </c>
      <c r="D13" s="312">
        <v>269</v>
      </c>
      <c r="E13" s="16">
        <v>938335000</v>
      </c>
      <c r="F13" s="35">
        <v>212817990</v>
      </c>
      <c r="G13" s="16">
        <v>43088058.5</v>
      </c>
      <c r="H13" s="16">
        <v>47174000</v>
      </c>
      <c r="I13" s="12">
        <v>304080048.5</v>
      </c>
      <c r="J13" s="12">
        <v>190954500</v>
      </c>
      <c r="K13" s="12">
        <v>88143500</v>
      </c>
      <c r="L13" s="12">
        <v>279098000</v>
      </c>
      <c r="M13" s="12">
        <v>24982048.5</v>
      </c>
      <c r="N13" s="13">
        <v>8.2156157969699883E-2</v>
      </c>
      <c r="O13" s="35">
        <v>8814.05047952733</v>
      </c>
      <c r="P13" s="35">
        <v>378</v>
      </c>
      <c r="Q13" s="35">
        <f t="shared" si="19"/>
        <v>2482367.7248677248</v>
      </c>
      <c r="R13" s="35">
        <f t="shared" si="15"/>
        <v>281.63756613756613</v>
      </c>
      <c r="V13" s="259" t="s">
        <v>162</v>
      </c>
      <c r="W13" s="83">
        <v>118513</v>
      </c>
      <c r="X13" s="83">
        <v>1060639000</v>
      </c>
      <c r="Y13" s="83">
        <v>243946970</v>
      </c>
      <c r="Z13" s="83">
        <v>64080000</v>
      </c>
      <c r="AA13" s="83">
        <v>39474003</v>
      </c>
      <c r="AB13" s="258">
        <v>347500973</v>
      </c>
      <c r="AC13" s="258">
        <v>243273500</v>
      </c>
      <c r="AD13" s="258">
        <v>88911000</v>
      </c>
      <c r="AE13" s="258">
        <v>332184500</v>
      </c>
      <c r="AF13" s="258">
        <v>15316473</v>
      </c>
      <c r="AG13" s="84">
        <v>4.4076057882001959E-2</v>
      </c>
      <c r="AH13" s="172">
        <v>8949.5582763072398</v>
      </c>
      <c r="AI13" s="172">
        <v>120</v>
      </c>
      <c r="AJ13" s="172">
        <f t="shared" si="7"/>
        <v>2032891.4166666667</v>
      </c>
      <c r="AK13" s="172">
        <f t="shared" si="1"/>
        <v>8949.5582763072398</v>
      </c>
      <c r="AL13" s="172"/>
      <c r="AN13" t="e">
        <f t="shared" si="16"/>
        <v>#DIV/0!</v>
      </c>
      <c r="AO13" t="e">
        <f t="shared" si="17"/>
        <v>#DIV/0!</v>
      </c>
      <c r="AQ13" s="26">
        <v>7</v>
      </c>
      <c r="AR13" s="35">
        <v>106459</v>
      </c>
      <c r="AS13" s="35">
        <v>938335000</v>
      </c>
      <c r="AT13" s="16">
        <v>212817990</v>
      </c>
      <c r="AU13" s="280">
        <v>43088058.5</v>
      </c>
      <c r="AV13" s="35">
        <v>47174000</v>
      </c>
      <c r="AW13" s="35">
        <v>304080048.5</v>
      </c>
      <c r="AX13" s="35">
        <v>85820000</v>
      </c>
      <c r="AY13" s="35">
        <v>279098000</v>
      </c>
      <c r="AZ13" s="35">
        <v>24982048.5</v>
      </c>
      <c r="BA13" s="13">
        <v>8.2156157969699883E-2</v>
      </c>
      <c r="BC13" s="27"/>
      <c r="BL13" s="16"/>
      <c r="BM13" s="16"/>
      <c r="BN13" s="13"/>
      <c r="BO13" s="278" t="s">
        <v>168</v>
      </c>
      <c r="BP13" s="123">
        <v>0</v>
      </c>
      <c r="BQ13" s="123">
        <v>483990160.19999999</v>
      </c>
      <c r="BR13" s="123">
        <v>173561482.14285713</v>
      </c>
      <c r="BS13" s="123">
        <v>219165088.57142857</v>
      </c>
      <c r="BT13" s="123">
        <v>0</v>
      </c>
      <c r="BU13" s="123">
        <v>514285.71428571426</v>
      </c>
      <c r="BV13" s="123">
        <v>20178571.428571425</v>
      </c>
      <c r="BW13" s="123">
        <v>2548065.7400000002</v>
      </c>
      <c r="BX13" s="123">
        <v>415967493.59714288</v>
      </c>
      <c r="BY13" s="123">
        <v>66908380.888571426</v>
      </c>
      <c r="BZ13" s="13">
        <v>0.13824326688981192</v>
      </c>
      <c r="CB13" s="89"/>
      <c r="CG13" s="278" t="s">
        <v>33</v>
      </c>
      <c r="CH13" s="123">
        <v>5370666.666666666</v>
      </c>
      <c r="CI13" s="12">
        <f>SUM(CH14,CH16,CH15)</f>
        <v>3134603700</v>
      </c>
      <c r="CJ13" s="12">
        <f>CI13+CI24</f>
        <v>3134603700</v>
      </c>
      <c r="CP13" s="26" t="s">
        <v>161</v>
      </c>
      <c r="CQ13" s="16">
        <v>33818</v>
      </c>
      <c r="CR13" s="16">
        <v>296842000</v>
      </c>
      <c r="CS13" s="16">
        <v>68273660</v>
      </c>
      <c r="DL13" s="285" t="s">
        <v>156</v>
      </c>
      <c r="DM13" s="127">
        <v>420746</v>
      </c>
      <c r="DN13" s="267">
        <v>1172856653.8571429</v>
      </c>
      <c r="DO13" s="267">
        <v>1116378640.1663902</v>
      </c>
      <c r="DP13" s="267">
        <v>56478013.69075273</v>
      </c>
      <c r="DQ13" s="51">
        <v>4.8154233942413138E-2</v>
      </c>
      <c r="DR13" s="50">
        <v>8797.7520879580552</v>
      </c>
      <c r="DS13" s="27">
        <f t="shared" si="20"/>
        <v>-4.3326413537031525E-2</v>
      </c>
      <c r="DT13" s="27">
        <f t="shared" si="21"/>
        <v>-5.8198938178786519E-2</v>
      </c>
      <c r="DU13" s="27">
        <f t="shared" si="22"/>
        <v>-0.23321758345840721</v>
      </c>
      <c r="DV13" s="13">
        <f t="shared" si="23"/>
        <v>4.8154233942413138E-2</v>
      </c>
      <c r="DY13" s="172">
        <v>120</v>
      </c>
      <c r="DZ13" s="172">
        <f t="shared" si="8"/>
        <v>9303155.3347199187</v>
      </c>
      <c r="EA13" s="172">
        <f t="shared" ref="EA13:EA16" si="24">DM13/DY13</f>
        <v>3506.2166666666667</v>
      </c>
      <c r="EC13" s="259" t="s">
        <v>162</v>
      </c>
      <c r="ED13" s="272">
        <v>88911000</v>
      </c>
      <c r="EE13" s="83">
        <v>118513</v>
      </c>
      <c r="EF13" s="83">
        <v>1060639000</v>
      </c>
      <c r="EG13" s="83">
        <v>243946970</v>
      </c>
      <c r="EH13" s="83">
        <v>64080000</v>
      </c>
      <c r="EI13" s="83">
        <v>39474003</v>
      </c>
      <c r="EJ13" s="258">
        <v>347500973</v>
      </c>
      <c r="EK13" s="258">
        <v>243273500</v>
      </c>
      <c r="EL13" s="258">
        <v>88911000</v>
      </c>
      <c r="EM13" s="258">
        <v>332184500</v>
      </c>
      <c r="EN13" s="258">
        <v>15316473</v>
      </c>
      <c r="EO13" s="84">
        <v>4.4076057882001959E-2</v>
      </c>
      <c r="EP13" s="172">
        <v>8949.5582763072398</v>
      </c>
      <c r="EQ13" s="172">
        <v>120</v>
      </c>
      <c r="ER13" s="172">
        <f t="shared" si="10"/>
        <v>8838658.333333334</v>
      </c>
      <c r="ES13" s="172">
        <f t="shared" ref="ES13:ES16" si="25">ED13/EQ13</f>
        <v>740925</v>
      </c>
      <c r="FK13" s="172">
        <v>120</v>
      </c>
      <c r="FL13" s="172">
        <f t="shared" si="12"/>
        <v>0</v>
      </c>
      <c r="FM13" s="172" t="e">
        <f t="shared" si="6"/>
        <v>#DIV/0!</v>
      </c>
      <c r="FN13" s="83"/>
      <c r="FS13" s="11">
        <v>7</v>
      </c>
      <c r="FT13" s="16">
        <v>108270</v>
      </c>
      <c r="FU13" s="35">
        <v>953558000</v>
      </c>
      <c r="FV13" s="16">
        <v>217451490</v>
      </c>
      <c r="FW13" s="35">
        <v>43088058.5</v>
      </c>
      <c r="FX13" s="35">
        <v>48574000</v>
      </c>
      <c r="FY13" s="12">
        <v>310113548.5</v>
      </c>
      <c r="FZ13" s="12">
        <v>194543800</v>
      </c>
      <c r="GA13" s="12">
        <v>93043500</v>
      </c>
      <c r="GB13" s="12">
        <v>287587300</v>
      </c>
      <c r="GC13" s="12">
        <v>22526248.5</v>
      </c>
      <c r="GD13" s="13">
        <v>7.2638711236442485E-2</v>
      </c>
      <c r="GE13" s="35">
        <v>8807.2226840306648</v>
      </c>
      <c r="GG13" s="26" t="s">
        <v>156</v>
      </c>
      <c r="GH13" s="16">
        <v>82290</v>
      </c>
      <c r="GI13" s="16">
        <v>722084000</v>
      </c>
      <c r="GJ13" s="16">
        <v>166079320</v>
      </c>
      <c r="GK13" s="16">
        <v>31560000</v>
      </c>
      <c r="GL13" s="16">
        <v>23688000</v>
      </c>
      <c r="GM13" s="12">
        <v>221327320</v>
      </c>
      <c r="GN13" s="12">
        <v>174990000</v>
      </c>
      <c r="GO13" s="12">
        <v>44788500</v>
      </c>
      <c r="GP13" s="12">
        <v>219778500</v>
      </c>
      <c r="GQ13" s="12">
        <v>1548820</v>
      </c>
      <c r="GR13" s="13">
        <v>6.9978708457681593E-3</v>
      </c>
      <c r="GS13" s="35">
        <v>8774.869364442824</v>
      </c>
      <c r="GT13" s="35">
        <v>82</v>
      </c>
      <c r="GU13" s="35">
        <f t="shared" si="18"/>
        <v>2025357.5609756098</v>
      </c>
      <c r="GV13" s="35">
        <f t="shared" si="14"/>
        <v>8774.869364442824</v>
      </c>
      <c r="GW13" s="16"/>
    </row>
    <row r="14" spans="2:205">
      <c r="B14" s="26">
        <v>8</v>
      </c>
      <c r="C14" s="12">
        <v>99161</v>
      </c>
      <c r="D14" s="312">
        <v>275</v>
      </c>
      <c r="E14" s="16">
        <v>913770000</v>
      </c>
      <c r="F14" s="35">
        <v>207286800</v>
      </c>
      <c r="G14" s="16">
        <v>43088058.5</v>
      </c>
      <c r="H14" s="16">
        <v>47885000</v>
      </c>
      <c r="I14" s="12">
        <v>299809858.5</v>
      </c>
      <c r="J14" s="12">
        <v>264657858</v>
      </c>
      <c r="K14" s="12">
        <v>90018500</v>
      </c>
      <c r="L14" s="12">
        <v>354676358</v>
      </c>
      <c r="M14" s="12">
        <v>-54866499.5</v>
      </c>
      <c r="N14" s="13">
        <v>-0.18300432072016071</v>
      </c>
      <c r="O14" s="35">
        <v>9215.0139671846791</v>
      </c>
      <c r="P14" s="35">
        <v>385</v>
      </c>
      <c r="Q14" s="35">
        <f t="shared" si="19"/>
        <v>2373428.5714285714</v>
      </c>
      <c r="R14" s="35">
        <f t="shared" si="15"/>
        <v>257.56103896103895</v>
      </c>
      <c r="V14" s="259" t="s">
        <v>163</v>
      </c>
      <c r="W14" s="83">
        <v>208316</v>
      </c>
      <c r="X14" s="83">
        <v>1841906000</v>
      </c>
      <c r="Y14" s="83">
        <v>421886580</v>
      </c>
      <c r="Z14" s="83">
        <v>86857200</v>
      </c>
      <c r="AA14" s="83">
        <v>76330000</v>
      </c>
      <c r="AB14" s="258">
        <v>585073780</v>
      </c>
      <c r="AC14" s="258">
        <v>387603200</v>
      </c>
      <c r="AD14" s="258">
        <v>116384100</v>
      </c>
      <c r="AE14" s="258">
        <v>503987300</v>
      </c>
      <c r="AF14" s="258">
        <v>81086480</v>
      </c>
      <c r="AG14" s="84">
        <v>0.13859188835978942</v>
      </c>
      <c r="AH14" s="172">
        <v>8841.8844447858064</v>
      </c>
      <c r="AI14" s="172">
        <v>141</v>
      </c>
      <c r="AJ14" s="172">
        <f t="shared" si="7"/>
        <v>2992103.4042553189</v>
      </c>
      <c r="AK14" s="172">
        <f t="shared" si="1"/>
        <v>8841.8844447858064</v>
      </c>
      <c r="AL14" s="172"/>
      <c r="AN14" t="e">
        <f t="shared" si="16"/>
        <v>#DIV/0!</v>
      </c>
      <c r="AO14" t="e">
        <f t="shared" si="17"/>
        <v>#DIV/0!</v>
      </c>
      <c r="AQ14" s="26">
        <v>8</v>
      </c>
      <c r="AR14" s="35">
        <v>99161</v>
      </c>
      <c r="AS14" s="35">
        <v>913770000</v>
      </c>
      <c r="AT14" s="16">
        <v>207286800</v>
      </c>
      <c r="AU14" s="280">
        <v>43088058.5</v>
      </c>
      <c r="AV14" s="35">
        <v>47885000</v>
      </c>
      <c r="AW14" s="35">
        <v>299809858.5</v>
      </c>
      <c r="AX14" s="35">
        <v>87570000</v>
      </c>
      <c r="AY14" s="35">
        <v>354676358</v>
      </c>
      <c r="AZ14" s="35">
        <v>-54866499.5</v>
      </c>
      <c r="BA14" s="13">
        <v>-0.18300432072016071</v>
      </c>
      <c r="BC14" s="27"/>
      <c r="BL14" s="16"/>
      <c r="BM14" s="16"/>
      <c r="BN14" s="13"/>
      <c r="BO14" s="278" t="s">
        <v>169</v>
      </c>
      <c r="BP14" s="123">
        <v>0</v>
      </c>
      <c r="BQ14" s="123">
        <v>494130</v>
      </c>
      <c r="BR14" s="123">
        <v>0</v>
      </c>
      <c r="BS14" s="123">
        <v>0</v>
      </c>
      <c r="BT14" s="123">
        <v>0</v>
      </c>
      <c r="BU14" s="123">
        <v>0</v>
      </c>
      <c r="BV14" s="123">
        <v>0</v>
      </c>
      <c r="BW14" s="123">
        <v>0</v>
      </c>
      <c r="BX14" s="123">
        <v>0</v>
      </c>
      <c r="BY14" s="123">
        <v>494130</v>
      </c>
      <c r="BZ14" s="13">
        <v>1</v>
      </c>
      <c r="CB14" s="89"/>
      <c r="CG14" s="278" t="s">
        <v>171</v>
      </c>
      <c r="CH14" s="123">
        <v>1818000</v>
      </c>
      <c r="CI14" s="12">
        <f>CI13/15000</f>
        <v>208973.58</v>
      </c>
      <c r="CP14" s="26" t="s">
        <v>156</v>
      </c>
      <c r="CQ14" s="16">
        <v>82290</v>
      </c>
      <c r="CR14" s="16">
        <v>722084000</v>
      </c>
      <c r="CS14" s="16">
        <v>166079320</v>
      </c>
      <c r="DL14" s="286" t="s">
        <v>162</v>
      </c>
      <c r="DM14" s="83">
        <v>426901</v>
      </c>
      <c r="DN14" s="258">
        <v>1197140765.7142856</v>
      </c>
      <c r="DO14" s="258">
        <v>1150590431.9199998</v>
      </c>
      <c r="DP14" s="258">
        <v>46550333.794285707</v>
      </c>
      <c r="DQ14" s="84">
        <v>3.8884594967836555E-2</v>
      </c>
      <c r="DR14" s="172">
        <v>8883.0016460825482</v>
      </c>
      <c r="DS14" s="27">
        <f t="shared" si="20"/>
        <v>1.4628778407875536E-2</v>
      </c>
      <c r="DT14" s="27">
        <f t="shared" si="21"/>
        <v>2.0705097913952371E-2</v>
      </c>
      <c r="DU14" s="27">
        <f t="shared" si="22"/>
        <v>-0.17577955115111465</v>
      </c>
      <c r="DV14" s="13">
        <f t="shared" si="23"/>
        <v>3.8884594967836555E-2</v>
      </c>
      <c r="DY14" s="172">
        <v>141</v>
      </c>
      <c r="DZ14" s="172">
        <f t="shared" si="8"/>
        <v>8160215.8292198572</v>
      </c>
      <c r="EA14" s="172">
        <f t="shared" si="24"/>
        <v>3027.6666666666665</v>
      </c>
      <c r="EC14" s="259" t="s">
        <v>163</v>
      </c>
      <c r="ED14" s="272">
        <v>116384100</v>
      </c>
      <c r="EE14" s="83">
        <v>208316</v>
      </c>
      <c r="EF14" s="83">
        <v>1841906000</v>
      </c>
      <c r="EG14" s="83">
        <v>421886580</v>
      </c>
      <c r="EH14" s="83">
        <v>86857200</v>
      </c>
      <c r="EI14" s="83">
        <v>76330000</v>
      </c>
      <c r="EJ14" s="258">
        <v>585073780</v>
      </c>
      <c r="EK14" s="258">
        <v>387603200</v>
      </c>
      <c r="EL14" s="258">
        <v>116384100</v>
      </c>
      <c r="EM14" s="258">
        <v>503987300</v>
      </c>
      <c r="EN14" s="258">
        <v>81086480</v>
      </c>
      <c r="EO14" s="84">
        <v>0.13859188835978942</v>
      </c>
      <c r="EP14" s="172">
        <v>8841.8844447858064</v>
      </c>
      <c r="EQ14" s="172">
        <v>141</v>
      </c>
      <c r="ER14" s="172">
        <f t="shared" si="10"/>
        <v>13063163.120567376</v>
      </c>
      <c r="ES14" s="172">
        <f t="shared" si="25"/>
        <v>825419.14893617027</v>
      </c>
      <c r="FK14" s="172">
        <v>141</v>
      </c>
      <c r="FL14" s="172">
        <f t="shared" si="12"/>
        <v>0</v>
      </c>
      <c r="FM14" s="172" t="e">
        <f t="shared" si="6"/>
        <v>#DIV/0!</v>
      </c>
      <c r="FN14" s="83"/>
      <c r="FS14" s="11">
        <v>8</v>
      </c>
      <c r="FT14" s="16">
        <v>101345</v>
      </c>
      <c r="FU14" s="35">
        <v>931250000</v>
      </c>
      <c r="FV14" s="16">
        <v>212559450</v>
      </c>
      <c r="FW14" s="35">
        <v>43088058.5</v>
      </c>
      <c r="FX14" s="35">
        <v>49215000</v>
      </c>
      <c r="FY14" s="12">
        <v>306412508.5</v>
      </c>
      <c r="FZ14" s="12">
        <v>268915358</v>
      </c>
      <c r="GA14" s="12">
        <v>94848500</v>
      </c>
      <c r="GB14" s="12">
        <v>363763858</v>
      </c>
      <c r="GC14" s="12">
        <v>-57351349.5</v>
      </c>
      <c r="GD14" s="13">
        <v>-0.18717039255595533</v>
      </c>
      <c r="GE14" s="35">
        <v>9188.9091716414223</v>
      </c>
      <c r="GG14" s="259" t="s">
        <v>162</v>
      </c>
      <c r="GH14" s="83">
        <v>118513</v>
      </c>
      <c r="GI14" s="83">
        <v>1060639000</v>
      </c>
      <c r="GJ14" s="83">
        <v>243946970</v>
      </c>
      <c r="GK14" s="83">
        <v>64080000</v>
      </c>
      <c r="GL14" s="83">
        <v>39474003</v>
      </c>
      <c r="GM14" s="258">
        <v>347500973</v>
      </c>
      <c r="GN14" s="258">
        <v>243273500</v>
      </c>
      <c r="GO14" s="258">
        <v>88911000</v>
      </c>
      <c r="GP14" s="258">
        <v>332184500</v>
      </c>
      <c r="GQ14" s="258">
        <v>15316473</v>
      </c>
      <c r="GR14" s="84">
        <v>4.4076057882001959E-2</v>
      </c>
      <c r="GS14" s="172">
        <v>8949.5582763072398</v>
      </c>
      <c r="GT14" s="172">
        <v>120</v>
      </c>
      <c r="GU14" s="172">
        <f t="shared" si="18"/>
        <v>2032891.4166666667</v>
      </c>
      <c r="GV14" s="172">
        <f t="shared" si="14"/>
        <v>8949.5582763072398</v>
      </c>
      <c r="GW14" s="83"/>
    </row>
    <row r="15" spans="2:205">
      <c r="B15" s="26">
        <v>9</v>
      </c>
      <c r="C15" s="12">
        <v>95442</v>
      </c>
      <c r="D15" s="312">
        <v>265</v>
      </c>
      <c r="E15" s="16">
        <v>842448000</v>
      </c>
      <c r="F15" s="35">
        <v>191133120</v>
      </c>
      <c r="G15" s="16">
        <v>43224981.152073726</v>
      </c>
      <c r="H15" s="16">
        <v>46958000</v>
      </c>
      <c r="I15" s="12">
        <v>283166101.15207368</v>
      </c>
      <c r="J15" s="12">
        <v>174654600</v>
      </c>
      <c r="K15" s="12">
        <v>85600500</v>
      </c>
      <c r="L15" s="12">
        <v>260255100</v>
      </c>
      <c r="M15" s="12">
        <v>22911001.152073722</v>
      </c>
      <c r="N15" s="13">
        <v>8.0910112682483215E-2</v>
      </c>
      <c r="O15" s="35">
        <v>8826.8058087634381</v>
      </c>
      <c r="P15" s="35">
        <v>374</v>
      </c>
      <c r="Q15" s="35">
        <f t="shared" si="19"/>
        <v>2252534.7593582887</v>
      </c>
      <c r="R15" s="35">
        <f t="shared" si="15"/>
        <v>255.19251336898395</v>
      </c>
      <c r="V15" s="259" t="s">
        <v>164</v>
      </c>
      <c r="W15" s="83">
        <v>204691</v>
      </c>
      <c r="X15" s="83">
        <v>1817637000</v>
      </c>
      <c r="Y15" s="83">
        <v>414044230</v>
      </c>
      <c r="Z15" s="83">
        <v>94982400</v>
      </c>
      <c r="AA15" s="83">
        <v>79992000</v>
      </c>
      <c r="AB15" s="258">
        <v>589018630</v>
      </c>
      <c r="AC15" s="258">
        <v>384594855</v>
      </c>
      <c r="AD15" s="258">
        <v>149495400</v>
      </c>
      <c r="AE15" s="258">
        <v>534090255</v>
      </c>
      <c r="AF15" s="258">
        <v>54928375</v>
      </c>
      <c r="AG15" s="84">
        <v>9.3254053780947477E-2</v>
      </c>
      <c r="AH15" s="172">
        <v>8879.9067863267064</v>
      </c>
      <c r="AI15" s="172">
        <v>204</v>
      </c>
      <c r="AJ15" s="172">
        <f t="shared" si="7"/>
        <v>2029628.5784313725</v>
      </c>
      <c r="AK15" s="172">
        <f t="shared" si="1"/>
        <v>8879.9067863267064</v>
      </c>
      <c r="AL15" s="172"/>
      <c r="AN15" t="e">
        <f t="shared" si="16"/>
        <v>#DIV/0!</v>
      </c>
      <c r="AO15" t="e">
        <f t="shared" si="17"/>
        <v>#DIV/0!</v>
      </c>
      <c r="AQ15" s="26">
        <v>9</v>
      </c>
      <c r="AR15" s="35">
        <v>95442</v>
      </c>
      <c r="AS15" s="35">
        <v>842448000</v>
      </c>
      <c r="AT15" s="16">
        <v>191133120</v>
      </c>
      <c r="AU15" s="280">
        <v>43224981.152073726</v>
      </c>
      <c r="AV15" s="35">
        <v>46958000</v>
      </c>
      <c r="AW15" s="35">
        <v>283166101.15207368</v>
      </c>
      <c r="AX15" s="35">
        <v>83152000</v>
      </c>
      <c r="AY15" s="35">
        <v>260255100</v>
      </c>
      <c r="AZ15" s="35">
        <v>22911001.152073722</v>
      </c>
      <c r="BA15" s="13">
        <v>8.0910112682483215E-2</v>
      </c>
      <c r="BC15" s="27"/>
      <c r="BL15" s="16"/>
      <c r="BM15" s="16"/>
      <c r="BN15" s="13"/>
      <c r="BO15" s="26" t="s">
        <v>159</v>
      </c>
      <c r="BP15" s="123">
        <v>0</v>
      </c>
      <c r="BQ15" s="123">
        <v>529758310.59999996</v>
      </c>
      <c r="BR15" s="123">
        <v>209950905.7142857</v>
      </c>
      <c r="BS15" s="123">
        <v>212595000</v>
      </c>
      <c r="BT15" s="123">
        <v>0</v>
      </c>
      <c r="BU15" s="123">
        <v>485714.28571428568</v>
      </c>
      <c r="BV15" s="123">
        <v>22282142.857142862</v>
      </c>
      <c r="BW15" s="123">
        <v>2679912.4019354843</v>
      </c>
      <c r="BX15" s="123">
        <v>447993675.25907832</v>
      </c>
      <c r="BY15" s="123">
        <v>81378921.055207372</v>
      </c>
      <c r="BZ15" s="13">
        <v>0.15361518531542859</v>
      </c>
      <c r="CB15" s="89"/>
      <c r="CG15" s="278" t="s">
        <v>29</v>
      </c>
      <c r="CH15" s="123">
        <v>10861700</v>
      </c>
      <c r="CP15" s="259" t="s">
        <v>162</v>
      </c>
      <c r="CQ15" s="83">
        <v>118513</v>
      </c>
      <c r="CR15" s="83">
        <v>1060639000</v>
      </c>
      <c r="CS15" s="83">
        <v>243946970</v>
      </c>
      <c r="DL15" s="286" t="s">
        <v>163</v>
      </c>
      <c r="DM15" s="83">
        <v>416046</v>
      </c>
      <c r="DN15" s="258">
        <v>1165667794.2857141</v>
      </c>
      <c r="DO15" s="258">
        <v>1142240576.4150996</v>
      </c>
      <c r="DP15" s="258">
        <v>23427217.870614644</v>
      </c>
      <c r="DQ15" s="84">
        <v>2.0097679618033999E-2</v>
      </c>
      <c r="DR15" s="172">
        <v>8684.8418547124929</v>
      </c>
      <c r="DS15" s="27">
        <f t="shared" si="20"/>
        <v>-2.5427441022625855E-2</v>
      </c>
      <c r="DT15" s="27">
        <f t="shared" si="21"/>
        <v>-2.6290117528319914E-2</v>
      </c>
      <c r="DU15" s="27">
        <f t="shared" si="22"/>
        <v>-0.49673362227339268</v>
      </c>
      <c r="DV15" s="13">
        <f t="shared" si="23"/>
        <v>2.0097679618033999E-2</v>
      </c>
      <c r="DY15" s="172">
        <v>204</v>
      </c>
      <c r="DZ15" s="172">
        <f t="shared" si="8"/>
        <v>5599218.5118387239</v>
      </c>
      <c r="EA15" s="172">
        <f t="shared" si="24"/>
        <v>2039.4411764705883</v>
      </c>
      <c r="EC15" s="259" t="s">
        <v>164</v>
      </c>
      <c r="ED15" s="272">
        <v>149495400</v>
      </c>
      <c r="EE15" s="83">
        <v>204691</v>
      </c>
      <c r="EF15" s="83">
        <v>1817637000</v>
      </c>
      <c r="EG15" s="83">
        <v>414044230</v>
      </c>
      <c r="EH15" s="83">
        <v>94982400</v>
      </c>
      <c r="EI15" s="83">
        <v>79992000</v>
      </c>
      <c r="EJ15" s="258">
        <v>589018630</v>
      </c>
      <c r="EK15" s="258">
        <v>384594855</v>
      </c>
      <c r="EL15" s="258">
        <v>149495400</v>
      </c>
      <c r="EM15" s="258">
        <v>534090255</v>
      </c>
      <c r="EN15" s="258">
        <v>54928375</v>
      </c>
      <c r="EO15" s="84">
        <v>9.3254053780947477E-2</v>
      </c>
      <c r="EP15" s="172">
        <v>8879.9067863267064</v>
      </c>
      <c r="EQ15" s="172">
        <v>204</v>
      </c>
      <c r="ER15" s="172">
        <f t="shared" si="10"/>
        <v>8909985.2941176463</v>
      </c>
      <c r="ES15" s="172">
        <f t="shared" si="25"/>
        <v>732820.5882352941</v>
      </c>
      <c r="FK15" s="172">
        <v>204</v>
      </c>
      <c r="FL15" s="172">
        <f t="shared" si="12"/>
        <v>0</v>
      </c>
      <c r="FM15" s="172" t="e">
        <f t="shared" si="6"/>
        <v>#DIV/0!</v>
      </c>
      <c r="FN15" s="83"/>
      <c r="FS15" s="11">
        <v>9</v>
      </c>
      <c r="FT15" s="16">
        <v>97433</v>
      </c>
      <c r="FU15" s="35">
        <v>859401000</v>
      </c>
      <c r="FV15" s="16">
        <v>196275520</v>
      </c>
      <c r="FW15" s="35">
        <v>43224981.152073726</v>
      </c>
      <c r="FX15" s="35">
        <v>48508000</v>
      </c>
      <c r="FY15" s="12">
        <v>289858501.15207368</v>
      </c>
      <c r="FZ15" s="12">
        <v>179308000</v>
      </c>
      <c r="GA15" s="12">
        <v>91130500</v>
      </c>
      <c r="GB15" s="12">
        <v>270438500</v>
      </c>
      <c r="GC15" s="12">
        <v>19420001.152073722</v>
      </c>
      <c r="GD15" s="13">
        <v>6.6998211454509168E-2</v>
      </c>
      <c r="GE15" s="35">
        <v>8820.4304496423192</v>
      </c>
      <c r="GG15" s="259" t="s">
        <v>163</v>
      </c>
      <c r="GH15" s="83">
        <v>208316</v>
      </c>
      <c r="GI15" s="83">
        <v>1841906000</v>
      </c>
      <c r="GJ15" s="83">
        <v>421886580</v>
      </c>
      <c r="GK15" s="83">
        <v>86857200</v>
      </c>
      <c r="GL15" s="83">
        <v>76330000</v>
      </c>
      <c r="GM15" s="258">
        <v>585073780</v>
      </c>
      <c r="GN15" s="258">
        <v>387603200</v>
      </c>
      <c r="GO15" s="258">
        <v>116384100</v>
      </c>
      <c r="GP15" s="258">
        <v>503987300</v>
      </c>
      <c r="GQ15" s="258">
        <v>81086480</v>
      </c>
      <c r="GR15" s="84">
        <v>0.13859188835978942</v>
      </c>
      <c r="GS15" s="172">
        <v>8841.8844447858064</v>
      </c>
      <c r="GT15" s="172">
        <v>141</v>
      </c>
      <c r="GU15" s="172">
        <f t="shared" si="18"/>
        <v>2992103.4042553189</v>
      </c>
      <c r="GV15" s="172">
        <f t="shared" si="14"/>
        <v>8841.8844447858064</v>
      </c>
      <c r="GW15" s="83"/>
    </row>
    <row r="16" spans="2:205">
      <c r="B16" s="26">
        <v>10</v>
      </c>
      <c r="C16" s="12">
        <v>59242</v>
      </c>
      <c r="D16" s="312">
        <v>293</v>
      </c>
      <c r="E16" s="16">
        <v>526887000</v>
      </c>
      <c r="F16" s="35">
        <v>119498710</v>
      </c>
      <c r="G16" s="16">
        <v>44046517.06451612</v>
      </c>
      <c r="H16" s="16">
        <v>48146000</v>
      </c>
      <c r="I16" s="12">
        <v>213141227.06451613</v>
      </c>
      <c r="J16" s="12">
        <v>124229700</v>
      </c>
      <c r="K16" s="12">
        <v>91050580</v>
      </c>
      <c r="L16" s="12">
        <v>215280280</v>
      </c>
      <c r="M16" s="12">
        <v>-2139052.9354838682</v>
      </c>
      <c r="N16" s="13">
        <v>-1.0035847897396191E-2</v>
      </c>
      <c r="O16" s="35">
        <v>8893.8084467101035</v>
      </c>
      <c r="P16" s="35">
        <v>397</v>
      </c>
      <c r="Q16" s="35">
        <f t="shared" si="19"/>
        <v>1327171.2846347608</v>
      </c>
      <c r="R16" s="35">
        <f t="shared" si="15"/>
        <v>149.2241813602015</v>
      </c>
      <c r="V16" s="262" t="s">
        <v>165</v>
      </c>
      <c r="W16" s="77">
        <v>275281</v>
      </c>
      <c r="X16" s="77">
        <v>2456515000</v>
      </c>
      <c r="Y16" s="77">
        <v>559113810</v>
      </c>
      <c r="Z16" s="77">
        <v>105254400</v>
      </c>
      <c r="AA16" s="77">
        <v>108270000</v>
      </c>
      <c r="AB16" s="261">
        <v>772638210</v>
      </c>
      <c r="AC16" s="261">
        <v>520061922</v>
      </c>
      <c r="AD16" s="261">
        <v>202697100</v>
      </c>
      <c r="AE16" s="261">
        <v>722759022</v>
      </c>
      <c r="AF16" s="261">
        <v>49879188</v>
      </c>
      <c r="AG16" s="78">
        <v>6.4556978097161419E-2</v>
      </c>
      <c r="AH16" s="171">
        <v>8923.6634566134235</v>
      </c>
      <c r="AI16" s="171">
        <v>259</v>
      </c>
      <c r="AJ16" s="171">
        <f t="shared" si="7"/>
        <v>2158740.5791505789</v>
      </c>
      <c r="AK16" s="171">
        <f t="shared" si="1"/>
        <v>8923.6634566134235</v>
      </c>
      <c r="AL16" s="171"/>
      <c r="AN16" t="e">
        <f t="shared" si="16"/>
        <v>#DIV/0!</v>
      </c>
      <c r="AO16" t="e">
        <f t="shared" si="17"/>
        <v>#DIV/0!</v>
      </c>
      <c r="AQ16" s="26">
        <v>10</v>
      </c>
      <c r="AR16" s="35">
        <v>59242</v>
      </c>
      <c r="AS16" s="35">
        <v>526887000</v>
      </c>
      <c r="AT16" s="16">
        <v>119498710</v>
      </c>
      <c r="AU16" s="280">
        <v>44046517.06451612</v>
      </c>
      <c r="AV16" s="35">
        <v>48146000</v>
      </c>
      <c r="AW16" s="35">
        <v>213141227.06451613</v>
      </c>
      <c r="AX16" s="35">
        <v>90230000</v>
      </c>
      <c r="AY16" s="35">
        <v>215280280</v>
      </c>
      <c r="AZ16" s="35">
        <v>-2139052.9354838682</v>
      </c>
      <c r="BA16" s="13">
        <v>-1.0035847897396191E-2</v>
      </c>
      <c r="BC16" s="27"/>
      <c r="BL16" s="16"/>
      <c r="BM16" s="16"/>
      <c r="BN16" s="89"/>
      <c r="BO16" s="278" t="s">
        <v>168</v>
      </c>
      <c r="BP16" s="123">
        <v>0</v>
      </c>
      <c r="BQ16" s="123">
        <v>529758310.59999996</v>
      </c>
      <c r="BR16" s="123">
        <v>209950905.7142857</v>
      </c>
      <c r="BS16" s="123">
        <v>212595000</v>
      </c>
      <c r="BT16" s="123">
        <v>0</v>
      </c>
      <c r="BU16" s="123">
        <v>485714.28571428568</v>
      </c>
      <c r="BV16" s="123">
        <v>22282142.857142862</v>
      </c>
      <c r="BW16" s="123">
        <v>2679912.4019354843</v>
      </c>
      <c r="BX16" s="123">
        <v>447993675.25907832</v>
      </c>
      <c r="BY16" s="123">
        <v>81378921.055207372</v>
      </c>
      <c r="BZ16" s="13">
        <v>0.15361518531542859</v>
      </c>
      <c r="CB16" s="89"/>
      <c r="CG16" s="278" t="s">
        <v>23</v>
      </c>
      <c r="CH16" s="123">
        <v>3121924000</v>
      </c>
      <c r="CP16" s="259" t="s">
        <v>163</v>
      </c>
      <c r="CQ16" s="83">
        <v>208316</v>
      </c>
      <c r="CR16" s="83">
        <v>1841906000</v>
      </c>
      <c r="CS16" s="83">
        <v>421886580</v>
      </c>
      <c r="DL16" s="286" t="s">
        <v>164</v>
      </c>
      <c r="DM16" s="83">
        <v>394115</v>
      </c>
      <c r="DN16" s="258">
        <v>1133381771.4285715</v>
      </c>
      <c r="DO16" s="258">
        <v>1153723205.5806348</v>
      </c>
      <c r="DP16" s="258">
        <v>-20341434.152063489</v>
      </c>
      <c r="DQ16" s="84">
        <v>-1.7947557182275944E-2</v>
      </c>
      <c r="DR16" s="172">
        <v>8828.1846669119423</v>
      </c>
      <c r="DS16" s="27">
        <f t="shared" si="20"/>
        <v>-5.2712921167370919E-2</v>
      </c>
      <c r="DT16" s="27">
        <f t="shared" si="21"/>
        <v>-2.7697447776642556E-2</v>
      </c>
      <c r="DU16" s="27">
        <f t="shared" si="22"/>
        <v>-1.8682821094850648</v>
      </c>
      <c r="DV16" s="13">
        <f t="shared" si="23"/>
        <v>-1.7947557182275944E-2</v>
      </c>
      <c r="DY16" s="171">
        <v>259</v>
      </c>
      <c r="DZ16" s="171">
        <f t="shared" si="8"/>
        <v>4454529.7512765825</v>
      </c>
      <c r="EA16" s="171">
        <f t="shared" si="24"/>
        <v>1521.6795366795366</v>
      </c>
      <c r="EC16" s="262" t="s">
        <v>165</v>
      </c>
      <c r="ED16" s="273">
        <v>202697100</v>
      </c>
      <c r="EE16" s="77">
        <v>275281</v>
      </c>
      <c r="EF16" s="77">
        <v>2456515000</v>
      </c>
      <c r="EG16" s="77">
        <v>559113810</v>
      </c>
      <c r="EH16" s="77">
        <v>105254400</v>
      </c>
      <c r="EI16" s="77">
        <v>108270000</v>
      </c>
      <c r="EJ16" s="261">
        <v>772638210</v>
      </c>
      <c r="EK16" s="261">
        <v>520061922</v>
      </c>
      <c r="EL16" s="261">
        <v>202697100</v>
      </c>
      <c r="EM16" s="261">
        <v>722759022</v>
      </c>
      <c r="EN16" s="261">
        <v>49879188</v>
      </c>
      <c r="EO16" s="78">
        <v>6.4556978097161419E-2</v>
      </c>
      <c r="EP16" s="171">
        <v>8923.6634566134235</v>
      </c>
      <c r="EQ16" s="171">
        <v>259</v>
      </c>
      <c r="ER16" s="171">
        <f t="shared" si="10"/>
        <v>9484613.8996139001</v>
      </c>
      <c r="ES16" s="171">
        <f t="shared" si="25"/>
        <v>782614.28571428568</v>
      </c>
      <c r="FK16" s="171">
        <v>259</v>
      </c>
      <c r="FL16" s="171">
        <f t="shared" si="12"/>
        <v>0</v>
      </c>
      <c r="FM16" s="171" t="e">
        <f t="shared" si="6"/>
        <v>#DIV/0!</v>
      </c>
      <c r="FN16" s="77"/>
      <c r="FS16" s="11">
        <v>10</v>
      </c>
      <c r="FT16" s="16">
        <v>60257</v>
      </c>
      <c r="FU16" s="35">
        <v>535299000</v>
      </c>
      <c r="FV16" s="16">
        <v>122050710</v>
      </c>
      <c r="FW16" s="35">
        <v>44046517.06451612</v>
      </c>
      <c r="FX16" s="35">
        <v>49756000</v>
      </c>
      <c r="FY16" s="12">
        <v>217303227.06451613</v>
      </c>
      <c r="FZ16" s="12">
        <v>127546300</v>
      </c>
      <c r="GA16" s="12">
        <v>96406580</v>
      </c>
      <c r="GB16" s="12">
        <v>223952880</v>
      </c>
      <c r="GC16" s="12">
        <v>-6649652.9354838682</v>
      </c>
      <c r="GD16" s="13">
        <v>-3.060080158639164E-2</v>
      </c>
      <c r="GE16" s="35">
        <v>8883.5985860563924</v>
      </c>
      <c r="GG16" s="259" t="s">
        <v>164</v>
      </c>
      <c r="GH16" s="83">
        <v>204691</v>
      </c>
      <c r="GI16" s="83">
        <v>1817637000</v>
      </c>
      <c r="GJ16" s="83">
        <v>414044230</v>
      </c>
      <c r="GK16" s="83">
        <v>94982400</v>
      </c>
      <c r="GL16" s="83">
        <v>79992000</v>
      </c>
      <c r="GM16" s="258">
        <v>589018630</v>
      </c>
      <c r="GN16" s="258">
        <v>384594855</v>
      </c>
      <c r="GO16" s="258">
        <v>149495400</v>
      </c>
      <c r="GP16" s="258">
        <v>534090255</v>
      </c>
      <c r="GQ16" s="258">
        <v>54928375</v>
      </c>
      <c r="GR16" s="84">
        <v>9.3254053780947477E-2</v>
      </c>
      <c r="GS16" s="172">
        <v>8879.9067863267064</v>
      </c>
      <c r="GT16" s="172">
        <v>204</v>
      </c>
      <c r="GU16" s="172">
        <f t="shared" si="18"/>
        <v>2029628.5784313725</v>
      </c>
      <c r="GV16" s="172">
        <f t="shared" si="14"/>
        <v>8879.9067863267064</v>
      </c>
      <c r="GW16" s="83"/>
    </row>
    <row r="17" spans="2:205">
      <c r="B17" s="26">
        <v>11</v>
      </c>
      <c r="C17" s="12">
        <v>65653</v>
      </c>
      <c r="D17" s="312">
        <v>279</v>
      </c>
      <c r="E17" s="16">
        <v>584126000</v>
      </c>
      <c r="F17" s="35">
        <v>132681220</v>
      </c>
      <c r="G17" s="16">
        <v>44046517.06451612</v>
      </c>
      <c r="H17" s="16">
        <v>46247000</v>
      </c>
      <c r="I17" s="12">
        <v>223874737.06451613</v>
      </c>
      <c r="J17" s="12">
        <v>136659800</v>
      </c>
      <c r="K17" s="12">
        <v>86730580</v>
      </c>
      <c r="L17" s="12">
        <v>223390380</v>
      </c>
      <c r="M17" s="12">
        <v>484357.06451613177</v>
      </c>
      <c r="N17" s="13">
        <v>2.1635181837267774E-3</v>
      </c>
      <c r="O17" s="35">
        <v>8897.1714925441338</v>
      </c>
      <c r="P17" s="35">
        <v>376</v>
      </c>
      <c r="Q17" s="35">
        <f t="shared" si="19"/>
        <v>1553526.5957446808</v>
      </c>
      <c r="R17" s="35">
        <f t="shared" si="15"/>
        <v>174.6090425531915</v>
      </c>
      <c r="V17" s="262" t="s">
        <v>36</v>
      </c>
      <c r="W17" s="77">
        <v>379270</v>
      </c>
      <c r="X17" s="77">
        <v>3379194000</v>
      </c>
      <c r="Y17" s="77">
        <v>769425260</v>
      </c>
      <c r="Z17" s="77">
        <v>157550400</v>
      </c>
      <c r="AA17" s="77">
        <v>153270000</v>
      </c>
      <c r="AB17" s="261">
        <v>1080245660</v>
      </c>
      <c r="AC17" s="261">
        <v>726453700</v>
      </c>
      <c r="AD17" s="261">
        <v>295604100</v>
      </c>
      <c r="AE17" s="261">
        <v>1022057800</v>
      </c>
      <c r="AF17" s="261">
        <v>58187860</v>
      </c>
      <c r="AG17" s="78">
        <v>5.3865395765626128E-2</v>
      </c>
      <c r="AH17" s="171">
        <v>8909.731853297124</v>
      </c>
      <c r="AI17" s="171">
        <v>288</v>
      </c>
      <c r="AJ17" s="171">
        <f t="shared" si="7"/>
        <v>2671615.486111111</v>
      </c>
      <c r="AK17" s="171">
        <f t="shared" si="1"/>
        <v>8909.731853297124</v>
      </c>
      <c r="AL17" s="171"/>
      <c r="AN17" t="e">
        <f t="shared" si="16"/>
        <v>#DIV/0!</v>
      </c>
      <c r="AO17" t="e">
        <f t="shared" si="17"/>
        <v>#DIV/0!</v>
      </c>
      <c r="AQ17" s="26">
        <v>11</v>
      </c>
      <c r="AR17" s="35">
        <v>65653</v>
      </c>
      <c r="AS17" s="35">
        <v>584126000</v>
      </c>
      <c r="AT17" s="16">
        <v>132681220</v>
      </c>
      <c r="AU17" s="280">
        <v>44046517.06451612</v>
      </c>
      <c r="AV17" s="35">
        <v>46247000</v>
      </c>
      <c r="AW17" s="35">
        <v>223874737.06451613</v>
      </c>
      <c r="AX17" s="35">
        <v>84730000</v>
      </c>
      <c r="AY17" s="35">
        <v>223390380</v>
      </c>
      <c r="AZ17" s="35">
        <v>484357.06451613177</v>
      </c>
      <c r="BA17" s="13">
        <v>2.1635181837267774E-3</v>
      </c>
      <c r="BC17" s="27"/>
      <c r="BL17" s="16"/>
      <c r="BM17" s="16"/>
      <c r="BN17" s="89"/>
      <c r="BO17" s="26" t="s">
        <v>160</v>
      </c>
      <c r="BP17" s="123">
        <v>0</v>
      </c>
      <c r="BQ17" s="123">
        <v>291013931.39999998</v>
      </c>
      <c r="BR17" s="123">
        <v>128471240.71428572</v>
      </c>
      <c r="BS17" s="123">
        <v>103327857.14285715</v>
      </c>
      <c r="BT17" s="123">
        <v>0</v>
      </c>
      <c r="BU17" s="123">
        <v>0</v>
      </c>
      <c r="BV17" s="123">
        <v>8457142.8571428563</v>
      </c>
      <c r="BW17" s="123">
        <v>738809.68322580657</v>
      </c>
      <c r="BX17" s="123">
        <v>240995050.39751154</v>
      </c>
      <c r="BY17" s="123">
        <v>50018881.002488472</v>
      </c>
      <c r="BZ17" s="13">
        <v>0.17187796048752488</v>
      </c>
      <c r="CB17" s="89"/>
      <c r="CG17" s="278" t="s">
        <v>172</v>
      </c>
      <c r="CH17" s="123">
        <v>266229000</v>
      </c>
      <c r="CP17" s="259" t="s">
        <v>164</v>
      </c>
      <c r="CQ17" s="83">
        <v>204691</v>
      </c>
      <c r="CR17" s="83">
        <v>1817637000</v>
      </c>
      <c r="CS17" s="83">
        <v>414044230</v>
      </c>
      <c r="DL17" s="278" t="s">
        <v>165</v>
      </c>
      <c r="DM17" s="16">
        <v>376557</v>
      </c>
      <c r="DN17" s="12">
        <v>1086612003.7142856</v>
      </c>
      <c r="DO17" s="12">
        <v>1087458686.5023041</v>
      </c>
      <c r="DP17" s="12">
        <v>-846682.78801847249</v>
      </c>
      <c r="DQ17" s="13">
        <v>-7.7919513600468169E-4</v>
      </c>
      <c r="DR17" s="35">
        <v>8803.8129685545609</v>
      </c>
      <c r="DS17" s="27">
        <f t="shared" si="20"/>
        <v>-4.4550448473161385E-2</v>
      </c>
      <c r="DT17" s="27">
        <f t="shared" si="21"/>
        <v>-4.1265678426550725E-2</v>
      </c>
      <c r="DU17" s="27">
        <f t="shared" si="22"/>
        <v>-0.95837644574669367</v>
      </c>
      <c r="DV17" s="13">
        <f t="shared" si="23"/>
        <v>-7.7919513600468169E-4</v>
      </c>
      <c r="DY17" s="171">
        <v>288</v>
      </c>
      <c r="DZ17" s="171">
        <f t="shared" si="8"/>
        <v>3775898.2170218891</v>
      </c>
      <c r="EA17" s="171">
        <f>DM17/DY17</f>
        <v>1307.4895833333333</v>
      </c>
      <c r="EC17" s="262" t="s">
        <v>36</v>
      </c>
      <c r="ED17" s="273">
        <v>295604100</v>
      </c>
      <c r="EE17" s="77">
        <v>379270</v>
      </c>
      <c r="EF17" s="77">
        <v>3379194000</v>
      </c>
      <c r="EG17" s="77">
        <v>769425260</v>
      </c>
      <c r="EH17" s="77">
        <v>157550400</v>
      </c>
      <c r="EI17" s="77">
        <v>153270000</v>
      </c>
      <c r="EJ17" s="261">
        <v>1080245660</v>
      </c>
      <c r="EK17" s="261">
        <v>726453700</v>
      </c>
      <c r="EL17" s="261">
        <v>295604100</v>
      </c>
      <c r="EM17" s="261">
        <v>1022057800</v>
      </c>
      <c r="EN17" s="261">
        <v>58187860</v>
      </c>
      <c r="EO17" s="78">
        <v>5.3865395765626128E-2</v>
      </c>
      <c r="EP17" s="171">
        <v>8909.731853297124</v>
      </c>
      <c r="EQ17" s="171">
        <v>288</v>
      </c>
      <c r="ER17" s="171">
        <f t="shared" si="10"/>
        <v>11733312.5</v>
      </c>
      <c r="ES17" s="171">
        <f>ED17/EQ17</f>
        <v>1026403.125</v>
      </c>
      <c r="FK17" s="171">
        <v>288</v>
      </c>
      <c r="FL17" s="171">
        <f t="shared" si="12"/>
        <v>0</v>
      </c>
      <c r="FM17" s="171" t="e">
        <f t="shared" si="6"/>
        <v>#DIV/0!</v>
      </c>
      <c r="FN17" s="77"/>
      <c r="FS17" s="11">
        <v>11</v>
      </c>
      <c r="FT17" s="16">
        <v>66534</v>
      </c>
      <c r="FU17" s="35">
        <v>590943000</v>
      </c>
      <c r="FV17" s="16">
        <v>134745620</v>
      </c>
      <c r="FW17" s="35">
        <v>44046517.06451612</v>
      </c>
      <c r="FX17" s="35">
        <v>47567000</v>
      </c>
      <c r="FY17" s="12">
        <v>227259137.06451613</v>
      </c>
      <c r="FZ17" s="12">
        <v>139911400</v>
      </c>
      <c r="GA17" s="12">
        <v>91525580</v>
      </c>
      <c r="GB17" s="12">
        <v>231436980</v>
      </c>
      <c r="GC17" s="12">
        <v>-4177842.9354838682</v>
      </c>
      <c r="GD17" s="13">
        <v>-1.8383608199206657E-2</v>
      </c>
      <c r="GE17" s="35">
        <v>8881.8198214446747</v>
      </c>
      <c r="GG17" s="262" t="s">
        <v>165</v>
      </c>
      <c r="GH17" s="77">
        <v>275281</v>
      </c>
      <c r="GI17" s="77">
        <v>2456515000</v>
      </c>
      <c r="GJ17" s="77">
        <v>559113810</v>
      </c>
      <c r="GK17" s="77">
        <v>105254400</v>
      </c>
      <c r="GL17" s="77">
        <v>108270000</v>
      </c>
      <c r="GM17" s="261">
        <v>772638210</v>
      </c>
      <c r="GN17" s="261">
        <v>520061922</v>
      </c>
      <c r="GO17" s="261">
        <v>202697100</v>
      </c>
      <c r="GP17" s="261">
        <v>722759022</v>
      </c>
      <c r="GQ17" s="261">
        <v>49879188</v>
      </c>
      <c r="GR17" s="78">
        <v>6.4556978097161419E-2</v>
      </c>
      <c r="GS17" s="171">
        <v>8923.6634566134235</v>
      </c>
      <c r="GT17" s="171">
        <v>259</v>
      </c>
      <c r="GU17" s="171">
        <f t="shared" si="18"/>
        <v>2158740.5791505789</v>
      </c>
      <c r="GV17" s="171">
        <f t="shared" si="14"/>
        <v>8923.6634566134235</v>
      </c>
      <c r="GW17" s="77"/>
    </row>
    <row r="18" spans="2:205">
      <c r="B18" s="26">
        <v>12</v>
      </c>
      <c r="C18" s="12">
        <v>70654</v>
      </c>
      <c r="D18" s="312">
        <v>278</v>
      </c>
      <c r="E18" s="16">
        <v>628457000</v>
      </c>
      <c r="F18" s="35">
        <v>142932750</v>
      </c>
      <c r="G18" s="16">
        <v>44046517.064516127</v>
      </c>
      <c r="H18" s="16">
        <v>47701000</v>
      </c>
      <c r="I18" s="12">
        <v>235530267.06451613</v>
      </c>
      <c r="J18" s="12">
        <v>148364500</v>
      </c>
      <c r="K18" s="12">
        <v>89054677</v>
      </c>
      <c r="L18" s="12">
        <v>237419177</v>
      </c>
      <c r="M18" s="12">
        <v>-1888909.9354838673</v>
      </c>
      <c r="N18" s="13">
        <v>-8.019818255317732E-3</v>
      </c>
      <c r="O18" s="35">
        <v>8894.8537945480803</v>
      </c>
      <c r="P18" s="35">
        <v>379</v>
      </c>
      <c r="Q18" s="35">
        <f t="shared" si="19"/>
        <v>1658197.8891820582</v>
      </c>
      <c r="R18" s="35">
        <f t="shared" si="15"/>
        <v>186.4221635883905</v>
      </c>
      <c r="V18" s="262" t="s">
        <v>166</v>
      </c>
      <c r="W18" s="77">
        <v>376668</v>
      </c>
      <c r="X18" s="77">
        <v>3276450000</v>
      </c>
      <c r="Y18" s="77">
        <v>745462820</v>
      </c>
      <c r="Z18" s="77">
        <v>160827428.57142857</v>
      </c>
      <c r="AA18" s="77">
        <v>162589285.71428573</v>
      </c>
      <c r="AB18" s="261">
        <v>1071629534.2857143</v>
      </c>
      <c r="AC18" s="261">
        <v>712934171.42857146</v>
      </c>
      <c r="AD18" s="261">
        <v>286235014.28571427</v>
      </c>
      <c r="AE18" s="261">
        <v>999169185.71428573</v>
      </c>
      <c r="AF18" s="261">
        <v>72460348.571428567</v>
      </c>
      <c r="AG18" s="78">
        <v>6.7616976066011844E-2</v>
      </c>
      <c r="AH18" s="171">
        <v>8698.5090318264356</v>
      </c>
      <c r="AI18" s="171">
        <v>307</v>
      </c>
      <c r="AJ18" s="171">
        <f t="shared" si="7"/>
        <v>2428217.6547231269</v>
      </c>
      <c r="AK18" s="171">
        <f t="shared" si="1"/>
        <v>8698.5090318264356</v>
      </c>
      <c r="AL18" s="171"/>
      <c r="AN18" t="e">
        <f t="shared" si="16"/>
        <v>#DIV/0!</v>
      </c>
      <c r="AO18" t="e">
        <f t="shared" si="17"/>
        <v>#DIV/0!</v>
      </c>
      <c r="AQ18" s="26">
        <v>12</v>
      </c>
      <c r="AR18" s="35">
        <v>70654</v>
      </c>
      <c r="AS18" s="35">
        <v>628457000</v>
      </c>
      <c r="AT18" s="16">
        <v>142932750</v>
      </c>
      <c r="AU18" s="280">
        <v>44046517.064516127</v>
      </c>
      <c r="AV18" s="35">
        <v>47701000</v>
      </c>
      <c r="AW18" s="35">
        <v>235530267.06451613</v>
      </c>
      <c r="AX18" s="35">
        <v>86695000</v>
      </c>
      <c r="AY18" s="35">
        <v>237419177</v>
      </c>
      <c r="AZ18" s="35">
        <v>-1888909.9354838673</v>
      </c>
      <c r="BA18" s="13">
        <v>-8.019818255317732E-3</v>
      </c>
      <c r="BC18" s="27"/>
      <c r="BL18" s="16"/>
      <c r="BM18" s="16"/>
      <c r="BO18" s="278" t="s">
        <v>168</v>
      </c>
      <c r="BP18" s="123">
        <v>0</v>
      </c>
      <c r="BQ18" s="123">
        <v>291013931.39999998</v>
      </c>
      <c r="BR18" s="123">
        <v>128471240.71428572</v>
      </c>
      <c r="BS18" s="123">
        <v>103327857.14285715</v>
      </c>
      <c r="BT18" s="123">
        <v>0</v>
      </c>
      <c r="BU18" s="123">
        <v>0</v>
      </c>
      <c r="BV18" s="123">
        <v>8457142.8571428563</v>
      </c>
      <c r="BW18" s="123">
        <v>738809.68322580657</v>
      </c>
      <c r="BX18" s="123">
        <v>240995050.39751154</v>
      </c>
      <c r="BY18" s="123">
        <v>50018881.002488472</v>
      </c>
      <c r="BZ18" s="13">
        <v>0.17187796048752488</v>
      </c>
      <c r="CG18" s="278" t="s">
        <v>173</v>
      </c>
      <c r="CH18" s="123">
        <v>136510000</v>
      </c>
      <c r="CP18" s="262" t="s">
        <v>165</v>
      </c>
      <c r="CQ18" s="77">
        <v>275281</v>
      </c>
      <c r="CR18" s="77">
        <v>2456515000</v>
      </c>
      <c r="CS18" s="77">
        <v>559113810</v>
      </c>
      <c r="DL18" s="278" t="s">
        <v>36</v>
      </c>
      <c r="DM18" s="16">
        <v>355469</v>
      </c>
      <c r="DN18" s="12">
        <v>1016212013.8571428</v>
      </c>
      <c r="DO18" s="12">
        <v>1014318418.3</v>
      </c>
      <c r="DP18" s="12">
        <v>1893595.5571428873</v>
      </c>
      <c r="DQ18" s="13">
        <v>1.8633863124246487E-3</v>
      </c>
      <c r="DR18" s="35">
        <v>8706.0286551007266</v>
      </c>
      <c r="DS18" s="27"/>
      <c r="DT18" s="27"/>
      <c r="DU18" s="27"/>
      <c r="DV18" s="13"/>
      <c r="DY18" s="171">
        <v>307</v>
      </c>
      <c r="DZ18" s="171">
        <f t="shared" si="8"/>
        <v>3303968.7892508144</v>
      </c>
      <c r="EA18" s="171">
        <f>DM18/DY18</f>
        <v>1157.8794788273615</v>
      </c>
      <c r="EC18" s="262" t="s">
        <v>166</v>
      </c>
      <c r="ED18" s="273">
        <v>285899228.57142854</v>
      </c>
      <c r="EE18" s="77">
        <v>376668</v>
      </c>
      <c r="EF18" s="77">
        <v>3276450000</v>
      </c>
      <c r="EG18" s="77">
        <v>745462820</v>
      </c>
      <c r="EH18" s="77">
        <v>160827428.57142857</v>
      </c>
      <c r="EI18" s="77">
        <v>162589285.71428573</v>
      </c>
      <c r="EJ18" s="261">
        <v>1071629534.2857143</v>
      </c>
      <c r="EK18" s="261">
        <v>712934171.42857146</v>
      </c>
      <c r="EL18" s="261">
        <v>286235014.28571427</v>
      </c>
      <c r="EM18" s="261">
        <v>999169185.71428573</v>
      </c>
      <c r="EN18" s="261">
        <v>72460348.571428567</v>
      </c>
      <c r="EO18" s="78">
        <v>6.7616976066011844E-2</v>
      </c>
      <c r="EP18" s="171">
        <v>8698.5090318264356</v>
      </c>
      <c r="EQ18" s="171">
        <v>307</v>
      </c>
      <c r="ER18" s="171">
        <f t="shared" si="10"/>
        <v>10672475.570032572</v>
      </c>
      <c r="ES18" s="171">
        <f>ED18/EQ18</f>
        <v>931267.84550953924</v>
      </c>
      <c r="FK18" s="171">
        <v>307</v>
      </c>
      <c r="FL18" s="171">
        <f t="shared" si="12"/>
        <v>0</v>
      </c>
      <c r="FM18" s="171" t="e">
        <f t="shared" si="6"/>
        <v>#DIV/0!</v>
      </c>
      <c r="FN18" s="77"/>
      <c r="FS18" s="11">
        <v>12</v>
      </c>
      <c r="FT18" s="16">
        <v>71865</v>
      </c>
      <c r="FU18" s="35">
        <v>638973500</v>
      </c>
      <c r="FV18" s="16">
        <v>146085920</v>
      </c>
      <c r="FW18" s="35">
        <v>44046517.064516127</v>
      </c>
      <c r="FX18" s="35">
        <v>49986000</v>
      </c>
      <c r="FY18" s="12">
        <v>241068437.06451613</v>
      </c>
      <c r="FZ18" s="12">
        <v>153731400</v>
      </c>
      <c r="GA18" s="12">
        <v>94899677</v>
      </c>
      <c r="GB18" s="12">
        <v>248631077</v>
      </c>
      <c r="GC18" s="12">
        <v>-7562639.9354838673</v>
      </c>
      <c r="GD18" s="13">
        <v>-3.1371340137157443E-2</v>
      </c>
      <c r="GE18" s="35">
        <v>8891.303137827872</v>
      </c>
      <c r="GG18" s="262" t="s">
        <v>36</v>
      </c>
      <c r="GH18" s="77">
        <v>379270</v>
      </c>
      <c r="GI18" s="77">
        <v>3379194000</v>
      </c>
      <c r="GJ18" s="77">
        <v>769425260</v>
      </c>
      <c r="GK18" s="77">
        <v>157550400</v>
      </c>
      <c r="GL18" s="77">
        <v>153270000</v>
      </c>
      <c r="GM18" s="261">
        <v>1080245660</v>
      </c>
      <c r="GN18" s="261">
        <v>726453700</v>
      </c>
      <c r="GO18" s="261">
        <v>295604100</v>
      </c>
      <c r="GP18" s="261">
        <v>1022057800</v>
      </c>
      <c r="GQ18" s="261">
        <v>58187860</v>
      </c>
      <c r="GR18" s="78">
        <v>5.3865395765626128E-2</v>
      </c>
      <c r="GS18" s="171">
        <v>8909.731853297124</v>
      </c>
      <c r="GT18" s="171">
        <v>288</v>
      </c>
      <c r="GU18" s="171">
        <f t="shared" si="18"/>
        <v>2671615.486111111</v>
      </c>
      <c r="GV18" s="171">
        <f t="shared" si="14"/>
        <v>8909.731853297124</v>
      </c>
      <c r="GW18" s="77"/>
    </row>
    <row r="19" spans="2:205">
      <c r="B19" s="26">
        <v>13</v>
      </c>
      <c r="C19" s="12">
        <v>40739</v>
      </c>
      <c r="D19" s="312">
        <v>262</v>
      </c>
      <c r="E19" s="16">
        <v>364893000</v>
      </c>
      <c r="F19" s="35">
        <v>81637790</v>
      </c>
      <c r="G19" s="16">
        <v>22183936.935483869</v>
      </c>
      <c r="H19" s="16">
        <v>25867000</v>
      </c>
      <c r="I19" s="12">
        <v>129688726.93548387</v>
      </c>
      <c r="J19" s="12">
        <v>110723300</v>
      </c>
      <c r="K19" s="12">
        <v>46111193.142857142</v>
      </c>
      <c r="L19" s="12">
        <v>156834493.14285713</v>
      </c>
      <c r="M19" s="12">
        <v>-27145766.207373265</v>
      </c>
      <c r="N19" s="13">
        <v>-0.2093147712127473</v>
      </c>
      <c r="O19" s="35">
        <v>8956.8472471096484</v>
      </c>
      <c r="P19" s="35">
        <v>359</v>
      </c>
      <c r="Q19" s="35">
        <f t="shared" si="19"/>
        <v>1016415.0417827298</v>
      </c>
      <c r="R19" s="35">
        <f t="shared" si="15"/>
        <v>113.47910863509749</v>
      </c>
      <c r="V19" s="11">
        <v>2025</v>
      </c>
      <c r="W19" s="16">
        <v>4811475</v>
      </c>
      <c r="X19" s="16">
        <v>42363539794</v>
      </c>
      <c r="Y19" s="16">
        <v>10355176550.680002</v>
      </c>
      <c r="Z19" s="16">
        <v>945297564</v>
      </c>
      <c r="AA19" s="16">
        <v>2462220396.9740257</v>
      </c>
      <c r="AB19" s="12">
        <v>13818772997.368313</v>
      </c>
      <c r="AC19" s="12">
        <v>9206071648.1428566</v>
      </c>
      <c r="AD19" s="12">
        <v>4404000682.2031851</v>
      </c>
      <c r="AE19" s="12">
        <v>13610072330.346043</v>
      </c>
      <c r="AF19" s="12">
        <v>208700667.02226973</v>
      </c>
      <c r="AG19" s="13">
        <v>1.510269161104357E-2</v>
      </c>
      <c r="AH19" s="35">
        <v>8804.6887480450387</v>
      </c>
      <c r="AI19" s="201"/>
      <c r="AJ19" s="201">
        <f>Y19/W19</f>
        <v>2152.1833846543946</v>
      </c>
      <c r="AK19" s="201">
        <f t="shared" si="1"/>
        <v>8804.6887480450387</v>
      </c>
      <c r="AL19" s="201"/>
      <c r="AQ19" s="26">
        <v>13</v>
      </c>
      <c r="AR19" s="35">
        <v>40739</v>
      </c>
      <c r="AS19" s="35">
        <v>364893000</v>
      </c>
      <c r="AT19" s="16">
        <v>81637790</v>
      </c>
      <c r="AU19" s="280">
        <v>22183936.935483869</v>
      </c>
      <c r="AV19" s="35">
        <v>25867000</v>
      </c>
      <c r="AW19" s="35">
        <v>129688726.93548387</v>
      </c>
      <c r="AX19" s="35">
        <v>44555000</v>
      </c>
      <c r="AY19" s="35">
        <v>156834493.14285713</v>
      </c>
      <c r="AZ19" s="35">
        <v>-27145766.207373265</v>
      </c>
      <c r="BA19" s="13">
        <v>-0.2093147712127473</v>
      </c>
      <c r="BC19" s="27"/>
      <c r="BL19" s="161"/>
      <c r="BM19" s="161"/>
      <c r="BO19" s="11" t="s">
        <v>167</v>
      </c>
      <c r="BP19" s="123">
        <v>23579200</v>
      </c>
      <c r="BQ19" s="123">
        <v>15785868516.780001</v>
      </c>
      <c r="BR19" s="123">
        <v>7085964242.000001</v>
      </c>
      <c r="BS19" s="123">
        <v>6384145345</v>
      </c>
      <c r="BT19" s="123">
        <v>531012261</v>
      </c>
      <c r="BU19" s="123">
        <v>85000000</v>
      </c>
      <c r="BV19" s="123">
        <v>274805000</v>
      </c>
      <c r="BW19" s="123">
        <v>50934647.339774735</v>
      </c>
      <c r="BX19" s="123">
        <v>14415533102.339775</v>
      </c>
      <c r="BY19" s="123">
        <v>1356075814.4402254</v>
      </c>
      <c r="BZ19" s="13">
        <v>8.5904415902029657E-2</v>
      </c>
      <c r="CG19" s="278" t="s">
        <v>174</v>
      </c>
      <c r="CH19" s="123">
        <v>176956000</v>
      </c>
      <c r="CP19" s="262" t="s">
        <v>36</v>
      </c>
      <c r="CQ19" s="77">
        <v>379270</v>
      </c>
      <c r="CR19" s="77">
        <v>3379194000</v>
      </c>
      <c r="CS19" s="77">
        <v>769425260</v>
      </c>
      <c r="DL19" s="278" t="s">
        <v>166</v>
      </c>
      <c r="DM19" s="16">
        <v>334227</v>
      </c>
      <c r="DN19" s="12">
        <v>958655431.45714295</v>
      </c>
      <c r="DO19" s="12">
        <v>978863453.35904765</v>
      </c>
      <c r="DP19" s="12">
        <v>-20208021.901904829</v>
      </c>
      <c r="DQ19" s="13">
        <v>-2.1079546663798604E-2</v>
      </c>
      <c r="DR19" s="35">
        <v>8683.6712174659733</v>
      </c>
      <c r="DS19" s="27"/>
      <c r="DT19" s="27"/>
      <c r="DU19" s="27"/>
      <c r="DV19" s="13"/>
      <c r="DY19" s="35"/>
      <c r="DZ19" s="35">
        <f>DO19/DM19</f>
        <v>2928.7384123935158</v>
      </c>
      <c r="EA19" s="35">
        <f>DN19/DM19</f>
        <v>2868.2764452217893</v>
      </c>
      <c r="EC19" s="11">
        <v>2025</v>
      </c>
      <c r="ED19" s="199">
        <v>4161475781.4285717</v>
      </c>
      <c r="EE19" s="16">
        <v>4811475</v>
      </c>
      <c r="EF19" s="16">
        <v>42363539794</v>
      </c>
      <c r="EG19" s="16">
        <v>10355176550.680002</v>
      </c>
      <c r="EH19" s="16">
        <v>945297564</v>
      </c>
      <c r="EI19" s="16">
        <v>2462220396.9740257</v>
      </c>
      <c r="EJ19" s="12">
        <v>13818772997.368313</v>
      </c>
      <c r="EK19" s="12">
        <v>9206071648.1428566</v>
      </c>
      <c r="EL19" s="12">
        <v>4404000682.2031851</v>
      </c>
      <c r="EM19" s="12">
        <v>13610072330.346043</v>
      </c>
      <c r="EN19" s="12">
        <v>208700667.02226973</v>
      </c>
      <c r="EO19" s="13">
        <v>1.510269161104357E-2</v>
      </c>
      <c r="EP19" s="35">
        <v>8804.6887480450387</v>
      </c>
      <c r="EQ19" s="35"/>
      <c r="ER19" s="35">
        <f>EF19/ED19</f>
        <v>10.17993183645472</v>
      </c>
      <c r="ES19" s="35">
        <f>EE19/ED19</f>
        <v>1.1561944013881282E-3</v>
      </c>
      <c r="FK19" s="35"/>
      <c r="FL19" s="35" t="e">
        <f>EY19/EW19</f>
        <v>#DIV/0!</v>
      </c>
      <c r="FM19" s="35" t="e">
        <f t="shared" si="6"/>
        <v>#DIV/0!</v>
      </c>
      <c r="FN19" s="161"/>
      <c r="FS19" s="11">
        <v>13</v>
      </c>
      <c r="FT19" s="16">
        <v>41659</v>
      </c>
      <c r="FU19" s="35">
        <v>373978000</v>
      </c>
      <c r="FV19" s="16">
        <v>84328980</v>
      </c>
      <c r="FW19" s="35">
        <v>22183936.935483869</v>
      </c>
      <c r="FX19" s="35">
        <v>27322000</v>
      </c>
      <c r="FY19" s="12">
        <v>133834916.93548387</v>
      </c>
      <c r="FZ19" s="12">
        <v>114459500</v>
      </c>
      <c r="GA19" s="12">
        <v>49506193.142857142</v>
      </c>
      <c r="GB19" s="12">
        <v>163965693.14285713</v>
      </c>
      <c r="GC19" s="12">
        <v>-30130776.207373265</v>
      </c>
      <c r="GD19" s="13">
        <v>-0.22513389552816052</v>
      </c>
      <c r="GE19" s="35">
        <v>8977.123790777503</v>
      </c>
      <c r="GG19" s="262" t="s">
        <v>166</v>
      </c>
      <c r="GH19" s="77">
        <v>376668</v>
      </c>
      <c r="GI19" s="77">
        <v>3276450000</v>
      </c>
      <c r="GJ19" s="77">
        <v>745462820</v>
      </c>
      <c r="GK19" s="77">
        <v>160827428.57142857</v>
      </c>
      <c r="GL19" s="77">
        <v>162589285.71428573</v>
      </c>
      <c r="GM19" s="261">
        <v>1071629534.2857143</v>
      </c>
      <c r="GN19" s="261">
        <v>712934171.42857146</v>
      </c>
      <c r="GO19" s="261">
        <v>286235014.28571427</v>
      </c>
      <c r="GP19" s="261">
        <v>999169185.71428573</v>
      </c>
      <c r="GQ19" s="261">
        <v>72460348.571428567</v>
      </c>
      <c r="GR19" s="78">
        <v>6.7616976066011844E-2</v>
      </c>
      <c r="GS19" s="171">
        <v>8698.5090318264356</v>
      </c>
      <c r="GT19" s="171">
        <v>307</v>
      </c>
      <c r="GU19" s="171">
        <f t="shared" si="18"/>
        <v>2428217.6547231269</v>
      </c>
      <c r="GV19" s="171">
        <f t="shared" si="14"/>
        <v>8698.5090318264356</v>
      </c>
      <c r="GW19" s="77"/>
    </row>
    <row r="20" spans="2:205">
      <c r="B20" s="26">
        <v>14</v>
      </c>
      <c r="C20" s="12">
        <v>123604</v>
      </c>
      <c r="D20" s="312">
        <v>253</v>
      </c>
      <c r="E20" s="16">
        <v>1130243000</v>
      </c>
      <c r="F20" s="35">
        <v>257792770</v>
      </c>
      <c r="G20" s="16">
        <v>61734193.790322579</v>
      </c>
      <c r="H20" s="16">
        <v>62135433.045454547</v>
      </c>
      <c r="I20" s="12">
        <v>381662396.83577716</v>
      </c>
      <c r="J20" s="12">
        <v>221448699.99999997</v>
      </c>
      <c r="K20" s="12">
        <v>117125580</v>
      </c>
      <c r="L20" s="12">
        <v>338574280</v>
      </c>
      <c r="M20" s="12">
        <v>43088116.835777149</v>
      </c>
      <c r="N20" s="13">
        <v>0.11289589226762947</v>
      </c>
      <c r="O20" s="35">
        <v>9144.0649169929784</v>
      </c>
      <c r="P20" s="35">
        <v>335</v>
      </c>
      <c r="Q20" s="35">
        <f t="shared" si="19"/>
        <v>3373859.7014925373</v>
      </c>
      <c r="R20" s="35">
        <f t="shared" si="15"/>
        <v>368.96716417910449</v>
      </c>
      <c r="U20">
        <v>348</v>
      </c>
      <c r="V20" s="336" t="s">
        <v>21</v>
      </c>
      <c r="W20" s="288">
        <v>422781</v>
      </c>
      <c r="X20" s="288">
        <v>3738551000</v>
      </c>
      <c r="Y20" s="288">
        <v>840791030</v>
      </c>
      <c r="Z20" s="288">
        <v>172578116.00000006</v>
      </c>
      <c r="AA20" s="288">
        <v>179228000</v>
      </c>
      <c r="AB20" s="121">
        <v>1195772146</v>
      </c>
      <c r="AC20" s="121">
        <v>832049268.14285707</v>
      </c>
      <c r="AD20" s="121">
        <v>335667500</v>
      </c>
      <c r="AE20" s="121">
        <v>1167716768.1428571</v>
      </c>
      <c r="AF20" s="121">
        <v>28055377.857142828</v>
      </c>
      <c r="AG20" s="289">
        <v>2.3462143645837045E-2</v>
      </c>
      <c r="AH20" s="39">
        <v>8842.7601997251531</v>
      </c>
      <c r="AI20" s="134">
        <v>348</v>
      </c>
      <c r="AJ20" s="134">
        <f t="shared" ref="AJ20:AJ27" si="26">Y20/AI20</f>
        <v>2416066.1781609193</v>
      </c>
      <c r="AK20" s="134">
        <f t="shared" si="1"/>
        <v>8842.7601997251531</v>
      </c>
      <c r="AL20" s="134"/>
      <c r="AN20" t="e">
        <f t="shared" si="16"/>
        <v>#DIV/0!</v>
      </c>
      <c r="AO20" t="e">
        <f t="shared" si="17"/>
        <v>#DIV/0!</v>
      </c>
      <c r="AQ20" s="26">
        <v>14</v>
      </c>
      <c r="AR20" s="35">
        <v>123604</v>
      </c>
      <c r="AS20" s="35">
        <v>1130243000</v>
      </c>
      <c r="AT20" s="16">
        <v>257792770</v>
      </c>
      <c r="AU20" s="280">
        <v>61734193.790322579</v>
      </c>
      <c r="AV20" s="35">
        <v>62135433.045454547</v>
      </c>
      <c r="AW20" s="35">
        <v>381662396.83577716</v>
      </c>
      <c r="AX20" s="35">
        <v>114765000</v>
      </c>
      <c r="AY20" s="35">
        <v>338574280</v>
      </c>
      <c r="AZ20" s="35">
        <v>43088116.835777149</v>
      </c>
      <c r="BA20" s="13">
        <v>0.11289589226762947</v>
      </c>
      <c r="BC20" s="27"/>
      <c r="BL20" s="16"/>
      <c r="BM20" s="16"/>
      <c r="CG20" s="278" t="s">
        <v>175</v>
      </c>
      <c r="CH20" s="123">
        <v>12640000</v>
      </c>
      <c r="CI20" s="12">
        <f>CH20</f>
        <v>12640000</v>
      </c>
      <c r="CJ20" s="12">
        <f>CI20+CI30</f>
        <v>12640000</v>
      </c>
      <c r="CP20" s="262" t="s">
        <v>166</v>
      </c>
      <c r="CQ20" s="77">
        <v>376668</v>
      </c>
      <c r="CR20" s="77">
        <v>3276450000</v>
      </c>
      <c r="CS20" s="77">
        <v>745462820</v>
      </c>
      <c r="DL20" s="26" t="s">
        <v>176</v>
      </c>
      <c r="DM20" s="16">
        <v>24169</v>
      </c>
      <c r="DN20" s="12">
        <v>25885910</v>
      </c>
      <c r="DO20" s="12">
        <v>14955247.822995614</v>
      </c>
      <c r="DP20" s="12">
        <v>10930662.177004386</v>
      </c>
      <c r="DQ20" s="13">
        <v>0.42226300628428298</v>
      </c>
      <c r="DR20" s="35">
        <v>9568.7864619967731</v>
      </c>
      <c r="DS20" s="27"/>
      <c r="DT20" s="27"/>
      <c r="DU20" s="27"/>
      <c r="DV20" s="13"/>
      <c r="DY20" s="134">
        <v>348</v>
      </c>
      <c r="DZ20" s="134">
        <f t="shared" ref="DZ20:DZ27" si="27">DO20/DY20</f>
        <v>42974.850066079351</v>
      </c>
      <c r="EA20" s="134">
        <f t="shared" ref="EA20:EA29" si="28">DM20/DY20</f>
        <v>69.451149425287355</v>
      </c>
      <c r="EC20" s="265" t="s">
        <v>21</v>
      </c>
      <c r="ED20" s="274">
        <v>331477714.28571433</v>
      </c>
      <c r="EE20" s="79">
        <v>422781</v>
      </c>
      <c r="EF20" s="79">
        <v>3738551000</v>
      </c>
      <c r="EG20" s="79">
        <v>840791030</v>
      </c>
      <c r="EH20" s="79">
        <v>172578116.00000006</v>
      </c>
      <c r="EI20" s="79">
        <v>179228000</v>
      </c>
      <c r="EJ20" s="264">
        <v>1195772146</v>
      </c>
      <c r="EK20" s="264">
        <v>832049268.14285707</v>
      </c>
      <c r="EL20" s="264">
        <v>335667500</v>
      </c>
      <c r="EM20" s="264">
        <v>1167716768.1428571</v>
      </c>
      <c r="EN20" s="264">
        <v>28055377.857142828</v>
      </c>
      <c r="EO20" s="80">
        <v>2.3462143645837045E-2</v>
      </c>
      <c r="EP20" s="134">
        <v>8842.7601997251531</v>
      </c>
      <c r="EQ20" s="134">
        <v>348</v>
      </c>
      <c r="ER20" s="134">
        <f t="shared" ref="ER20:ER27" si="29">EF20/EQ20</f>
        <v>10742962.64367816</v>
      </c>
      <c r="ES20" s="134">
        <f t="shared" ref="ES20:ES29" si="30">ED20/EQ20</f>
        <v>952522.16748768487</v>
      </c>
      <c r="FK20" s="35">
        <v>348</v>
      </c>
      <c r="FL20" s="134">
        <f t="shared" ref="FL20:FL29" si="31">EY20/FK20</f>
        <v>0</v>
      </c>
      <c r="FM20" s="134" t="e">
        <f t="shared" si="6"/>
        <v>#DIV/0!</v>
      </c>
      <c r="FN20" s="79"/>
      <c r="FS20" s="11">
        <v>14</v>
      </c>
      <c r="FT20" s="16">
        <v>124840</v>
      </c>
      <c r="FU20" s="35">
        <v>1141349000</v>
      </c>
      <c r="FV20" s="16">
        <v>261101260</v>
      </c>
      <c r="FW20" s="35">
        <v>61734193.790322579</v>
      </c>
      <c r="FX20" s="35">
        <v>63245433.045454547</v>
      </c>
      <c r="FY20" s="12">
        <v>386080886.83577716</v>
      </c>
      <c r="FZ20" s="12">
        <v>224984599.99999997</v>
      </c>
      <c r="GA20" s="12">
        <v>123775580</v>
      </c>
      <c r="GB20" s="12">
        <v>348760180</v>
      </c>
      <c r="GC20" s="12">
        <v>37320706.835777149</v>
      </c>
      <c r="GD20" s="13">
        <v>9.6665512612262083E-2</v>
      </c>
      <c r="GE20" s="35">
        <v>9142.4943928228131</v>
      </c>
      <c r="GG20" s="11">
        <v>2025</v>
      </c>
      <c r="GH20" s="16">
        <v>4811475</v>
      </c>
      <c r="GI20" s="16">
        <v>42363539794</v>
      </c>
      <c r="GJ20" s="16">
        <v>10355176550.680002</v>
      </c>
      <c r="GK20" s="16">
        <v>945297564</v>
      </c>
      <c r="GL20" s="16">
        <v>2462220396.9740257</v>
      </c>
      <c r="GM20" s="12">
        <v>13818772997.368313</v>
      </c>
      <c r="GN20" s="12">
        <v>9206071648.1428566</v>
      </c>
      <c r="GO20" s="12">
        <v>4404000682.2031851</v>
      </c>
      <c r="GP20" s="12">
        <v>13610072330.346043</v>
      </c>
      <c r="GQ20" s="12">
        <v>208700667.02226973</v>
      </c>
      <c r="GR20" s="13">
        <v>1.510269161104357E-2</v>
      </c>
      <c r="GS20" s="35">
        <v>8804.6887480450387</v>
      </c>
      <c r="GT20" s="35"/>
      <c r="GU20" s="35">
        <f>GJ20/GH20</f>
        <v>2152.1833846543946</v>
      </c>
      <c r="GV20" s="35">
        <f t="shared" si="14"/>
        <v>8804.6887480450387</v>
      </c>
      <c r="GW20" s="161"/>
    </row>
    <row r="21" spans="2:205">
      <c r="B21" s="26">
        <v>15</v>
      </c>
      <c r="C21" s="12">
        <v>95781</v>
      </c>
      <c r="D21" s="312">
        <v>242</v>
      </c>
      <c r="E21" s="16">
        <v>846178000</v>
      </c>
      <c r="F21" s="35">
        <v>191775900</v>
      </c>
      <c r="G21" s="16">
        <v>38201652.300000004</v>
      </c>
      <c r="H21" s="16">
        <v>42586169.900000006</v>
      </c>
      <c r="I21" s="12">
        <v>273613722.19999999</v>
      </c>
      <c r="J21" s="12">
        <v>172215600</v>
      </c>
      <c r="K21" s="12">
        <v>76202000</v>
      </c>
      <c r="L21" s="12">
        <v>248417600</v>
      </c>
      <c r="M21" s="12">
        <v>25196122.200000014</v>
      </c>
      <c r="N21" s="13">
        <v>9.2086471385315685E-2</v>
      </c>
      <c r="O21" s="35">
        <v>8834.5078877856777</v>
      </c>
      <c r="P21" s="35">
        <v>336</v>
      </c>
      <c r="Q21" s="35">
        <f t="shared" si="19"/>
        <v>2518386.9047619049</v>
      </c>
      <c r="R21" s="35">
        <f t="shared" si="15"/>
        <v>285.0625</v>
      </c>
      <c r="U21">
        <v>374</v>
      </c>
      <c r="V21" s="265" t="s">
        <v>158</v>
      </c>
      <c r="W21" s="79">
        <v>417406</v>
      </c>
      <c r="X21" s="79">
        <v>3719984000</v>
      </c>
      <c r="Y21" s="79">
        <v>849073820</v>
      </c>
      <c r="Z21" s="79">
        <v>172352234</v>
      </c>
      <c r="AA21" s="79">
        <v>193036928.57142854</v>
      </c>
      <c r="AB21" s="264">
        <v>1219612982.5714288</v>
      </c>
      <c r="AC21" s="264">
        <v>829476172.28571427</v>
      </c>
      <c r="AD21" s="264">
        <v>370353842.85714287</v>
      </c>
      <c r="AE21" s="264">
        <v>1199830015.1428571</v>
      </c>
      <c r="AF21" s="264">
        <v>19782967.428571414</v>
      </c>
      <c r="AG21" s="80">
        <v>1.6220692720785128E-2</v>
      </c>
      <c r="AH21" s="134">
        <v>8912.1478847932231</v>
      </c>
      <c r="AI21" s="134">
        <v>398</v>
      </c>
      <c r="AJ21" s="134">
        <f t="shared" si="26"/>
        <v>2133351.3065326633</v>
      </c>
      <c r="AK21" s="134">
        <f t="shared" si="1"/>
        <v>8912.1478847932231</v>
      </c>
      <c r="AL21" s="134"/>
      <c r="AN21" t="e">
        <f t="shared" si="16"/>
        <v>#DIV/0!</v>
      </c>
      <c r="AO21" t="e">
        <f t="shared" si="17"/>
        <v>#DIV/0!</v>
      </c>
      <c r="AQ21" s="26">
        <v>15</v>
      </c>
      <c r="AR21" s="35">
        <v>95781</v>
      </c>
      <c r="AS21" s="35">
        <v>846178000</v>
      </c>
      <c r="AT21" s="16">
        <v>191775900</v>
      </c>
      <c r="AU21" s="280">
        <v>38201652.300000004</v>
      </c>
      <c r="AV21" s="35">
        <v>42586169.900000006</v>
      </c>
      <c r="AW21" s="35">
        <v>273613722.19999999</v>
      </c>
      <c r="AX21" s="35">
        <v>74795000</v>
      </c>
      <c r="AY21" s="35">
        <v>248417600</v>
      </c>
      <c r="AZ21" s="35">
        <v>25196122.200000014</v>
      </c>
      <c r="BA21" s="13">
        <v>9.2086471385315685E-2</v>
      </c>
      <c r="BC21" s="27"/>
      <c r="BL21" s="16"/>
      <c r="BM21" s="16"/>
      <c r="CG21" s="278" t="s">
        <v>176</v>
      </c>
      <c r="CH21" s="123">
        <v>17936000</v>
      </c>
      <c r="CP21" s="11">
        <v>2025</v>
      </c>
      <c r="CQ21" s="16">
        <v>4728088</v>
      </c>
      <c r="CR21" s="16">
        <v>41657440080</v>
      </c>
      <c r="CS21" s="16">
        <v>10200275887.6</v>
      </c>
      <c r="DL21" s="285" t="s">
        <v>156</v>
      </c>
      <c r="DM21" s="127">
        <v>1889</v>
      </c>
      <c r="DN21" s="267">
        <v>7167142.8571428573</v>
      </c>
      <c r="DO21" s="267">
        <v>8908471.4285714291</v>
      </c>
      <c r="DP21" s="267">
        <v>-1741328.5714285716</v>
      </c>
      <c r="DQ21" s="51">
        <v>-0.24295993621686268</v>
      </c>
      <c r="DR21" s="50">
        <v>9494.970884065644</v>
      </c>
      <c r="DS21" s="27">
        <f>(DM21-DM20)/DM20</f>
        <v>-0.92184202904547152</v>
      </c>
      <c r="DT21" s="27">
        <f>(DN21-DN20)/DN20</f>
        <v>-0.72312571367423983</v>
      </c>
      <c r="DU21" s="27">
        <f>(DP21-DP20)/DP20</f>
        <v>-1.1593067778722435</v>
      </c>
      <c r="DV21" s="13">
        <f>DQ21</f>
        <v>-0.24295993621686268</v>
      </c>
      <c r="DY21" s="134">
        <v>398</v>
      </c>
      <c r="DZ21" s="134">
        <f t="shared" si="27"/>
        <v>22383.094041636756</v>
      </c>
      <c r="EA21" s="134">
        <f t="shared" si="28"/>
        <v>4.7462311557788945</v>
      </c>
      <c r="EC21" s="265" t="s">
        <v>158</v>
      </c>
      <c r="ED21" s="274">
        <v>361527700.00000006</v>
      </c>
      <c r="EE21" s="79">
        <v>417406</v>
      </c>
      <c r="EF21" s="79">
        <v>3719984000</v>
      </c>
      <c r="EG21" s="79">
        <v>849073820</v>
      </c>
      <c r="EH21" s="79">
        <v>172352234</v>
      </c>
      <c r="EI21" s="79">
        <v>193036928.57142854</v>
      </c>
      <c r="EJ21" s="264">
        <v>1219612982.5714288</v>
      </c>
      <c r="EK21" s="264">
        <v>829476172.28571427</v>
      </c>
      <c r="EL21" s="264">
        <v>370353842.85714287</v>
      </c>
      <c r="EM21" s="264">
        <v>1199830015.1428571</v>
      </c>
      <c r="EN21" s="264">
        <v>19782967.428571414</v>
      </c>
      <c r="EO21" s="80">
        <v>1.6220692720785128E-2</v>
      </c>
      <c r="EP21" s="134">
        <v>8912.1478847932231</v>
      </c>
      <c r="EQ21" s="134">
        <v>398</v>
      </c>
      <c r="ER21" s="134">
        <f t="shared" si="29"/>
        <v>9346693.4673366826</v>
      </c>
      <c r="ES21" s="134">
        <f t="shared" si="30"/>
        <v>908361.05527638202</v>
      </c>
      <c r="FK21" s="35">
        <v>374</v>
      </c>
      <c r="FL21" s="134">
        <f t="shared" si="31"/>
        <v>0</v>
      </c>
      <c r="FM21" s="134" t="e">
        <f t="shared" si="6"/>
        <v>#DIV/0!</v>
      </c>
      <c r="FN21" s="79"/>
      <c r="FS21" s="11">
        <v>15</v>
      </c>
      <c r="FT21" s="16">
        <v>97913</v>
      </c>
      <c r="FU21" s="35">
        <v>862875000</v>
      </c>
      <c r="FV21" s="16">
        <v>196768780</v>
      </c>
      <c r="FW21" s="35">
        <v>38201652.300000004</v>
      </c>
      <c r="FX21" s="35">
        <v>44221169.900000006</v>
      </c>
      <c r="FY21" s="12">
        <v>280441602.19999999</v>
      </c>
      <c r="FZ21" s="12">
        <v>177152800</v>
      </c>
      <c r="GA21" s="12">
        <v>80297000</v>
      </c>
      <c r="GB21" s="12">
        <v>257449800</v>
      </c>
      <c r="GC21" s="12">
        <v>22991802.200000014</v>
      </c>
      <c r="GD21" s="13">
        <v>8.1984277723542456E-2</v>
      </c>
      <c r="GE21" s="35">
        <v>8812.6704319140463</v>
      </c>
      <c r="GG21" s="265" t="s">
        <v>21</v>
      </c>
      <c r="GH21" s="79">
        <v>422781</v>
      </c>
      <c r="GI21" s="79">
        <v>3738551000</v>
      </c>
      <c r="GJ21" s="79">
        <v>840791030</v>
      </c>
      <c r="GK21" s="79">
        <v>172578116.00000006</v>
      </c>
      <c r="GL21" s="79">
        <v>179228000</v>
      </c>
      <c r="GM21" s="264">
        <v>1195772146</v>
      </c>
      <c r="GN21" s="264">
        <v>832049268.14285707</v>
      </c>
      <c r="GO21" s="264">
        <v>335667500</v>
      </c>
      <c r="GP21" s="264">
        <v>1167716768.1428571</v>
      </c>
      <c r="GQ21" s="264">
        <v>28055377.857142828</v>
      </c>
      <c r="GR21" s="80">
        <v>2.3462143645837045E-2</v>
      </c>
      <c r="GS21" s="134">
        <v>8842.7601997251531</v>
      </c>
      <c r="GT21" s="134">
        <v>348</v>
      </c>
      <c r="GU21" s="134">
        <f t="shared" ref="GU21:GU28" si="32">GJ21/GT21</f>
        <v>2416066.1781609193</v>
      </c>
      <c r="GV21" s="134">
        <f t="shared" si="14"/>
        <v>8842.7601997251531</v>
      </c>
      <c r="GW21" s="79"/>
    </row>
    <row r="22" spans="2:205">
      <c r="B22" s="26">
        <v>16</v>
      </c>
      <c r="C22" s="12">
        <v>101822</v>
      </c>
      <c r="D22" s="312">
        <v>244</v>
      </c>
      <c r="E22" s="16">
        <v>896846000</v>
      </c>
      <c r="F22" s="35">
        <v>203221160</v>
      </c>
      <c r="G22" s="16">
        <v>38201652.299999997</v>
      </c>
      <c r="H22" s="16">
        <v>42685169.900000006</v>
      </c>
      <c r="I22" s="12">
        <v>285057982.19999999</v>
      </c>
      <c r="J22" s="12">
        <v>179780000</v>
      </c>
      <c r="K22" s="12">
        <v>77532000</v>
      </c>
      <c r="L22" s="12">
        <v>257312000</v>
      </c>
      <c r="M22" s="12">
        <v>27745982.200000014</v>
      </c>
      <c r="N22" s="13">
        <v>9.733452115904305E-2</v>
      </c>
      <c r="O22" s="35">
        <v>8807.9786293728266</v>
      </c>
      <c r="P22" s="35">
        <v>335</v>
      </c>
      <c r="Q22" s="35">
        <f t="shared" si="19"/>
        <v>2677152.2388059702</v>
      </c>
      <c r="R22" s="35">
        <f t="shared" si="15"/>
        <v>303.94626865671643</v>
      </c>
      <c r="U22">
        <v>349</v>
      </c>
      <c r="V22" s="265" t="s">
        <v>159</v>
      </c>
      <c r="W22" s="79">
        <v>309737</v>
      </c>
      <c r="X22" s="79">
        <v>2754822500</v>
      </c>
      <c r="Y22" s="79">
        <v>629427190</v>
      </c>
      <c r="Z22" s="79">
        <v>195063146.99999997</v>
      </c>
      <c r="AA22" s="79">
        <v>215344922.07792208</v>
      </c>
      <c r="AB22" s="264">
        <v>1043135259.0779221</v>
      </c>
      <c r="AC22" s="264">
        <v>677374202.59740245</v>
      </c>
      <c r="AD22" s="264">
        <v>410184936.63636363</v>
      </c>
      <c r="AE22" s="264">
        <v>1087559139.2337661</v>
      </c>
      <c r="AF22" s="264">
        <v>-44423880.15584413</v>
      </c>
      <c r="AG22" s="80">
        <v>-4.2586883886095994E-2</v>
      </c>
      <c r="AH22" s="134">
        <v>8894.0698076109729</v>
      </c>
      <c r="AI22" s="134">
        <v>386</v>
      </c>
      <c r="AJ22" s="134">
        <f t="shared" si="26"/>
        <v>1630640.3886010363</v>
      </c>
      <c r="AK22" s="134">
        <f t="shared" si="1"/>
        <v>8894.0698076109729</v>
      </c>
      <c r="AL22" s="134"/>
      <c r="AN22" t="e">
        <f t="shared" si="16"/>
        <v>#DIV/0!</v>
      </c>
      <c r="AO22" t="e">
        <f t="shared" si="17"/>
        <v>#DIV/0!</v>
      </c>
      <c r="AQ22" s="26">
        <v>16</v>
      </c>
      <c r="AR22" s="35">
        <v>101822</v>
      </c>
      <c r="AS22" s="35">
        <v>896846000</v>
      </c>
      <c r="AT22" s="16">
        <v>203221160</v>
      </c>
      <c r="AU22" s="280">
        <v>38201652.299999997</v>
      </c>
      <c r="AV22" s="35">
        <v>42685169.900000006</v>
      </c>
      <c r="AW22" s="35">
        <v>285057982.19999999</v>
      </c>
      <c r="AX22" s="35">
        <v>76125000</v>
      </c>
      <c r="AY22" s="35">
        <v>257312000</v>
      </c>
      <c r="AZ22" s="35">
        <v>27745982.200000014</v>
      </c>
      <c r="BA22" s="13">
        <v>9.733452115904305E-2</v>
      </c>
      <c r="BC22" s="27"/>
      <c r="BL22" s="16"/>
      <c r="BM22" s="16"/>
      <c r="CG22" s="11" t="s">
        <v>167</v>
      </c>
      <c r="CH22" s="123">
        <v>4503599866.666666</v>
      </c>
      <c r="CP22" s="265" t="s">
        <v>21</v>
      </c>
      <c r="CQ22" s="79">
        <v>419504</v>
      </c>
      <c r="CR22" s="79">
        <v>3713106000</v>
      </c>
      <c r="CS22" s="79">
        <v>833022080</v>
      </c>
      <c r="DL22" s="286" t="s">
        <v>162</v>
      </c>
      <c r="DM22" s="83">
        <v>2168</v>
      </c>
      <c r="DN22" s="258">
        <v>5301087.1428571427</v>
      </c>
      <c r="DO22" s="258">
        <v>6031828.5714285709</v>
      </c>
      <c r="DP22" s="258">
        <v>-730741.42857142841</v>
      </c>
      <c r="DQ22" s="84">
        <v>-0.13784746578936233</v>
      </c>
      <c r="DR22" s="172">
        <v>9986.5577227200847</v>
      </c>
      <c r="DS22" s="27">
        <f t="shared" ref="DS22:DS24" si="33">(DM22-DM21)/DM21</f>
        <v>0.14769719428268926</v>
      </c>
      <c r="DT22" s="27">
        <f t="shared" ref="DT22:DT24" si="34">(DN22-DN21)/DN21</f>
        <v>-0.26036256727127771</v>
      </c>
      <c r="DU22" s="27">
        <f t="shared" ref="DU22:DU24" si="35">(DP22-DP21)/DP21</f>
        <v>-0.58035408103828778</v>
      </c>
      <c r="DV22" s="13">
        <f t="shared" ref="DV22:DV24" si="36">DQ22</f>
        <v>-0.13784746578936233</v>
      </c>
      <c r="DY22" s="134">
        <v>386</v>
      </c>
      <c r="DZ22" s="134">
        <f t="shared" si="27"/>
        <v>15626.498889711323</v>
      </c>
      <c r="EA22" s="134">
        <f t="shared" si="28"/>
        <v>5.6165803108808294</v>
      </c>
      <c r="EC22" s="265" t="s">
        <v>159</v>
      </c>
      <c r="ED22" s="274">
        <v>402058038.96103895</v>
      </c>
      <c r="EE22" s="79">
        <v>309737</v>
      </c>
      <c r="EF22" s="79">
        <v>2754822500</v>
      </c>
      <c r="EG22" s="79">
        <v>629427190</v>
      </c>
      <c r="EH22" s="79">
        <v>195063146.99999997</v>
      </c>
      <c r="EI22" s="79">
        <v>215344922.07792208</v>
      </c>
      <c r="EJ22" s="264">
        <v>1043135259.0779221</v>
      </c>
      <c r="EK22" s="264">
        <v>677374202.59740245</v>
      </c>
      <c r="EL22" s="264">
        <v>410184936.63636363</v>
      </c>
      <c r="EM22" s="264">
        <v>1087559139.2337661</v>
      </c>
      <c r="EN22" s="264">
        <v>-44423880.15584413</v>
      </c>
      <c r="EO22" s="80">
        <v>-4.2586883886095994E-2</v>
      </c>
      <c r="EP22" s="134">
        <v>8894.0698076109729</v>
      </c>
      <c r="EQ22" s="134">
        <v>386</v>
      </c>
      <c r="ER22" s="134">
        <f t="shared" si="29"/>
        <v>7136845.8549222797</v>
      </c>
      <c r="ES22" s="134">
        <f t="shared" si="30"/>
        <v>1041601.1372047641</v>
      </c>
      <c r="FK22" s="35">
        <v>308</v>
      </c>
      <c r="FL22" s="134">
        <f t="shared" si="31"/>
        <v>0</v>
      </c>
      <c r="FM22" s="134" t="e">
        <f t="shared" si="6"/>
        <v>#DIV/0!</v>
      </c>
      <c r="FN22" s="79"/>
      <c r="FS22" s="11">
        <v>16</v>
      </c>
      <c r="FT22" s="16">
        <v>103864</v>
      </c>
      <c r="FU22" s="35">
        <v>914149000</v>
      </c>
      <c r="FV22" s="16">
        <v>208397240</v>
      </c>
      <c r="FW22" s="35">
        <v>38201652.299999997</v>
      </c>
      <c r="FX22" s="35">
        <v>44930169.900000006</v>
      </c>
      <c r="FY22" s="12">
        <v>292779062.19999999</v>
      </c>
      <c r="FZ22" s="12">
        <v>185629600</v>
      </c>
      <c r="GA22" s="12">
        <v>83237008</v>
      </c>
      <c r="GB22" s="12">
        <v>268866608</v>
      </c>
      <c r="GC22" s="12">
        <v>23912454.200000014</v>
      </c>
      <c r="GD22" s="13">
        <v>8.1674058316592343E-2</v>
      </c>
      <c r="GE22" s="35">
        <v>8801.4037587614566</v>
      </c>
      <c r="GG22" s="265" t="s">
        <v>158</v>
      </c>
      <c r="GH22" s="79">
        <v>417406</v>
      </c>
      <c r="GI22" s="79">
        <v>3719984000</v>
      </c>
      <c r="GJ22" s="79">
        <v>849073820</v>
      </c>
      <c r="GK22" s="79">
        <v>172352234</v>
      </c>
      <c r="GL22" s="79">
        <v>193036928.57142854</v>
      </c>
      <c r="GM22" s="264">
        <v>1219612982.5714288</v>
      </c>
      <c r="GN22" s="264">
        <v>829476172.28571427</v>
      </c>
      <c r="GO22" s="264">
        <v>370353842.85714287</v>
      </c>
      <c r="GP22" s="264">
        <v>1199830015.1428571</v>
      </c>
      <c r="GQ22" s="264">
        <v>19782967.428571414</v>
      </c>
      <c r="GR22" s="80">
        <v>1.6220692720785128E-2</v>
      </c>
      <c r="GS22" s="134">
        <v>8912.1478847932231</v>
      </c>
      <c r="GT22" s="134">
        <v>398</v>
      </c>
      <c r="GU22" s="134">
        <f t="shared" si="32"/>
        <v>2133351.3065326633</v>
      </c>
      <c r="GV22" s="134">
        <f t="shared" si="14"/>
        <v>8912.1478847932231</v>
      </c>
      <c r="GW22" s="79"/>
    </row>
    <row r="23" spans="2:205">
      <c r="B23" s="26">
        <v>17</v>
      </c>
      <c r="C23" s="12">
        <v>106106</v>
      </c>
      <c r="D23" s="312">
        <v>253</v>
      </c>
      <c r="E23" s="16">
        <v>932883000</v>
      </c>
      <c r="F23" s="35">
        <v>211847210</v>
      </c>
      <c r="G23" s="16">
        <v>38201652.300000004</v>
      </c>
      <c r="H23" s="16">
        <v>40509169.900000006</v>
      </c>
      <c r="I23" s="12">
        <v>291508032.19999999</v>
      </c>
      <c r="J23" s="12">
        <v>239986900</v>
      </c>
      <c r="K23" s="12">
        <v>78227000</v>
      </c>
      <c r="L23" s="12">
        <v>318213900</v>
      </c>
      <c r="M23" s="12">
        <v>-26705867.79999999</v>
      </c>
      <c r="N23" s="13">
        <v>-9.1612802564827539E-2</v>
      </c>
      <c r="O23" s="35">
        <v>8791.9910278400839</v>
      </c>
      <c r="P23" s="35">
        <v>345</v>
      </c>
      <c r="Q23" s="35">
        <f t="shared" si="19"/>
        <v>2704008.6956521738</v>
      </c>
      <c r="R23" s="35">
        <f t="shared" si="15"/>
        <v>307.55362318840582</v>
      </c>
      <c r="U23">
        <v>327</v>
      </c>
      <c r="V23" s="268" t="s">
        <v>160</v>
      </c>
      <c r="W23" s="127">
        <v>437817</v>
      </c>
      <c r="X23" s="127">
        <v>3890315000</v>
      </c>
      <c r="Y23" s="127">
        <v>887181330</v>
      </c>
      <c r="Z23" s="127">
        <v>163721367.00000006</v>
      </c>
      <c r="AA23" s="127">
        <v>185730689.18181819</v>
      </c>
      <c r="AB23" s="267">
        <v>1241183386.1818178</v>
      </c>
      <c r="AC23" s="267">
        <v>817216904.5454545</v>
      </c>
      <c r="AD23" s="267">
        <v>359336824.36363637</v>
      </c>
      <c r="AE23" s="267">
        <v>1176553728.909091</v>
      </c>
      <c r="AF23" s="267">
        <v>64629657.272727326</v>
      </c>
      <c r="AG23" s="51">
        <v>5.2070997720605881E-2</v>
      </c>
      <c r="AH23" s="50">
        <v>8885.7102396663449</v>
      </c>
      <c r="AI23" s="50">
        <v>370</v>
      </c>
      <c r="AJ23" s="50">
        <f t="shared" si="26"/>
        <v>2397787.3783783782</v>
      </c>
      <c r="AK23" s="50">
        <f t="shared" si="1"/>
        <v>8885.7102396663449</v>
      </c>
      <c r="AL23" s="50"/>
      <c r="AN23" t="e">
        <f t="shared" si="16"/>
        <v>#DIV/0!</v>
      </c>
      <c r="AO23" t="e">
        <f t="shared" si="17"/>
        <v>#DIV/0!</v>
      </c>
      <c r="AQ23" s="26">
        <v>17</v>
      </c>
      <c r="AR23" s="35">
        <v>106106</v>
      </c>
      <c r="AS23" s="35">
        <v>932883000</v>
      </c>
      <c r="AT23" s="16">
        <v>211847210</v>
      </c>
      <c r="AU23" s="280">
        <v>38201652.300000004</v>
      </c>
      <c r="AV23" s="35">
        <v>40509169.900000006</v>
      </c>
      <c r="AW23" s="35">
        <v>291508032.19999999</v>
      </c>
      <c r="AX23" s="35">
        <v>75530000</v>
      </c>
      <c r="AY23" s="35">
        <v>318213900</v>
      </c>
      <c r="AZ23" s="35">
        <v>-26705867.79999999</v>
      </c>
      <c r="BA23" s="13">
        <v>-9.1612802564827539E-2</v>
      </c>
      <c r="BC23" s="27"/>
      <c r="BL23" s="16"/>
      <c r="BM23" s="16"/>
      <c r="CP23" s="265" t="s">
        <v>158</v>
      </c>
      <c r="CQ23" s="79">
        <v>410587</v>
      </c>
      <c r="CR23" s="79">
        <v>3660337000</v>
      </c>
      <c r="CS23" s="79">
        <v>830877470</v>
      </c>
      <c r="DL23" s="286" t="s">
        <v>163</v>
      </c>
      <c r="DM23" s="83">
        <v>5132</v>
      </c>
      <c r="DN23" s="258">
        <v>3339080.0000000005</v>
      </c>
      <c r="DO23" s="258">
        <v>14947.822995614701</v>
      </c>
      <c r="DP23" s="258">
        <v>3324132.1770043857</v>
      </c>
      <c r="DQ23" s="84">
        <v>0.99552337081003905</v>
      </c>
      <c r="DR23" s="172">
        <v>9294.8446720855136</v>
      </c>
      <c r="DS23" s="27">
        <f t="shared" si="33"/>
        <v>1.3671586715867159</v>
      </c>
      <c r="DT23" s="27">
        <f t="shared" si="34"/>
        <v>-0.37011410866935368</v>
      </c>
      <c r="DU23" s="27">
        <f t="shared" si="35"/>
        <v>-5.5489855194099738</v>
      </c>
      <c r="DV23" s="13">
        <f t="shared" si="36"/>
        <v>0.99552337081003905</v>
      </c>
      <c r="DY23" s="50">
        <v>370</v>
      </c>
      <c r="DZ23" s="50">
        <f t="shared" si="27"/>
        <v>40.399521609769458</v>
      </c>
      <c r="EA23" s="50">
        <f t="shared" si="28"/>
        <v>13.87027027027027</v>
      </c>
      <c r="EC23" s="268" t="s">
        <v>160</v>
      </c>
      <c r="ED23" s="275">
        <v>350906818.18181819</v>
      </c>
      <c r="EE23" s="127">
        <v>437817</v>
      </c>
      <c r="EF23" s="127">
        <v>3890315000</v>
      </c>
      <c r="EG23" s="127">
        <v>887181330</v>
      </c>
      <c r="EH23" s="127">
        <v>163721367.00000006</v>
      </c>
      <c r="EI23" s="127">
        <v>185730689.18181819</v>
      </c>
      <c r="EJ23" s="267">
        <v>1241183386.1818178</v>
      </c>
      <c r="EK23" s="267">
        <v>817216904.5454545</v>
      </c>
      <c r="EL23" s="267">
        <v>359336824.36363637</v>
      </c>
      <c r="EM23" s="267">
        <v>1176553728.909091</v>
      </c>
      <c r="EN23" s="267">
        <v>64629657.272727326</v>
      </c>
      <c r="EO23" s="51">
        <v>5.2070997720605881E-2</v>
      </c>
      <c r="EP23" s="50">
        <v>8885.7102396663449</v>
      </c>
      <c r="EQ23" s="50">
        <v>370</v>
      </c>
      <c r="ER23" s="50">
        <f t="shared" si="29"/>
        <v>10514364.864864865</v>
      </c>
      <c r="ES23" s="50">
        <f t="shared" si="30"/>
        <v>948396.80589680595</v>
      </c>
      <c r="FK23" s="35">
        <v>327</v>
      </c>
      <c r="FL23" s="50">
        <f t="shared" si="31"/>
        <v>0</v>
      </c>
      <c r="FM23" s="50" t="e">
        <f t="shared" si="6"/>
        <v>#DIV/0!</v>
      </c>
      <c r="FN23" s="127"/>
      <c r="FS23" s="11">
        <v>17</v>
      </c>
      <c r="FT23" s="16">
        <v>108097</v>
      </c>
      <c r="FU23" s="35">
        <v>948992000</v>
      </c>
      <c r="FV23" s="16">
        <v>216647030</v>
      </c>
      <c r="FW23" s="35">
        <v>38201652.300000004</v>
      </c>
      <c r="FX23" s="35">
        <v>41935169.900000006</v>
      </c>
      <c r="FY23" s="12">
        <v>298133852.19999999</v>
      </c>
      <c r="FZ23" s="12">
        <v>244164500</v>
      </c>
      <c r="GA23" s="12">
        <v>82987000</v>
      </c>
      <c r="GB23" s="12">
        <v>327151500</v>
      </c>
      <c r="GC23" s="12">
        <v>-29017647.79999999</v>
      </c>
      <c r="GD23" s="13">
        <v>-9.7330939059324953E-2</v>
      </c>
      <c r="GE23" s="35">
        <v>8779.0780502696653</v>
      </c>
      <c r="GG23" s="265" t="s">
        <v>159</v>
      </c>
      <c r="GH23" s="79">
        <v>309737</v>
      </c>
      <c r="GI23" s="79">
        <v>2754822500</v>
      </c>
      <c r="GJ23" s="79">
        <v>629427190</v>
      </c>
      <c r="GK23" s="79">
        <v>195063146.99999997</v>
      </c>
      <c r="GL23" s="79">
        <v>215344922.07792208</v>
      </c>
      <c r="GM23" s="264">
        <v>1043135259.0779221</v>
      </c>
      <c r="GN23" s="264">
        <v>677374202.59740245</v>
      </c>
      <c r="GO23" s="264">
        <v>410184936.63636363</v>
      </c>
      <c r="GP23" s="264">
        <v>1087559139.2337661</v>
      </c>
      <c r="GQ23" s="264">
        <v>-44423880.15584413</v>
      </c>
      <c r="GR23" s="80">
        <v>-4.2586883886095994E-2</v>
      </c>
      <c r="GS23" s="134">
        <v>8894.0698076109729</v>
      </c>
      <c r="GT23" s="134">
        <v>386</v>
      </c>
      <c r="GU23" s="134">
        <f t="shared" si="32"/>
        <v>1630640.3886010363</v>
      </c>
      <c r="GV23" s="134">
        <f t="shared" si="14"/>
        <v>8894.0698076109729</v>
      </c>
      <c r="GW23" s="79"/>
    </row>
    <row r="24" spans="2:205">
      <c r="B24" s="26">
        <v>18</v>
      </c>
      <c r="C24" s="12">
        <v>123543</v>
      </c>
      <c r="D24" s="312">
        <v>245</v>
      </c>
      <c r="E24" s="16">
        <v>1086216000</v>
      </c>
      <c r="F24" s="35">
        <v>246900360</v>
      </c>
      <c r="G24" s="16">
        <v>44983816.116129033</v>
      </c>
      <c r="H24" s="16">
        <v>48190382.799999997</v>
      </c>
      <c r="I24" s="12">
        <v>340774558.91612905</v>
      </c>
      <c r="J24" s="12">
        <v>194813900</v>
      </c>
      <c r="K24" s="12">
        <v>98257000</v>
      </c>
      <c r="L24" s="12">
        <v>293070900</v>
      </c>
      <c r="M24" s="12">
        <v>47703658.916129038</v>
      </c>
      <c r="N24" s="13">
        <v>0.13998597509114463</v>
      </c>
      <c r="O24" s="35">
        <v>8792.2099997571695</v>
      </c>
      <c r="P24" s="35">
        <v>354</v>
      </c>
      <c r="Q24" s="35">
        <f t="shared" si="19"/>
        <v>3068406.779661017</v>
      </c>
      <c r="R24" s="35">
        <f t="shared" si="15"/>
        <v>348.99152542372883</v>
      </c>
      <c r="U24">
        <v>329</v>
      </c>
      <c r="V24" s="268" t="s">
        <v>161</v>
      </c>
      <c r="W24" s="127">
        <v>450300</v>
      </c>
      <c r="X24" s="127">
        <v>3938590000</v>
      </c>
      <c r="Y24" s="127">
        <v>902750320</v>
      </c>
      <c r="Z24" s="127">
        <v>180220829.00000003</v>
      </c>
      <c r="AA24" s="127">
        <v>194018857.14285713</v>
      </c>
      <c r="AB24" s="267">
        <v>1279194206.1428571</v>
      </c>
      <c r="AC24" s="267">
        <v>830652950</v>
      </c>
      <c r="AD24" s="267">
        <v>390883252.18433177</v>
      </c>
      <c r="AE24" s="267">
        <v>1221536202.1843319</v>
      </c>
      <c r="AF24" s="267">
        <v>57658003.958525382</v>
      </c>
      <c r="AG24" s="51">
        <v>4.5073690673116049E-2</v>
      </c>
      <c r="AH24" s="50">
        <v>8746.5911614479228</v>
      </c>
      <c r="AI24" s="50">
        <v>365</v>
      </c>
      <c r="AJ24" s="50">
        <f t="shared" si="26"/>
        <v>2473288.5479452056</v>
      </c>
      <c r="AK24" s="50">
        <f t="shared" si="1"/>
        <v>8746.5911614479228</v>
      </c>
      <c r="AL24" s="50"/>
      <c r="AN24" t="e">
        <f t="shared" si="16"/>
        <v>#DIV/0!</v>
      </c>
      <c r="AO24" t="e">
        <f t="shared" si="17"/>
        <v>#DIV/0!</v>
      </c>
      <c r="AQ24" s="26">
        <v>18</v>
      </c>
      <c r="AR24" s="35">
        <v>123543</v>
      </c>
      <c r="AS24" s="35">
        <v>1086216000</v>
      </c>
      <c r="AT24" s="16">
        <v>246900360</v>
      </c>
      <c r="AU24" s="280">
        <v>44983816.116129033</v>
      </c>
      <c r="AV24" s="35">
        <v>48190382.799999997</v>
      </c>
      <c r="AW24" s="35">
        <v>340774558.91612905</v>
      </c>
      <c r="AX24" s="35">
        <v>95060000</v>
      </c>
      <c r="AY24" s="35">
        <v>293070900</v>
      </c>
      <c r="AZ24" s="35">
        <v>47703658.916129038</v>
      </c>
      <c r="BA24" s="13">
        <v>0.13998597509114463</v>
      </c>
      <c r="BC24" s="27"/>
      <c r="BL24" s="16"/>
      <c r="BM24" s="16"/>
      <c r="CI24" s="12">
        <f>CH24</f>
        <v>0</v>
      </c>
      <c r="CP24" s="265" t="s">
        <v>159</v>
      </c>
      <c r="CQ24" s="79">
        <v>303719</v>
      </c>
      <c r="CR24" s="79">
        <v>2703039000</v>
      </c>
      <c r="CS24" s="79">
        <v>613824030</v>
      </c>
      <c r="DL24" s="286" t="s">
        <v>164</v>
      </c>
      <c r="DM24" s="83">
        <v>4611</v>
      </c>
      <c r="DN24" s="258">
        <v>3128160.0000000005</v>
      </c>
      <c r="DO24" s="258">
        <v>0</v>
      </c>
      <c r="DP24" s="258">
        <v>3128160.0000000005</v>
      </c>
      <c r="DQ24" s="84">
        <v>1</v>
      </c>
      <c r="DR24" s="172">
        <v>9691.6070266753413</v>
      </c>
      <c r="DS24" s="27">
        <f t="shared" si="33"/>
        <v>-0.10151987529228371</v>
      </c>
      <c r="DT24" s="27">
        <f t="shared" si="34"/>
        <v>-6.3167099919738359E-2</v>
      </c>
      <c r="DU24" s="27">
        <f t="shared" si="35"/>
        <v>-5.8954387662463491E-2</v>
      </c>
      <c r="DV24" s="13">
        <f t="shared" si="36"/>
        <v>1</v>
      </c>
      <c r="DY24" s="50">
        <v>365</v>
      </c>
      <c r="DZ24" s="50">
        <f t="shared" si="27"/>
        <v>0</v>
      </c>
      <c r="EA24" s="50">
        <f t="shared" si="28"/>
        <v>12.632876712328768</v>
      </c>
      <c r="EC24" s="268" t="s">
        <v>161</v>
      </c>
      <c r="ED24" s="275">
        <v>374025000</v>
      </c>
      <c r="EE24" s="127">
        <v>450300</v>
      </c>
      <c r="EF24" s="127">
        <v>3938590000</v>
      </c>
      <c r="EG24" s="127">
        <v>902750320</v>
      </c>
      <c r="EH24" s="127">
        <v>180220829.00000003</v>
      </c>
      <c r="EI24" s="127">
        <v>194018857.14285713</v>
      </c>
      <c r="EJ24" s="267">
        <v>1279194206.1428571</v>
      </c>
      <c r="EK24" s="267">
        <v>830652950</v>
      </c>
      <c r="EL24" s="267">
        <v>390883252.18433177</v>
      </c>
      <c r="EM24" s="267">
        <v>1221536202.1843319</v>
      </c>
      <c r="EN24" s="267">
        <v>57658003.958525382</v>
      </c>
      <c r="EO24" s="51">
        <v>4.5073690673116049E-2</v>
      </c>
      <c r="EP24" s="50">
        <v>8746.5911614479228</v>
      </c>
      <c r="EQ24" s="50">
        <v>365</v>
      </c>
      <c r="ER24" s="50">
        <f t="shared" si="29"/>
        <v>10790657.534246575</v>
      </c>
      <c r="ES24" s="50">
        <f t="shared" si="30"/>
        <v>1024726.0273972603</v>
      </c>
      <c r="FK24" s="35">
        <v>329</v>
      </c>
      <c r="FL24" s="50">
        <f t="shared" si="31"/>
        <v>0</v>
      </c>
      <c r="FM24" s="50" t="e">
        <f t="shared" si="6"/>
        <v>#DIV/0!</v>
      </c>
      <c r="FN24" s="127"/>
      <c r="FS24" s="11">
        <v>18</v>
      </c>
      <c r="FT24" s="16">
        <v>125773</v>
      </c>
      <c r="FU24" s="35">
        <v>1104147000</v>
      </c>
      <c r="FV24" s="16">
        <v>252244110</v>
      </c>
      <c r="FW24" s="35">
        <v>44983816.116129033</v>
      </c>
      <c r="FX24" s="35">
        <v>49686382.799999997</v>
      </c>
      <c r="FY24" s="12">
        <v>347614308.91612905</v>
      </c>
      <c r="FZ24" s="12">
        <v>198720300</v>
      </c>
      <c r="GA24" s="12">
        <v>103472000</v>
      </c>
      <c r="GB24" s="12">
        <v>302192300</v>
      </c>
      <c r="GC24" s="12">
        <v>45422008.916129038</v>
      </c>
      <c r="GD24" s="13">
        <v>0.13066783429530304</v>
      </c>
      <c r="GE24" s="35">
        <v>8778.887360562283</v>
      </c>
      <c r="GG24" s="268" t="s">
        <v>160</v>
      </c>
      <c r="GH24" s="127">
        <v>437817</v>
      </c>
      <c r="GI24" s="127">
        <v>3890315000</v>
      </c>
      <c r="GJ24" s="127">
        <v>887181330</v>
      </c>
      <c r="GK24" s="127">
        <v>163721367.00000006</v>
      </c>
      <c r="GL24" s="127">
        <v>185730689.18181819</v>
      </c>
      <c r="GM24" s="267">
        <v>1241183386.1818178</v>
      </c>
      <c r="GN24" s="267">
        <v>817216904.5454545</v>
      </c>
      <c r="GO24" s="267">
        <v>359336824.36363637</v>
      </c>
      <c r="GP24" s="267">
        <v>1176553728.909091</v>
      </c>
      <c r="GQ24" s="267">
        <v>64629657.272727326</v>
      </c>
      <c r="GR24" s="51">
        <v>5.2070997720605881E-2</v>
      </c>
      <c r="GS24" s="50">
        <v>8885.7102396663449</v>
      </c>
      <c r="GT24" s="50">
        <v>370</v>
      </c>
      <c r="GU24" s="50">
        <f t="shared" si="32"/>
        <v>2397787.3783783782</v>
      </c>
      <c r="GV24" s="50">
        <f t="shared" si="14"/>
        <v>8885.7102396663449</v>
      </c>
      <c r="GW24" s="127"/>
    </row>
    <row r="25" spans="2:205">
      <c r="B25" s="26">
        <v>19</v>
      </c>
      <c r="C25" s="12">
        <v>99994</v>
      </c>
      <c r="D25" s="312">
        <v>265</v>
      </c>
      <c r="E25" s="16">
        <v>876078000</v>
      </c>
      <c r="F25" s="35">
        <v>199512860</v>
      </c>
      <c r="G25" s="16">
        <v>40520025.903225817</v>
      </c>
      <c r="H25" s="16">
        <v>39798000</v>
      </c>
      <c r="I25" s="12">
        <v>281030885.90322578</v>
      </c>
      <c r="J25" s="12">
        <v>169004700</v>
      </c>
      <c r="K25" s="12">
        <v>80804936</v>
      </c>
      <c r="L25" s="12">
        <v>249809636</v>
      </c>
      <c r="M25" s="12">
        <v>31221249.903225802</v>
      </c>
      <c r="N25" s="13">
        <v>0.11109543992960609</v>
      </c>
      <c r="O25" s="35">
        <v>8761.305678340701</v>
      </c>
      <c r="P25" s="35">
        <v>340</v>
      </c>
      <c r="Q25" s="35">
        <f t="shared" si="19"/>
        <v>2576700</v>
      </c>
      <c r="R25" s="35">
        <f t="shared" si="15"/>
        <v>294.10000000000002</v>
      </c>
      <c r="U25">
        <v>310</v>
      </c>
      <c r="V25" s="268" t="s">
        <v>156</v>
      </c>
      <c r="W25" s="127">
        <v>430055</v>
      </c>
      <c r="X25" s="127">
        <v>3781515866.6666665</v>
      </c>
      <c r="Y25" s="127">
        <v>947309213.33333337</v>
      </c>
      <c r="Z25" s="127">
        <v>53206056.714285716</v>
      </c>
      <c r="AA25" s="127">
        <v>203796714.2857143</v>
      </c>
      <c r="AB25" s="267">
        <v>1204511984.3333335</v>
      </c>
      <c r="AC25" s="267">
        <v>788838027.71428573</v>
      </c>
      <c r="AD25" s="267">
        <v>367910529.59496158</v>
      </c>
      <c r="AE25" s="267">
        <v>1156748557.3092473</v>
      </c>
      <c r="AF25" s="267">
        <v>47763427.024086051</v>
      </c>
      <c r="AG25" s="51">
        <v>3.9653758240124015E-2</v>
      </c>
      <c r="AH25" s="50">
        <v>8793.0982471234292</v>
      </c>
      <c r="AI25" s="50">
        <v>353</v>
      </c>
      <c r="AJ25" s="50">
        <f t="shared" si="26"/>
        <v>2683595.505193579</v>
      </c>
      <c r="AK25" s="50">
        <f t="shared" si="1"/>
        <v>8793.0982471234292</v>
      </c>
      <c r="AL25" s="50"/>
      <c r="AN25" t="e">
        <f t="shared" si="16"/>
        <v>#DIV/0!</v>
      </c>
      <c r="AO25" t="e">
        <f t="shared" si="17"/>
        <v>#DIV/0!</v>
      </c>
      <c r="AQ25" s="26">
        <v>19</v>
      </c>
      <c r="AR25" s="35">
        <v>99994</v>
      </c>
      <c r="AS25" s="35">
        <v>876078000</v>
      </c>
      <c r="AT25" s="16">
        <v>199512860</v>
      </c>
      <c r="AU25" s="280">
        <v>40520025.903225817</v>
      </c>
      <c r="AV25" s="35">
        <v>39798000</v>
      </c>
      <c r="AW25" s="35">
        <v>281030885.90322578</v>
      </c>
      <c r="AX25" s="35">
        <v>77630000</v>
      </c>
      <c r="AY25" s="35">
        <v>249809636</v>
      </c>
      <c r="AZ25" s="35">
        <v>31221249.903225802</v>
      </c>
      <c r="BA25" s="13">
        <v>0.11109543992960609</v>
      </c>
      <c r="BC25" s="27"/>
      <c r="BL25" s="16"/>
      <c r="BM25" s="16"/>
      <c r="CP25" s="268" t="s">
        <v>160</v>
      </c>
      <c r="CQ25" s="127">
        <v>430416</v>
      </c>
      <c r="CR25" s="127">
        <v>3829100000</v>
      </c>
      <c r="CS25" s="127">
        <v>868904060</v>
      </c>
      <c r="DL25" s="278" t="s">
        <v>165</v>
      </c>
      <c r="DM25" s="16">
        <v>4573</v>
      </c>
      <c r="DN25" s="12">
        <v>3053820</v>
      </c>
      <c r="DO25" s="12">
        <v>0</v>
      </c>
      <c r="DP25" s="12">
        <v>3053820</v>
      </c>
      <c r="DQ25" s="13">
        <v>1</v>
      </c>
      <c r="DR25" s="35">
        <v>9539.9081565711786</v>
      </c>
      <c r="DS25" s="27">
        <f t="shared" ref="DS25" si="37">(DM25-DM24)/DM24</f>
        <v>-8.2411624376491008E-3</v>
      </c>
      <c r="DT25" s="27">
        <f t="shared" ref="DT25" si="38">(DN25-DN24)/DN24</f>
        <v>-2.376476906552109E-2</v>
      </c>
      <c r="DU25" s="27">
        <f t="shared" ref="DU25" si="39">(DP25-DP24)/DP24</f>
        <v>-2.376476906552109E-2</v>
      </c>
      <c r="DV25" s="13">
        <f t="shared" ref="DV25" si="40">DQ25</f>
        <v>1</v>
      </c>
      <c r="DY25" s="50">
        <v>353</v>
      </c>
      <c r="DZ25" s="50">
        <f t="shared" si="27"/>
        <v>0</v>
      </c>
      <c r="EA25" s="50">
        <f t="shared" si="28"/>
        <v>12.954674220963172</v>
      </c>
      <c r="EC25" s="268" t="s">
        <v>156</v>
      </c>
      <c r="ED25" s="275">
        <v>349445500</v>
      </c>
      <c r="EE25" s="127">
        <v>430055</v>
      </c>
      <c r="EF25" s="127">
        <v>3781515866.6666665</v>
      </c>
      <c r="EG25" s="127">
        <v>947309213.33333337</v>
      </c>
      <c r="EH25" s="127">
        <v>53206056.714285716</v>
      </c>
      <c r="EI25" s="127">
        <v>203796714.2857143</v>
      </c>
      <c r="EJ25" s="267">
        <v>1204511984.3333335</v>
      </c>
      <c r="EK25" s="267">
        <v>788838027.71428573</v>
      </c>
      <c r="EL25" s="267">
        <v>367910529.59496158</v>
      </c>
      <c r="EM25" s="267">
        <v>1156748557.3092473</v>
      </c>
      <c r="EN25" s="267">
        <v>47763427.024086051</v>
      </c>
      <c r="EO25" s="51">
        <v>3.9653758240124015E-2</v>
      </c>
      <c r="EP25" s="50">
        <v>8793.0982471234292</v>
      </c>
      <c r="EQ25" s="50">
        <v>353</v>
      </c>
      <c r="ER25" s="50">
        <f t="shared" si="29"/>
        <v>10712509.537299339</v>
      </c>
      <c r="ES25" s="50">
        <f t="shared" si="30"/>
        <v>989930.59490084986</v>
      </c>
      <c r="FK25" s="35">
        <v>335</v>
      </c>
      <c r="FL25" s="50">
        <f t="shared" si="31"/>
        <v>0</v>
      </c>
      <c r="FM25" s="50" t="e">
        <f t="shared" si="6"/>
        <v>#DIV/0!</v>
      </c>
      <c r="FN25" s="127"/>
      <c r="FS25" s="11">
        <v>19</v>
      </c>
      <c r="FT25" s="16">
        <v>102568</v>
      </c>
      <c r="FU25" s="35">
        <v>897839000</v>
      </c>
      <c r="FV25" s="16">
        <v>205998460</v>
      </c>
      <c r="FW25" s="35">
        <v>40520025.903225817</v>
      </c>
      <c r="FX25" s="35">
        <v>41906000</v>
      </c>
      <c r="FY25" s="12">
        <v>289624485.90322578</v>
      </c>
      <c r="FZ25" s="12">
        <v>174529400</v>
      </c>
      <c r="GA25" s="12">
        <v>87489936</v>
      </c>
      <c r="GB25" s="12">
        <v>262019336</v>
      </c>
      <c r="GC25" s="12">
        <v>27605149.903225802</v>
      </c>
      <c r="GD25" s="13">
        <v>9.5313591380701487E-2</v>
      </c>
      <c r="GE25" s="35">
        <v>8753.5976132906944</v>
      </c>
      <c r="GG25" s="268" t="s">
        <v>161</v>
      </c>
      <c r="GH25" s="127">
        <v>450300</v>
      </c>
      <c r="GI25" s="127">
        <v>3938590000</v>
      </c>
      <c r="GJ25" s="127">
        <v>902750320</v>
      </c>
      <c r="GK25" s="127">
        <v>180220829.00000003</v>
      </c>
      <c r="GL25" s="127">
        <v>194018857.14285713</v>
      </c>
      <c r="GM25" s="267">
        <v>1279194206.1428571</v>
      </c>
      <c r="GN25" s="267">
        <v>830652950</v>
      </c>
      <c r="GO25" s="267">
        <v>390883252.18433177</v>
      </c>
      <c r="GP25" s="267">
        <v>1221536202.1843319</v>
      </c>
      <c r="GQ25" s="267">
        <v>57658003.958525382</v>
      </c>
      <c r="GR25" s="51">
        <v>4.5073690673116049E-2</v>
      </c>
      <c r="GS25" s="50">
        <v>8746.5911614479228</v>
      </c>
      <c r="GT25" s="50">
        <v>365</v>
      </c>
      <c r="GU25" s="50">
        <f t="shared" si="32"/>
        <v>2473288.5479452056</v>
      </c>
      <c r="GV25" s="50">
        <f t="shared" si="14"/>
        <v>8746.5911614479228</v>
      </c>
      <c r="GW25" s="127"/>
    </row>
    <row r="26" spans="2:205">
      <c r="B26" s="26">
        <v>20</v>
      </c>
      <c r="C26" s="12">
        <v>96526</v>
      </c>
      <c r="D26" s="312">
        <v>272</v>
      </c>
      <c r="E26" s="16">
        <v>845562000</v>
      </c>
      <c r="F26" s="35">
        <v>192753740</v>
      </c>
      <c r="G26" s="16">
        <v>40520025.903225817</v>
      </c>
      <c r="H26" s="16">
        <v>39456000</v>
      </c>
      <c r="I26" s="12">
        <v>273129765.90322578</v>
      </c>
      <c r="J26" s="12">
        <v>164526000</v>
      </c>
      <c r="K26" s="12">
        <v>80509936</v>
      </c>
      <c r="L26" s="12">
        <v>245035936</v>
      </c>
      <c r="M26" s="12">
        <v>28093829.903225802</v>
      </c>
      <c r="N26" s="13">
        <v>0.1028589096114112</v>
      </c>
      <c r="O26" s="35">
        <v>8759.94032695854</v>
      </c>
      <c r="P26" s="35">
        <v>336</v>
      </c>
      <c r="Q26" s="35">
        <f t="shared" si="19"/>
        <v>2516553.5714285714</v>
      </c>
      <c r="R26" s="35">
        <f t="shared" si="15"/>
        <v>287.27976190476193</v>
      </c>
      <c r="U26">
        <v>326</v>
      </c>
      <c r="V26" s="259" t="s">
        <v>162</v>
      </c>
      <c r="W26" s="83">
        <v>434599</v>
      </c>
      <c r="X26" s="83">
        <v>3850634190.4761906</v>
      </c>
      <c r="Y26" s="83">
        <v>996822305.23809528</v>
      </c>
      <c r="Z26" s="271">
        <v>3046428.5714285714</v>
      </c>
      <c r="AA26" s="83">
        <v>216503571.42857143</v>
      </c>
      <c r="AB26" s="258">
        <v>1217297305.238095</v>
      </c>
      <c r="AC26" s="258">
        <v>784919029.28571439</v>
      </c>
      <c r="AD26" s="258">
        <v>385199938.34857142</v>
      </c>
      <c r="AE26" s="258">
        <v>1170118967.6342859</v>
      </c>
      <c r="AF26" s="258">
        <v>47178337.603809513</v>
      </c>
      <c r="AG26" s="84">
        <v>3.8756626997199957E-2</v>
      </c>
      <c r="AH26" s="172">
        <v>8860.200300682216</v>
      </c>
      <c r="AI26" s="172">
        <v>357</v>
      </c>
      <c r="AJ26" s="172">
        <f t="shared" si="26"/>
        <v>2792219.3424036284</v>
      </c>
      <c r="AK26" s="172">
        <f t="shared" si="1"/>
        <v>8860.200300682216</v>
      </c>
      <c r="AL26" s="172"/>
      <c r="AN26" t="e">
        <f t="shared" si="16"/>
        <v>#DIV/0!</v>
      </c>
      <c r="AO26" t="e">
        <f t="shared" si="17"/>
        <v>#DIV/0!</v>
      </c>
      <c r="AQ26" s="26">
        <v>20</v>
      </c>
      <c r="AR26" s="35">
        <v>96526</v>
      </c>
      <c r="AS26" s="35">
        <v>845562000</v>
      </c>
      <c r="AT26" s="16">
        <v>192753740</v>
      </c>
      <c r="AU26" s="280">
        <v>40520025.903225817</v>
      </c>
      <c r="AV26" s="35">
        <v>39456000</v>
      </c>
      <c r="AW26" s="35">
        <v>273129765.90322578</v>
      </c>
      <c r="AX26" s="35">
        <v>76860000</v>
      </c>
      <c r="AY26" s="35">
        <v>245035936</v>
      </c>
      <c r="AZ26" s="35">
        <v>28093829.903225802</v>
      </c>
      <c r="BA26" s="13">
        <v>0.1028589096114112</v>
      </c>
      <c r="BC26" s="27"/>
      <c r="BL26" s="16"/>
      <c r="BM26" s="16"/>
      <c r="CP26" s="268" t="s">
        <v>161</v>
      </c>
      <c r="CQ26" s="127">
        <v>439801</v>
      </c>
      <c r="CR26" s="127">
        <v>3853285000</v>
      </c>
      <c r="CS26" s="127">
        <v>877982870</v>
      </c>
      <c r="DL26" s="278" t="s">
        <v>36</v>
      </c>
      <c r="DM26" s="16">
        <v>3090</v>
      </c>
      <c r="DN26" s="12">
        <v>2082990.0000000002</v>
      </c>
      <c r="DO26" s="12">
        <v>0</v>
      </c>
      <c r="DP26" s="12">
        <v>2082990.0000000002</v>
      </c>
      <c r="DQ26" s="13">
        <v>1</v>
      </c>
      <c r="DR26" s="35">
        <v>9630.0970873786409</v>
      </c>
      <c r="DY26" s="172">
        <v>357</v>
      </c>
      <c r="DZ26" s="172">
        <f t="shared" si="27"/>
        <v>0</v>
      </c>
      <c r="EA26" s="172">
        <f t="shared" si="28"/>
        <v>8.655462184873949</v>
      </c>
      <c r="EC26" s="259" t="s">
        <v>162</v>
      </c>
      <c r="ED26" s="272">
        <v>351140000</v>
      </c>
      <c r="EE26" s="83">
        <v>434599</v>
      </c>
      <c r="EF26" s="83">
        <v>3850634190.4761906</v>
      </c>
      <c r="EG26" s="83">
        <v>996822305.23809528</v>
      </c>
      <c r="EH26" s="271">
        <v>3046428.5714285714</v>
      </c>
      <c r="EI26" s="83">
        <v>216503571.42857143</v>
      </c>
      <c r="EJ26" s="258">
        <v>1217297305.238095</v>
      </c>
      <c r="EK26" s="258">
        <v>784919029.28571439</v>
      </c>
      <c r="EL26" s="258">
        <v>385199938.34857142</v>
      </c>
      <c r="EM26" s="258">
        <v>1170118967.6342859</v>
      </c>
      <c r="EN26" s="258">
        <v>47178337.603809513</v>
      </c>
      <c r="EO26" s="84">
        <v>3.8756626997199957E-2</v>
      </c>
      <c r="EP26" s="172">
        <v>8860.200300682216</v>
      </c>
      <c r="EQ26" s="172">
        <v>357</v>
      </c>
      <c r="ER26" s="172">
        <f t="shared" si="29"/>
        <v>10786090.169401094</v>
      </c>
      <c r="ES26" s="172">
        <f t="shared" si="30"/>
        <v>983585.43417366943</v>
      </c>
      <c r="FK26" s="35">
        <v>334</v>
      </c>
      <c r="FL26" s="172">
        <f t="shared" si="31"/>
        <v>0</v>
      </c>
      <c r="FM26" s="172" t="e">
        <f t="shared" si="6"/>
        <v>#DIV/0!</v>
      </c>
      <c r="FN26" s="83"/>
      <c r="FS26" s="11">
        <v>20</v>
      </c>
      <c r="FT26" s="16">
        <v>98528</v>
      </c>
      <c r="FU26" s="35">
        <v>861712000</v>
      </c>
      <c r="FV26" s="16">
        <v>197569820</v>
      </c>
      <c r="FW26" s="35">
        <v>40520025.903225817</v>
      </c>
      <c r="FX26" s="35">
        <v>41150000</v>
      </c>
      <c r="FY26" s="12">
        <v>279639845.90322578</v>
      </c>
      <c r="FZ26" s="12">
        <v>169040600</v>
      </c>
      <c r="GA26" s="12">
        <v>85934936</v>
      </c>
      <c r="GB26" s="12">
        <v>254975536</v>
      </c>
      <c r="GC26" s="12">
        <v>24664309.903225802</v>
      </c>
      <c r="GD26" s="13">
        <v>8.8200269970686918E-2</v>
      </c>
      <c r="GE26" s="35">
        <v>8745.859045144527</v>
      </c>
      <c r="GG26" s="268" t="s">
        <v>156</v>
      </c>
      <c r="GH26" s="127">
        <v>430055</v>
      </c>
      <c r="GI26" s="127">
        <v>3781515866.6666665</v>
      </c>
      <c r="GJ26" s="127">
        <v>947309213.33333337</v>
      </c>
      <c r="GK26" s="127">
        <v>53206056.714285716</v>
      </c>
      <c r="GL26" s="127">
        <v>203796714.2857143</v>
      </c>
      <c r="GM26" s="267">
        <v>1204511984.3333335</v>
      </c>
      <c r="GN26" s="267">
        <v>788838027.71428573</v>
      </c>
      <c r="GO26" s="267">
        <v>367910529.59496158</v>
      </c>
      <c r="GP26" s="267">
        <v>1156748557.3092473</v>
      </c>
      <c r="GQ26" s="267">
        <v>47763427.024086051</v>
      </c>
      <c r="GR26" s="51">
        <v>3.9653758240124015E-2</v>
      </c>
      <c r="GS26" s="50">
        <v>8793.0982471234292</v>
      </c>
      <c r="GT26" s="50">
        <v>353</v>
      </c>
      <c r="GU26" s="50">
        <f t="shared" si="32"/>
        <v>2683595.505193579</v>
      </c>
      <c r="GV26" s="50">
        <f t="shared" si="14"/>
        <v>8793.0982471234292</v>
      </c>
      <c r="GW26" s="127"/>
    </row>
    <row r="27" spans="2:205">
      <c r="B27" s="26">
        <v>21</v>
      </c>
      <c r="C27" s="12">
        <v>93568</v>
      </c>
      <c r="D27" s="312">
        <v>275</v>
      </c>
      <c r="E27" s="16">
        <v>819402000</v>
      </c>
      <c r="F27" s="35">
        <v>186771180</v>
      </c>
      <c r="G27" s="16">
        <v>40520025.903225817</v>
      </c>
      <c r="H27" s="16">
        <v>47844000</v>
      </c>
      <c r="I27" s="12">
        <v>275439405.90322578</v>
      </c>
      <c r="J27" s="12">
        <v>228854600</v>
      </c>
      <c r="K27" s="12">
        <v>82214935.483870968</v>
      </c>
      <c r="L27" s="12">
        <v>311069535.48387098</v>
      </c>
      <c r="M27" s="12">
        <v>-35630129.580645144</v>
      </c>
      <c r="N27" s="13">
        <v>-0.12935741515926594</v>
      </c>
      <c r="O27" s="35">
        <v>8757.2888166894663</v>
      </c>
      <c r="P27" s="35">
        <v>336</v>
      </c>
      <c r="Q27" s="35">
        <f t="shared" si="19"/>
        <v>2438696.4285714286</v>
      </c>
      <c r="R27" s="35">
        <f t="shared" si="15"/>
        <v>278.47619047619048</v>
      </c>
      <c r="V27" s="259" t="s">
        <v>163</v>
      </c>
      <c r="W27" s="83">
        <v>423280</v>
      </c>
      <c r="X27" s="83">
        <v>3679609142.8571429</v>
      </c>
      <c r="Y27" s="83">
        <v>949053801.42857146</v>
      </c>
      <c r="Z27" s="83">
        <v>214285.71428571429</v>
      </c>
      <c r="AA27" s="83">
        <v>227457857.14285713</v>
      </c>
      <c r="AB27" s="258">
        <v>1177100944.2857141</v>
      </c>
      <c r="AC27" s="258">
        <v>770255895</v>
      </c>
      <c r="AD27" s="258">
        <v>381749756.38095242</v>
      </c>
      <c r="AE27" s="258">
        <v>1152005651.3809524</v>
      </c>
      <c r="AF27" s="258">
        <v>25095292.904761892</v>
      </c>
      <c r="AG27" s="84">
        <v>2.1319575883944401E-2</v>
      </c>
      <c r="AH27" s="172">
        <v>8693.0852930852925</v>
      </c>
      <c r="AI27" s="172">
        <v>361</v>
      </c>
      <c r="AJ27" s="172">
        <f t="shared" si="26"/>
        <v>2628957.8986941036</v>
      </c>
      <c r="AK27" s="172">
        <f t="shared" si="1"/>
        <v>8693.0852930852925</v>
      </c>
      <c r="AL27" s="172"/>
      <c r="AN27" t="e">
        <f t="shared" si="16"/>
        <v>#DIV/0!</v>
      </c>
      <c r="AO27" t="e">
        <f t="shared" si="17"/>
        <v>#DIV/0!</v>
      </c>
      <c r="AQ27" s="26">
        <v>21</v>
      </c>
      <c r="AR27" s="35">
        <v>93568</v>
      </c>
      <c r="AS27" s="35">
        <v>819402000</v>
      </c>
      <c r="AT27" s="16">
        <v>186771180</v>
      </c>
      <c r="AU27" s="280">
        <v>40520025.903225817</v>
      </c>
      <c r="AV27" s="35">
        <v>47844000</v>
      </c>
      <c r="AW27" s="35">
        <v>275439405.90322578</v>
      </c>
      <c r="AX27" s="35">
        <v>78190000</v>
      </c>
      <c r="AY27" s="35">
        <v>311069535.48387098</v>
      </c>
      <c r="AZ27" s="35">
        <v>-35630129.580645144</v>
      </c>
      <c r="BA27" s="13">
        <v>-0.12935741515926594</v>
      </c>
      <c r="BC27" s="27"/>
      <c r="BL27" s="161"/>
      <c r="BM27" s="161"/>
      <c r="CP27" s="268" t="s">
        <v>156</v>
      </c>
      <c r="CQ27" s="127">
        <v>420746</v>
      </c>
      <c r="CR27" s="127">
        <v>3701619000</v>
      </c>
      <c r="CS27" s="127">
        <v>928287740</v>
      </c>
      <c r="DL27" s="278" t="s">
        <v>166</v>
      </c>
      <c r="DM27" s="16">
        <v>2706</v>
      </c>
      <c r="DN27" s="12">
        <v>1813630.0000000002</v>
      </c>
      <c r="DO27" s="12">
        <v>0</v>
      </c>
      <c r="DP27" s="12">
        <v>1813630.0000000002</v>
      </c>
      <c r="DQ27" s="13">
        <v>1</v>
      </c>
      <c r="DR27" s="35">
        <v>9574.6489283074643</v>
      </c>
      <c r="DY27" s="172">
        <v>361</v>
      </c>
      <c r="DZ27" s="172">
        <f t="shared" si="27"/>
        <v>0</v>
      </c>
      <c r="EA27" s="172">
        <f t="shared" si="28"/>
        <v>7.4958448753462603</v>
      </c>
      <c r="EC27" s="259" t="s">
        <v>163</v>
      </c>
      <c r="ED27" s="272">
        <v>348950000</v>
      </c>
      <c r="EE27" s="83">
        <v>423280</v>
      </c>
      <c r="EF27" s="83">
        <v>3679609142.8571429</v>
      </c>
      <c r="EG27" s="83">
        <v>949053801.42857146</v>
      </c>
      <c r="EH27" s="83">
        <v>214285.71428571429</v>
      </c>
      <c r="EI27" s="83">
        <v>227457857.14285713</v>
      </c>
      <c r="EJ27" s="258">
        <v>1177100944.2857141</v>
      </c>
      <c r="EK27" s="258">
        <v>770255895</v>
      </c>
      <c r="EL27" s="258">
        <v>381749756.38095242</v>
      </c>
      <c r="EM27" s="258">
        <v>1152005651.3809524</v>
      </c>
      <c r="EN27" s="258">
        <v>25095292.904761892</v>
      </c>
      <c r="EO27" s="84">
        <v>2.1319575883944401E-2</v>
      </c>
      <c r="EP27" s="172">
        <v>8693.0852930852925</v>
      </c>
      <c r="EQ27" s="172">
        <v>361</v>
      </c>
      <c r="ER27" s="172">
        <f t="shared" si="29"/>
        <v>10192823.110407598</v>
      </c>
      <c r="ES27" s="172">
        <f t="shared" si="30"/>
        <v>966620.49861495849</v>
      </c>
      <c r="FK27" s="35">
        <v>344</v>
      </c>
      <c r="FL27" s="172">
        <f t="shared" si="31"/>
        <v>0</v>
      </c>
      <c r="FM27" s="172" t="e">
        <f t="shared" si="6"/>
        <v>#DIV/0!</v>
      </c>
      <c r="FN27" s="152"/>
      <c r="FS27" s="11">
        <v>21</v>
      </c>
      <c r="FT27" s="16">
        <v>95507</v>
      </c>
      <c r="FU27" s="35">
        <v>834723000</v>
      </c>
      <c r="FV27" s="16">
        <v>191339320</v>
      </c>
      <c r="FW27" s="35">
        <v>40520025.903225817</v>
      </c>
      <c r="FX27" s="35">
        <v>49516000</v>
      </c>
      <c r="FY27" s="12">
        <v>281679545.90322578</v>
      </c>
      <c r="FZ27" s="12">
        <v>233454000</v>
      </c>
      <c r="GA27" s="12">
        <v>87604935.483870968</v>
      </c>
      <c r="GB27" s="12">
        <v>321058935.48387098</v>
      </c>
      <c r="GC27" s="12">
        <v>-39379389.580645144</v>
      </c>
      <c r="GD27" s="13">
        <v>-0.13980209125363466</v>
      </c>
      <c r="GE27" s="35">
        <v>8739.9143518276142</v>
      </c>
      <c r="GG27" s="259" t="s">
        <v>162</v>
      </c>
      <c r="GH27" s="83">
        <v>434599</v>
      </c>
      <c r="GI27" s="83">
        <v>3850634190.4761906</v>
      </c>
      <c r="GJ27" s="83">
        <v>996822305.23809528</v>
      </c>
      <c r="GK27" s="271">
        <v>3046428.5714285714</v>
      </c>
      <c r="GL27" s="83">
        <v>216503571.42857143</v>
      </c>
      <c r="GM27" s="258">
        <v>1217297305.238095</v>
      </c>
      <c r="GN27" s="258">
        <v>784919029.28571439</v>
      </c>
      <c r="GO27" s="258">
        <v>385199938.34857142</v>
      </c>
      <c r="GP27" s="258">
        <v>1170118967.6342859</v>
      </c>
      <c r="GQ27" s="258">
        <v>47178337.603809513</v>
      </c>
      <c r="GR27" s="84">
        <v>3.8756626997199957E-2</v>
      </c>
      <c r="GS27" s="172">
        <v>8860.200300682216</v>
      </c>
      <c r="GT27" s="172">
        <v>357</v>
      </c>
      <c r="GU27" s="172">
        <f t="shared" si="32"/>
        <v>2792219.3424036284</v>
      </c>
      <c r="GV27" s="172">
        <f t="shared" si="14"/>
        <v>8860.200300682216</v>
      </c>
      <c r="GW27" s="83"/>
    </row>
    <row r="28" spans="2:205">
      <c r="B28" s="26">
        <v>22</v>
      </c>
      <c r="C28" s="12">
        <v>102281</v>
      </c>
      <c r="D28" s="312">
        <v>269</v>
      </c>
      <c r="E28" s="16">
        <v>894691000</v>
      </c>
      <c r="F28" s="35">
        <v>204227890</v>
      </c>
      <c r="G28" s="16">
        <v>40730422.149193548</v>
      </c>
      <c r="H28" s="16">
        <v>39978000</v>
      </c>
      <c r="I28" s="12">
        <v>285236312.14919358</v>
      </c>
      <c r="J28" s="12">
        <v>172815299.99999997</v>
      </c>
      <c r="K28" s="12">
        <v>83914935.483870968</v>
      </c>
      <c r="L28" s="12">
        <v>256730235.48387092</v>
      </c>
      <c r="M28" s="12">
        <v>28506076.665322602</v>
      </c>
      <c r="N28" s="13">
        <v>9.9938456119192942E-2</v>
      </c>
      <c r="O28" s="35">
        <v>8747.3822117499822</v>
      </c>
      <c r="P28" s="35">
        <v>329</v>
      </c>
      <c r="Q28" s="35">
        <f t="shared" si="19"/>
        <v>2719425.5319148935</v>
      </c>
      <c r="R28" s="35">
        <f t="shared" si="15"/>
        <v>310.88449848024317</v>
      </c>
      <c r="V28" s="259" t="s">
        <v>164</v>
      </c>
      <c r="W28" s="83">
        <v>401205</v>
      </c>
      <c r="X28" s="83">
        <v>3544019002</v>
      </c>
      <c r="Y28" s="83">
        <v>915238200.44000006</v>
      </c>
      <c r="Z28" s="83">
        <v>765900</v>
      </c>
      <c r="AA28" s="83">
        <v>224889285.71428573</v>
      </c>
      <c r="AB28" s="258">
        <v>1146816243.297143</v>
      </c>
      <c r="AC28" s="258">
        <v>797190212.14285719</v>
      </c>
      <c r="AD28" s="258">
        <v>369789693.43777776</v>
      </c>
      <c r="AE28" s="258">
        <v>1166979905.5806351</v>
      </c>
      <c r="AF28" s="258">
        <v>-20163662.283492059</v>
      </c>
      <c r="AG28" s="84">
        <v>-1.7582295682803301E-2</v>
      </c>
      <c r="AH28" s="172">
        <v>8833.4367767101612</v>
      </c>
      <c r="AI28" s="172">
        <v>372</v>
      </c>
      <c r="AJ28" s="172">
        <f>Y28/AI28</f>
        <v>2460317.7431182796</v>
      </c>
      <c r="AK28" s="172">
        <f t="shared" si="1"/>
        <v>8833.4367767101612</v>
      </c>
      <c r="AL28" s="172"/>
      <c r="AN28" t="e">
        <f t="shared" si="16"/>
        <v>#DIV/0!</v>
      </c>
      <c r="AO28" t="e">
        <f t="shared" si="17"/>
        <v>#DIV/0!</v>
      </c>
      <c r="AQ28" s="26">
        <v>22</v>
      </c>
      <c r="AR28" s="35">
        <v>102281</v>
      </c>
      <c r="AS28" s="35">
        <v>894691000</v>
      </c>
      <c r="AT28" s="16">
        <v>204227890</v>
      </c>
      <c r="AU28" s="280">
        <v>40730422.149193548</v>
      </c>
      <c r="AV28" s="35">
        <v>39978000</v>
      </c>
      <c r="AW28" s="35">
        <v>285236312.14919358</v>
      </c>
      <c r="AX28" s="35">
        <v>77805000</v>
      </c>
      <c r="AY28" s="35">
        <v>256730235.48387092</v>
      </c>
      <c r="AZ28" s="35">
        <v>28506076.665322602</v>
      </c>
      <c r="BA28" s="13">
        <v>9.9938456119192942E-2</v>
      </c>
      <c r="BC28" s="27"/>
      <c r="CP28" s="26" t="s">
        <v>162</v>
      </c>
      <c r="CQ28" s="16">
        <v>426901</v>
      </c>
      <c r="CR28" s="16">
        <v>3792162285.7142859</v>
      </c>
      <c r="CS28" s="16">
        <v>985962194.28571427</v>
      </c>
      <c r="DL28" s="26" t="s">
        <v>177</v>
      </c>
      <c r="DM28" s="16">
        <v>5318</v>
      </c>
      <c r="DN28" s="12">
        <v>25089900</v>
      </c>
      <c r="DO28" s="12">
        <v>25177403.333333336</v>
      </c>
      <c r="DP28" s="12">
        <v>-87503.333333333489</v>
      </c>
      <c r="DQ28" s="13">
        <v>-3.4875919526715514E-3</v>
      </c>
      <c r="DR28" s="35">
        <v>11072.39563745769</v>
      </c>
      <c r="DS28" s="27">
        <f t="shared" ref="DS28" si="41">(DM28-DM27)/DM27</f>
        <v>0.96526237989652619</v>
      </c>
      <c r="DT28" s="27">
        <f t="shared" ref="DT28" si="42">(DN28-DN27)/DN27</f>
        <v>12.83407861581469</v>
      </c>
      <c r="DU28" s="27">
        <f t="shared" ref="DU28" si="43">(DP28-DP27)/DP27</f>
        <v>-1.0482476212531406</v>
      </c>
      <c r="DV28" s="13">
        <f t="shared" ref="DV28" si="44">DQ28</f>
        <v>-3.4875919526715514E-3</v>
      </c>
      <c r="DY28" s="172">
        <v>372</v>
      </c>
      <c r="DZ28" s="172">
        <f>DO28/DY28</f>
        <v>67681.191756272412</v>
      </c>
      <c r="EA28" s="172">
        <f t="shared" si="28"/>
        <v>14.295698924731182</v>
      </c>
      <c r="EC28" s="259" t="s">
        <v>164</v>
      </c>
      <c r="ED28" s="272">
        <v>342755000</v>
      </c>
      <c r="EE28" s="83">
        <v>401205</v>
      </c>
      <c r="EF28" s="83">
        <v>3544019002</v>
      </c>
      <c r="EG28" s="83">
        <v>915238200.44000006</v>
      </c>
      <c r="EH28" s="83">
        <v>765900</v>
      </c>
      <c r="EI28" s="83">
        <v>224889285.71428573</v>
      </c>
      <c r="EJ28" s="258">
        <v>1146816243.297143</v>
      </c>
      <c r="EK28" s="258">
        <v>797190212.14285719</v>
      </c>
      <c r="EL28" s="258">
        <v>369789693.43777776</v>
      </c>
      <c r="EM28" s="258">
        <v>1166979905.5806351</v>
      </c>
      <c r="EN28" s="258">
        <v>-20163662.283492059</v>
      </c>
      <c r="EO28" s="84">
        <v>-1.7582295682803301E-2</v>
      </c>
      <c r="EP28" s="172">
        <v>8833.4367767101612</v>
      </c>
      <c r="EQ28" s="172">
        <v>372</v>
      </c>
      <c r="ER28" s="172">
        <f>EF28/EQ28</f>
        <v>9526932.8010752685</v>
      </c>
      <c r="ES28" s="172">
        <f t="shared" si="30"/>
        <v>921384.40860215051</v>
      </c>
      <c r="FK28" s="35">
        <v>348</v>
      </c>
      <c r="FL28" s="172">
        <f t="shared" si="31"/>
        <v>0</v>
      </c>
      <c r="FM28" s="172" t="e">
        <f t="shared" si="6"/>
        <v>#DIV/0!</v>
      </c>
      <c r="FN28" s="152"/>
      <c r="FS28" s="11">
        <v>22</v>
      </c>
      <c r="FT28" s="16">
        <v>104099</v>
      </c>
      <c r="FU28" s="35">
        <v>909447000</v>
      </c>
      <c r="FV28" s="16">
        <v>207965970</v>
      </c>
      <c r="FW28" s="35">
        <v>41505422.149193548</v>
      </c>
      <c r="FX28" s="35">
        <v>41452000</v>
      </c>
      <c r="FY28" s="12">
        <v>291223392.14919358</v>
      </c>
      <c r="FZ28" s="12">
        <v>177061099.99999997</v>
      </c>
      <c r="GA28" s="12">
        <v>88569935.483870968</v>
      </c>
      <c r="GB28" s="12">
        <v>265631035.48387092</v>
      </c>
      <c r="GC28" s="12">
        <v>25592356.665322602</v>
      </c>
      <c r="GD28" s="13">
        <v>8.7878780878328802E-2</v>
      </c>
      <c r="GE28" s="35">
        <v>8736.3663435767867</v>
      </c>
      <c r="GG28" s="259" t="s">
        <v>163</v>
      </c>
      <c r="GH28" s="83">
        <v>423280</v>
      </c>
      <c r="GI28" s="83">
        <v>3679609142.8571429</v>
      </c>
      <c r="GJ28" s="83">
        <v>949053801.42857146</v>
      </c>
      <c r="GK28" s="83">
        <v>214285.71428571429</v>
      </c>
      <c r="GL28" s="83">
        <v>227457857.14285713</v>
      </c>
      <c r="GM28" s="258">
        <v>1177100944.2857141</v>
      </c>
      <c r="GN28" s="258">
        <v>770255895</v>
      </c>
      <c r="GO28" s="258">
        <v>381749756.38095242</v>
      </c>
      <c r="GP28" s="258">
        <v>1152005651.3809524</v>
      </c>
      <c r="GQ28" s="258">
        <v>25095292.904761892</v>
      </c>
      <c r="GR28" s="84">
        <v>2.1319575883944401E-2</v>
      </c>
      <c r="GS28" s="172">
        <v>8693.0852930852925</v>
      </c>
      <c r="GT28" s="172">
        <v>361</v>
      </c>
      <c r="GU28" s="172">
        <f t="shared" si="32"/>
        <v>2628957.8986941036</v>
      </c>
      <c r="GV28" s="172">
        <f t="shared" si="14"/>
        <v>8693.0852930852925</v>
      </c>
      <c r="GW28" s="152"/>
    </row>
    <row r="29" spans="2:205">
      <c r="B29" s="26">
        <v>23</v>
      </c>
      <c r="C29" s="12">
        <v>106629</v>
      </c>
      <c r="D29" s="312">
        <v>275</v>
      </c>
      <c r="E29" s="16">
        <v>935258000</v>
      </c>
      <c r="F29" s="35">
        <v>213525460</v>
      </c>
      <c r="G29" s="16">
        <v>41992799.625</v>
      </c>
      <c r="H29" s="16">
        <v>42881000</v>
      </c>
      <c r="I29" s="12">
        <v>298399259.625</v>
      </c>
      <c r="J29" s="12">
        <v>177703940</v>
      </c>
      <c r="K29" s="12">
        <v>81619935.483870968</v>
      </c>
      <c r="L29" s="12">
        <v>259323875.48387098</v>
      </c>
      <c r="M29" s="12">
        <v>39075384.141129047</v>
      </c>
      <c r="N29" s="13">
        <v>0.13095000366366624</v>
      </c>
      <c r="O29" s="35">
        <v>8771.141059186526</v>
      </c>
      <c r="P29" s="35">
        <v>333</v>
      </c>
      <c r="Q29" s="35">
        <f t="shared" si="19"/>
        <v>2808582.5825825827</v>
      </c>
      <c r="R29" s="35">
        <f t="shared" si="15"/>
        <v>320.2072072072072</v>
      </c>
      <c r="V29" s="26" t="s">
        <v>165</v>
      </c>
      <c r="W29" s="16">
        <v>385641</v>
      </c>
      <c r="X29" s="16">
        <v>3387799402</v>
      </c>
      <c r="Y29" s="16">
        <v>872496138.44000006</v>
      </c>
      <c r="Z29" s="16">
        <v>2749628.5714285714</v>
      </c>
      <c r="AA29" s="16">
        <v>222221428.57142854</v>
      </c>
      <c r="AB29" s="12">
        <v>1105349338.4399998</v>
      </c>
      <c r="AC29" s="12">
        <v>737540120</v>
      </c>
      <c r="AD29" s="12">
        <v>366366087.9308756</v>
      </c>
      <c r="AE29" s="12">
        <v>1103906207.9308755</v>
      </c>
      <c r="AF29" s="12">
        <v>1443130.5091243873</v>
      </c>
      <c r="AG29" s="13">
        <v>1.3055877078291867E-3</v>
      </c>
      <c r="AH29" s="35">
        <v>8784.8527568386144</v>
      </c>
      <c r="AI29" s="35">
        <v>355</v>
      </c>
      <c r="AJ29" s="35">
        <f>Y29/AI29</f>
        <v>2457735.6012394368</v>
      </c>
      <c r="AK29" s="35">
        <f t="shared" si="1"/>
        <v>8784.8527568386144</v>
      </c>
      <c r="AL29" s="35"/>
      <c r="AN29" t="e">
        <f t="shared" si="16"/>
        <v>#DIV/0!</v>
      </c>
      <c r="AO29" t="e">
        <f t="shared" si="17"/>
        <v>#DIV/0!</v>
      </c>
      <c r="AQ29" s="26">
        <v>23</v>
      </c>
      <c r="AR29" s="35">
        <v>106629</v>
      </c>
      <c r="AS29" s="35">
        <v>935258000</v>
      </c>
      <c r="AT29" s="16">
        <v>213525460</v>
      </c>
      <c r="AU29" s="280">
        <v>41992799.625</v>
      </c>
      <c r="AV29" s="35">
        <v>42881000</v>
      </c>
      <c r="AW29" s="35">
        <v>298399259.625</v>
      </c>
      <c r="AX29" s="35">
        <v>78470000</v>
      </c>
      <c r="AY29" s="35">
        <v>259323875.48387098</v>
      </c>
      <c r="AZ29" s="35">
        <v>39075384.141129047</v>
      </c>
      <c r="BA29" s="13">
        <v>0.13095000366366624</v>
      </c>
      <c r="BC29" s="27"/>
      <c r="CP29" s="26" t="s">
        <v>163</v>
      </c>
      <c r="CQ29" s="16">
        <v>416046</v>
      </c>
      <c r="CR29" s="16">
        <v>3613293714.2857141</v>
      </c>
      <c r="CS29" s="16">
        <v>939456365.71428573</v>
      </c>
      <c r="DL29" s="286" t="s">
        <v>162</v>
      </c>
      <c r="DM29" s="83">
        <v>101</v>
      </c>
      <c r="DN29" s="258">
        <v>458800</v>
      </c>
      <c r="DO29" s="258">
        <v>299800</v>
      </c>
      <c r="DP29" s="258">
        <v>159000</v>
      </c>
      <c r="DQ29" s="84">
        <v>0.34655623365300786</v>
      </c>
      <c r="DR29" s="172">
        <v>11841.584158415842</v>
      </c>
      <c r="DS29" s="27">
        <f t="shared" ref="DS29:DS31" si="45">(DM29-DM28)/DM28</f>
        <v>-0.98100789770590446</v>
      </c>
      <c r="DT29" s="27">
        <f t="shared" ref="DT29:DT31" si="46">(DN29-DN28)/DN28</f>
        <v>-0.98171375732864619</v>
      </c>
      <c r="DU29" s="27">
        <f t="shared" ref="DU29:DU31" si="47">(DP29-DP28)/DP28</f>
        <v>-2.8170736352900811</v>
      </c>
      <c r="DV29" s="13">
        <f t="shared" ref="DV29:DV31" si="48">DQ29</f>
        <v>0.34655623365300786</v>
      </c>
      <c r="DY29" s="35">
        <v>355</v>
      </c>
      <c r="DZ29">
        <f>DO29/DY29</f>
        <v>844.50704225352115</v>
      </c>
      <c r="EA29">
        <f t="shared" si="28"/>
        <v>0.28450704225352114</v>
      </c>
      <c r="EC29" s="26" t="s">
        <v>165</v>
      </c>
      <c r="ED29" s="199">
        <v>337740010</v>
      </c>
      <c r="EE29" s="16">
        <v>385641</v>
      </c>
      <c r="EF29" s="16">
        <v>3387799402</v>
      </c>
      <c r="EG29" s="16">
        <v>872496138.44000006</v>
      </c>
      <c r="EH29" s="16">
        <v>2749628.5714285714</v>
      </c>
      <c r="EI29" s="16">
        <v>222221428.57142854</v>
      </c>
      <c r="EJ29" s="12">
        <v>1105349338.4399998</v>
      </c>
      <c r="EK29" s="12">
        <v>737540120</v>
      </c>
      <c r="EL29" s="12">
        <v>366366087.9308756</v>
      </c>
      <c r="EM29" s="12">
        <v>1103906207.9308755</v>
      </c>
      <c r="EN29" s="12">
        <v>1443130.5091243873</v>
      </c>
      <c r="EO29" s="13">
        <v>1.3055877078291867E-3</v>
      </c>
      <c r="EP29" s="35">
        <v>8784.8527568386144</v>
      </c>
      <c r="EQ29" s="35">
        <v>355</v>
      </c>
      <c r="ER29">
        <f>EF29/EQ29</f>
        <v>9543096.9070422538</v>
      </c>
      <c r="ES29">
        <f t="shared" si="30"/>
        <v>951380.30985915498</v>
      </c>
      <c r="FK29" s="35">
        <v>339</v>
      </c>
      <c r="FL29">
        <f t="shared" si="31"/>
        <v>0</v>
      </c>
      <c r="FM29" t="e">
        <f t="shared" si="6"/>
        <v>#DIV/0!</v>
      </c>
      <c r="FS29" s="11">
        <v>23</v>
      </c>
      <c r="FT29" s="16">
        <v>108456</v>
      </c>
      <c r="FU29" s="35">
        <v>949727500</v>
      </c>
      <c r="FV29" s="16">
        <v>216976400</v>
      </c>
      <c r="FW29" s="35">
        <v>42942799.625</v>
      </c>
      <c r="FX29" s="35">
        <v>44086000</v>
      </c>
      <c r="FY29" s="12">
        <v>304005199.625</v>
      </c>
      <c r="FZ29" s="12">
        <v>181174940</v>
      </c>
      <c r="GA29" s="12">
        <v>85084935.483870968</v>
      </c>
      <c r="GB29" s="12">
        <v>266259875.48387098</v>
      </c>
      <c r="GC29" s="12">
        <v>37745324.141129047</v>
      </c>
      <c r="GD29" s="13">
        <v>0.12416012682575527</v>
      </c>
      <c r="GE29" s="35">
        <v>8756.7999926237371</v>
      </c>
      <c r="GG29" s="259" t="s">
        <v>164</v>
      </c>
      <c r="GH29" s="83">
        <v>401205</v>
      </c>
      <c r="GI29" s="83">
        <v>3544019002</v>
      </c>
      <c r="GJ29" s="83">
        <v>915238200.44000006</v>
      </c>
      <c r="GK29" s="83">
        <v>765900</v>
      </c>
      <c r="GL29" s="83">
        <v>224889285.71428573</v>
      </c>
      <c r="GM29" s="258">
        <v>1146816243.297143</v>
      </c>
      <c r="GN29" s="258">
        <v>797190212.14285719</v>
      </c>
      <c r="GO29" s="258">
        <v>369789693.43777776</v>
      </c>
      <c r="GP29" s="258">
        <v>1166979905.5806351</v>
      </c>
      <c r="GQ29" s="258">
        <v>-20163662.283492059</v>
      </c>
      <c r="GR29" s="84">
        <v>-1.7582295682803301E-2</v>
      </c>
      <c r="GS29" s="172">
        <v>8833.4367767101612</v>
      </c>
      <c r="GT29" s="172">
        <v>372</v>
      </c>
      <c r="GU29" s="172">
        <f>GJ29/GT29</f>
        <v>2460317.7431182796</v>
      </c>
      <c r="GV29" s="172">
        <f t="shared" si="14"/>
        <v>8833.4367767101612</v>
      </c>
      <c r="GW29" s="152"/>
    </row>
    <row r="30" spans="2:205">
      <c r="B30" s="26">
        <v>24</v>
      </c>
      <c r="C30" s="12">
        <v>100220</v>
      </c>
      <c r="D30" s="312">
        <v>271</v>
      </c>
      <c r="E30" s="16">
        <v>892992000</v>
      </c>
      <c r="F30" s="35">
        <v>232177920</v>
      </c>
      <c r="G30" s="16">
        <v>0</v>
      </c>
      <c r="H30" s="16">
        <v>56650000</v>
      </c>
      <c r="I30" s="12">
        <v>288827920</v>
      </c>
      <c r="J30" s="12">
        <v>181719039</v>
      </c>
      <c r="K30" s="12">
        <v>81574935.483870968</v>
      </c>
      <c r="L30" s="12">
        <v>263293974.48387098</v>
      </c>
      <c r="M30" s="12">
        <v>25533945.516129047</v>
      </c>
      <c r="N30" s="13">
        <v>8.8405392096889551E-2</v>
      </c>
      <c r="O30" s="35">
        <v>8910.3173019357419</v>
      </c>
      <c r="P30" s="35">
        <v>328</v>
      </c>
      <c r="Q30" s="35">
        <f t="shared" si="19"/>
        <v>2722536.5853658537</v>
      </c>
      <c r="R30" s="35">
        <f t="shared" si="15"/>
        <v>305.54878048780489</v>
      </c>
      <c r="V30" s="26" t="s">
        <v>36</v>
      </c>
      <c r="W30" s="16">
        <v>360450</v>
      </c>
      <c r="X30" s="16">
        <v>3137056310</v>
      </c>
      <c r="Y30" s="16">
        <v>808298583.20000005</v>
      </c>
      <c r="Z30" s="16">
        <v>1379571.4285714286</v>
      </c>
      <c r="AA30" s="16">
        <v>203209285.71428573</v>
      </c>
      <c r="AB30" s="12">
        <v>1025142440.3428571</v>
      </c>
      <c r="AC30" s="12">
        <v>686849027.85714293</v>
      </c>
      <c r="AD30" s="12">
        <v>336470969.01428574</v>
      </c>
      <c r="AE30" s="12">
        <v>1023319996.8714287</v>
      </c>
      <c r="AF30" s="12">
        <v>1822443.4714286027</v>
      </c>
      <c r="AG30" s="13">
        <v>1.777746583995771E-3</v>
      </c>
      <c r="AH30" s="35">
        <v>8703.1663476210288</v>
      </c>
      <c r="AI30" s="35">
        <v>303</v>
      </c>
      <c r="AJ30" s="35">
        <f>Y30/AI30</f>
        <v>2667652.0897689769</v>
      </c>
      <c r="AK30" s="35">
        <f>X30/W30</f>
        <v>8703.1663476210288</v>
      </c>
      <c r="AL30" s="35"/>
      <c r="AN30" t="e">
        <f t="shared" si="16"/>
        <v>#DIV/0!</v>
      </c>
      <c r="AO30" t="e">
        <f t="shared" si="17"/>
        <v>#DIV/0!</v>
      </c>
      <c r="AQ30" s="26">
        <v>24</v>
      </c>
      <c r="AR30" s="35">
        <v>100220</v>
      </c>
      <c r="AS30" s="35">
        <v>892992000</v>
      </c>
      <c r="AT30" s="16">
        <v>232177920</v>
      </c>
      <c r="AU30" s="280">
        <v>0</v>
      </c>
      <c r="AV30" s="35">
        <v>56650000</v>
      </c>
      <c r="AW30" s="35">
        <v>288827920</v>
      </c>
      <c r="AX30" s="35">
        <v>77175000</v>
      </c>
      <c r="AY30" s="35">
        <v>263293974.48387098</v>
      </c>
      <c r="AZ30" s="35">
        <v>25533945.516129047</v>
      </c>
      <c r="BA30" s="13">
        <v>8.8405392096889551E-2</v>
      </c>
      <c r="BC30" s="27"/>
      <c r="CI30" s="12">
        <f>CH30</f>
        <v>0</v>
      </c>
      <c r="CP30" s="26" t="s">
        <v>164</v>
      </c>
      <c r="CQ30" s="16">
        <v>394115</v>
      </c>
      <c r="CR30" s="16">
        <v>3479320000</v>
      </c>
      <c r="CS30" s="16">
        <v>904623200</v>
      </c>
      <c r="DL30" s="286" t="s">
        <v>163</v>
      </c>
      <c r="DM30" s="83">
        <v>1226</v>
      </c>
      <c r="DN30" s="258">
        <v>5412800</v>
      </c>
      <c r="DO30" s="258">
        <v>4775110</v>
      </c>
      <c r="DP30" s="258">
        <v>637690</v>
      </c>
      <c r="DQ30" s="84">
        <v>0.11781148389003843</v>
      </c>
      <c r="DR30" s="172">
        <v>11318.107667210441</v>
      </c>
      <c r="DS30" s="27">
        <f t="shared" si="45"/>
        <v>11.138613861386139</v>
      </c>
      <c r="DT30" s="27">
        <f t="shared" si="46"/>
        <v>10.797733217088055</v>
      </c>
      <c r="DU30" s="27">
        <f t="shared" si="47"/>
        <v>3.0106289308176102</v>
      </c>
      <c r="DV30" s="13">
        <f t="shared" si="48"/>
        <v>0.11781148389003843</v>
      </c>
      <c r="DY30" s="35"/>
      <c r="EC30" s="26" t="s">
        <v>36</v>
      </c>
      <c r="ED30" s="199">
        <v>311710000</v>
      </c>
      <c r="EE30" s="16">
        <v>360450</v>
      </c>
      <c r="EF30" s="16">
        <v>3137056310</v>
      </c>
      <c r="EG30" s="16">
        <v>808298583.20000005</v>
      </c>
      <c r="EH30" s="16">
        <v>1379571.4285714286</v>
      </c>
      <c r="EI30" s="16">
        <v>203209285.71428573</v>
      </c>
      <c r="EJ30" s="12">
        <v>1025142440.3428571</v>
      </c>
      <c r="EK30" s="12">
        <v>686849027.85714293</v>
      </c>
      <c r="EL30" s="12">
        <v>336470969.01428574</v>
      </c>
      <c r="EM30" s="12">
        <v>1023319996.8714287</v>
      </c>
      <c r="EN30" s="12">
        <v>1822443.4714286027</v>
      </c>
      <c r="EO30" s="13">
        <v>1.777746583995771E-3</v>
      </c>
      <c r="EP30" s="35">
        <v>8703.1663476210288</v>
      </c>
      <c r="EQ30" s="35"/>
      <c r="FK30" s="35"/>
      <c r="FS30" s="11">
        <v>24</v>
      </c>
      <c r="FT30" s="16">
        <v>102811</v>
      </c>
      <c r="FU30" s="35">
        <v>915496000</v>
      </c>
      <c r="FV30" s="16">
        <v>237881280</v>
      </c>
      <c r="FW30" s="35">
        <v>1200000</v>
      </c>
      <c r="FX30" s="35">
        <v>58310000</v>
      </c>
      <c r="FY30" s="12">
        <v>297391280</v>
      </c>
      <c r="FZ30" s="12">
        <v>186909039</v>
      </c>
      <c r="GA30" s="12">
        <v>86474935.483870968</v>
      </c>
      <c r="GB30" s="12">
        <v>273383974.48387098</v>
      </c>
      <c r="GC30" s="12">
        <v>24007305.516129047</v>
      </c>
      <c r="GD30" s="13">
        <v>8.072632632715071E-2</v>
      </c>
      <c r="GE30" s="35">
        <v>8904.650280611997</v>
      </c>
      <c r="GG30" s="26" t="s">
        <v>165</v>
      </c>
      <c r="GH30" s="16">
        <v>385641</v>
      </c>
      <c r="GI30" s="16">
        <v>3387799402</v>
      </c>
      <c r="GJ30" s="16">
        <v>872496138.44000006</v>
      </c>
      <c r="GK30" s="16">
        <v>2749628.5714285714</v>
      </c>
      <c r="GL30" s="16">
        <v>222221428.57142854</v>
      </c>
      <c r="GM30" s="12">
        <v>1105349338.4399998</v>
      </c>
      <c r="GN30" s="12">
        <v>737540120</v>
      </c>
      <c r="GO30" s="12">
        <v>366366087.9308756</v>
      </c>
      <c r="GP30" s="12">
        <v>1103906207.9308755</v>
      </c>
      <c r="GQ30" s="12">
        <v>1443130.5091243873</v>
      </c>
      <c r="GR30" s="13">
        <v>1.3055877078291867E-3</v>
      </c>
      <c r="GS30" s="35">
        <v>8784.8527568386144</v>
      </c>
      <c r="GT30" s="35">
        <v>355</v>
      </c>
      <c r="GU30" s="1">
        <f>GJ30/GT30</f>
        <v>2457735.6012394368</v>
      </c>
      <c r="GV30" s="1">
        <f t="shared" si="14"/>
        <v>8784.8527568386144</v>
      </c>
    </row>
    <row r="31" spans="2:205">
      <c r="B31" s="26">
        <v>25</v>
      </c>
      <c r="C31" s="12">
        <v>93845</v>
      </c>
      <c r="D31" s="312">
        <v>263</v>
      </c>
      <c r="E31" s="16">
        <v>821653000</v>
      </c>
      <c r="F31" s="35">
        <v>213629780</v>
      </c>
      <c r="G31" s="16">
        <v>0</v>
      </c>
      <c r="H31" s="16">
        <v>41475000</v>
      </c>
      <c r="I31" s="12">
        <v>255254780</v>
      </c>
      <c r="J31" s="12">
        <v>161900243</v>
      </c>
      <c r="K31" s="12">
        <v>80820045</v>
      </c>
      <c r="L31" s="12">
        <v>242720288</v>
      </c>
      <c r="M31" s="12">
        <v>12534492</v>
      </c>
      <c r="N31" s="13">
        <v>4.9105807146882813E-2</v>
      </c>
      <c r="O31" s="35">
        <v>8755.4265011455063</v>
      </c>
      <c r="P31" s="35">
        <v>325</v>
      </c>
      <c r="Q31" s="35">
        <f t="shared" si="19"/>
        <v>2528163.076923077</v>
      </c>
      <c r="R31" s="35">
        <f t="shared" si="15"/>
        <v>288.75384615384615</v>
      </c>
      <c r="V31" s="26" t="s">
        <v>166</v>
      </c>
      <c r="W31" s="16">
        <v>338204</v>
      </c>
      <c r="X31" s="16">
        <v>2940643380</v>
      </c>
      <c r="Y31" s="16">
        <v>756734618.60000002</v>
      </c>
      <c r="Z31" s="16">
        <v>0</v>
      </c>
      <c r="AA31" s="16">
        <v>196782857.14285713</v>
      </c>
      <c r="AB31" s="12">
        <v>963656761.45714283</v>
      </c>
      <c r="AC31" s="12">
        <v>653709838.57142866</v>
      </c>
      <c r="AD31" s="12">
        <v>330087351.45428574</v>
      </c>
      <c r="AE31" s="12">
        <v>983797190.0257144</v>
      </c>
      <c r="AF31" s="12">
        <v>-20140428.568571493</v>
      </c>
      <c r="AG31" s="13">
        <v>-2.0900002339128722E-2</v>
      </c>
      <c r="AH31" s="35">
        <v>8694.8805454695976</v>
      </c>
      <c r="AI31" s="35">
        <v>289</v>
      </c>
      <c r="AJ31" s="35">
        <f>Y31/AI31</f>
        <v>2618458.8878892735</v>
      </c>
      <c r="AK31" s="35">
        <f>X31/W31</f>
        <v>8694.8805454695976</v>
      </c>
      <c r="AQ31" s="26">
        <v>25</v>
      </c>
      <c r="AR31" s="35">
        <v>93845</v>
      </c>
      <c r="AS31" s="35">
        <v>821653000</v>
      </c>
      <c r="AT31" s="16">
        <v>213629780</v>
      </c>
      <c r="AU31" s="280">
        <v>0</v>
      </c>
      <c r="AV31" s="35">
        <v>41475000</v>
      </c>
      <c r="AW31" s="35">
        <v>255254780</v>
      </c>
      <c r="AX31" s="35">
        <v>77035000</v>
      </c>
      <c r="AY31" s="35">
        <v>242720288</v>
      </c>
      <c r="AZ31" s="35">
        <v>12534492</v>
      </c>
      <c r="BA31" s="13">
        <v>4.9105807146882813E-2</v>
      </c>
      <c r="BC31" s="27"/>
      <c r="CP31" s="26" t="s">
        <v>165</v>
      </c>
      <c r="CQ31" s="16">
        <v>376557</v>
      </c>
      <c r="CR31" s="16">
        <v>3315137400</v>
      </c>
      <c r="CS31" s="16">
        <v>861622718</v>
      </c>
      <c r="DL31" s="286" t="s">
        <v>164</v>
      </c>
      <c r="DM31" s="83">
        <v>1362</v>
      </c>
      <c r="DN31" s="258">
        <v>6175000</v>
      </c>
      <c r="DO31" s="258">
        <v>5259500</v>
      </c>
      <c r="DP31" s="258">
        <v>915500</v>
      </c>
      <c r="DQ31" s="84">
        <v>0.14825910931174088</v>
      </c>
      <c r="DR31" s="172">
        <v>11563.876651982378</v>
      </c>
      <c r="DS31" s="27">
        <f t="shared" si="45"/>
        <v>0.11092985318107668</v>
      </c>
      <c r="DT31" s="27">
        <f t="shared" si="46"/>
        <v>0.14081436594738397</v>
      </c>
      <c r="DU31" s="27">
        <f t="shared" si="47"/>
        <v>0.43565055120826734</v>
      </c>
      <c r="DV31" s="13">
        <f t="shared" si="48"/>
        <v>0.14825910931174088</v>
      </c>
      <c r="DZ31" t="e">
        <f>DO30/DY30</f>
        <v>#DIV/0!</v>
      </c>
      <c r="EA31" s="159" t="e">
        <f>DN30/DY30</f>
        <v>#DIV/0!</v>
      </c>
      <c r="EC31" s="26" t="s">
        <v>166</v>
      </c>
      <c r="ED31">
        <v>299740000</v>
      </c>
      <c r="EE31" s="16">
        <v>338204</v>
      </c>
      <c r="EF31" s="16">
        <v>2940643380</v>
      </c>
      <c r="EG31" s="16">
        <v>756734618.60000002</v>
      </c>
      <c r="EH31" s="16">
        <v>0</v>
      </c>
      <c r="EI31" s="16">
        <v>196782857.14285713</v>
      </c>
      <c r="EJ31" s="12">
        <v>963656761.45714283</v>
      </c>
      <c r="EK31" s="12">
        <v>653709838.57142866</v>
      </c>
      <c r="EL31" s="12">
        <v>330087351.45428574</v>
      </c>
      <c r="EM31" s="12">
        <v>983797190.0257144</v>
      </c>
      <c r="EN31" s="12">
        <v>-20140428.568571493</v>
      </c>
      <c r="EO31" s="13">
        <v>-2.0900002339128722E-2</v>
      </c>
      <c r="EP31" s="35">
        <v>8694.8805454695976</v>
      </c>
      <c r="ER31" t="e">
        <f>EF30/EQ30</f>
        <v>#DIV/0!</v>
      </c>
      <c r="ES31" s="159" t="e">
        <f>EE30/EQ30</f>
        <v>#DIV/0!</v>
      </c>
      <c r="FL31" t="e">
        <f>EY30/FK30</f>
        <v>#DIV/0!</v>
      </c>
      <c r="FM31" s="159" t="e">
        <f>EX30/FK30</f>
        <v>#DIV/0!</v>
      </c>
      <c r="FN31" s="162"/>
      <c r="FS31" s="11">
        <v>25</v>
      </c>
      <c r="FT31" s="16">
        <v>96409</v>
      </c>
      <c r="FU31" s="35">
        <v>843788000</v>
      </c>
      <c r="FV31" s="16">
        <v>218775400</v>
      </c>
      <c r="FW31" s="35">
        <v>1625000</v>
      </c>
      <c r="FX31" s="35">
        <v>43245000</v>
      </c>
      <c r="FY31" s="12">
        <v>263795400</v>
      </c>
      <c r="FZ31" s="12">
        <v>167689243</v>
      </c>
      <c r="GA31" s="12">
        <v>87326545</v>
      </c>
      <c r="GB31" s="12">
        <v>255015788</v>
      </c>
      <c r="GC31" s="12">
        <v>8779612</v>
      </c>
      <c r="GD31" s="13">
        <v>3.3281899532743936E-2</v>
      </c>
      <c r="GE31" s="35">
        <v>8752.1704405190394</v>
      </c>
      <c r="GG31" s="26" t="s">
        <v>36</v>
      </c>
      <c r="GH31" s="16">
        <v>360450</v>
      </c>
      <c r="GI31" s="16">
        <v>3137056310</v>
      </c>
      <c r="GJ31" s="16">
        <v>808298583.20000005</v>
      </c>
      <c r="GK31" s="16">
        <v>1379571.4285714286</v>
      </c>
      <c r="GL31" s="16">
        <v>203209285.71428573</v>
      </c>
      <c r="GM31" s="12">
        <v>1025142440.3428571</v>
      </c>
      <c r="GN31" s="12">
        <v>686849027.85714293</v>
      </c>
      <c r="GO31" s="12">
        <v>336470969.01428574</v>
      </c>
      <c r="GP31" s="12">
        <v>1023319996.8714287</v>
      </c>
      <c r="GQ31" s="12">
        <v>1822443.4714286027</v>
      </c>
      <c r="GR31" s="13">
        <v>1.777746583995771E-3</v>
      </c>
      <c r="GS31" s="35">
        <v>8703.1663476210288</v>
      </c>
      <c r="GT31" s="35">
        <v>303</v>
      </c>
      <c r="GU31" s="1">
        <f>GJ31/GT31</f>
        <v>2667652.0897689769</v>
      </c>
      <c r="GV31" s="1">
        <f t="shared" si="14"/>
        <v>8703.1663476210288</v>
      </c>
    </row>
    <row r="32" spans="2:205">
      <c r="B32" s="26">
        <v>26</v>
      </c>
      <c r="C32" s="12">
        <v>92672</v>
      </c>
      <c r="D32" s="312">
        <v>251</v>
      </c>
      <c r="E32" s="16">
        <v>811884000</v>
      </c>
      <c r="F32" s="35">
        <v>211089840</v>
      </c>
      <c r="G32" s="16">
        <v>0</v>
      </c>
      <c r="H32" s="16">
        <v>43235000</v>
      </c>
      <c r="I32" s="12">
        <v>254374840</v>
      </c>
      <c r="J32" s="12">
        <v>201503160</v>
      </c>
      <c r="K32" s="12">
        <v>79045045</v>
      </c>
      <c r="L32" s="12">
        <v>280548205</v>
      </c>
      <c r="M32" s="12">
        <v>-26173365</v>
      </c>
      <c r="N32" s="13">
        <v>-0.10289290009971112</v>
      </c>
      <c r="O32" s="35">
        <v>8760.8339088397788</v>
      </c>
      <c r="P32" s="35">
        <v>315</v>
      </c>
      <c r="Q32" s="35">
        <f t="shared" si="19"/>
        <v>2577409.5238095238</v>
      </c>
      <c r="R32" s="35">
        <f t="shared" si="15"/>
        <v>294.19682539682537</v>
      </c>
      <c r="V32" s="11">
        <v>2026</v>
      </c>
      <c r="W32" s="16">
        <v>877075</v>
      </c>
      <c r="X32" s="16">
        <v>7609486879</v>
      </c>
      <c r="Y32" s="16">
        <v>1963720596.0999999</v>
      </c>
      <c r="Z32" s="16">
        <v>0</v>
      </c>
      <c r="AA32" s="16">
        <v>549272142.85714281</v>
      </c>
      <c r="AB32" s="12">
        <v>2532803453.242857</v>
      </c>
      <c r="AC32" s="12">
        <v>1623943451.4285717</v>
      </c>
      <c r="AD32" s="12">
        <v>960725567.85087562</v>
      </c>
      <c r="AE32" s="12">
        <v>2584669019.2794466</v>
      </c>
      <c r="AF32" s="12">
        <v>-51865566.036589943</v>
      </c>
      <c r="AG32" s="13">
        <v>-2.0477532897463555E-2</v>
      </c>
      <c r="AH32" s="35">
        <v>8675.9819616338391</v>
      </c>
      <c r="AI32" s="35"/>
      <c r="AJ32" s="35"/>
      <c r="AK32" s="35"/>
      <c r="AL32" s="35"/>
      <c r="AQ32" s="26">
        <v>26</v>
      </c>
      <c r="AR32" s="35">
        <v>92672</v>
      </c>
      <c r="AS32" s="35">
        <v>811884000</v>
      </c>
      <c r="AT32" s="16">
        <v>211089840</v>
      </c>
      <c r="AU32" s="280">
        <v>0</v>
      </c>
      <c r="AV32" s="35">
        <v>43235000</v>
      </c>
      <c r="AW32" s="35">
        <v>254374840</v>
      </c>
      <c r="AX32" s="35">
        <v>74760000</v>
      </c>
      <c r="AY32" s="35">
        <v>280548205</v>
      </c>
      <c r="AZ32" s="35">
        <v>-26173365</v>
      </c>
      <c r="BA32" s="13">
        <v>-0.10289290009971112</v>
      </c>
      <c r="BC32" s="27"/>
      <c r="CP32" s="26" t="s">
        <v>36</v>
      </c>
      <c r="CQ32" s="16">
        <v>355469</v>
      </c>
      <c r="CR32" s="16">
        <v>3094723300</v>
      </c>
      <c r="CS32" s="16">
        <v>803254871</v>
      </c>
      <c r="DL32" s="278" t="s">
        <v>165</v>
      </c>
      <c r="DM32" s="16">
        <v>1684</v>
      </c>
      <c r="DN32" s="12">
        <v>8043800</v>
      </c>
      <c r="DO32" s="12">
        <v>7799640</v>
      </c>
      <c r="DP32" s="12">
        <v>244160</v>
      </c>
      <c r="DQ32" s="13">
        <v>3.0353812874512047E-2</v>
      </c>
      <c r="DR32" s="35">
        <v>10627.0783847981</v>
      </c>
      <c r="DS32" s="27"/>
      <c r="DT32" s="27"/>
      <c r="DU32" s="27"/>
      <c r="DV32" s="13"/>
      <c r="EC32" s="11">
        <v>2026</v>
      </c>
      <c r="ED32">
        <v>874300000</v>
      </c>
      <c r="EE32" s="16">
        <v>877075</v>
      </c>
      <c r="EF32" s="16">
        <v>7609486879</v>
      </c>
      <c r="EG32" s="16">
        <v>1963720596.0999999</v>
      </c>
      <c r="EH32" s="16">
        <v>0</v>
      </c>
      <c r="EI32" s="16">
        <v>549272142.85714281</v>
      </c>
      <c r="EJ32" s="12">
        <v>2532803453.242857</v>
      </c>
      <c r="EK32" s="12">
        <v>1623943451.4285717</v>
      </c>
      <c r="EL32" s="12">
        <v>960725567.85087562</v>
      </c>
      <c r="EM32" s="12">
        <v>2584669019.2794466</v>
      </c>
      <c r="EN32" s="12">
        <v>-51865566.036589943</v>
      </c>
      <c r="EO32" s="13">
        <v>-2.0477532897463555E-2</v>
      </c>
      <c r="EP32" s="35">
        <v>8675.9819616338391</v>
      </c>
      <c r="FS32" s="11">
        <v>26</v>
      </c>
      <c r="FT32" s="16">
        <v>94848</v>
      </c>
      <c r="FU32" s="35">
        <v>831173700</v>
      </c>
      <c r="FV32" s="16">
        <v>215412760</v>
      </c>
      <c r="FW32" s="35">
        <v>1389285.7142857143</v>
      </c>
      <c r="FX32" s="35">
        <v>44701428.571428575</v>
      </c>
      <c r="FY32" s="12">
        <v>261553474.2857143</v>
      </c>
      <c r="FZ32" s="12">
        <v>206418762.85714287</v>
      </c>
      <c r="GA32" s="12">
        <v>84245545</v>
      </c>
      <c r="GB32" s="12">
        <v>290664307.85714287</v>
      </c>
      <c r="GC32" s="12">
        <v>-29110833.571428571</v>
      </c>
      <c r="GD32" s="13">
        <v>-0.11129973956923488</v>
      </c>
      <c r="GE32" s="35">
        <v>8763.2179908906874</v>
      </c>
      <c r="GG32" s="26" t="s">
        <v>166</v>
      </c>
      <c r="GH32" s="16">
        <v>338204</v>
      </c>
      <c r="GI32" s="16">
        <v>2940643380</v>
      </c>
      <c r="GJ32" s="16">
        <v>756734618.60000002</v>
      </c>
      <c r="GK32" s="16">
        <v>0</v>
      </c>
      <c r="GL32" s="16">
        <v>196782857.14285713</v>
      </c>
      <c r="GM32" s="12">
        <v>963656761.45714283</v>
      </c>
      <c r="GN32" s="12">
        <v>653709838.57142866</v>
      </c>
      <c r="GO32" s="12">
        <v>330087351.45428574</v>
      </c>
      <c r="GP32" s="12">
        <v>983797190.0257144</v>
      </c>
      <c r="GQ32" s="12">
        <v>-20140428.568571493</v>
      </c>
      <c r="GR32" s="13">
        <v>-2.0900002339128722E-2</v>
      </c>
      <c r="GS32" s="35">
        <v>8694.8805454695976</v>
      </c>
      <c r="GT32" s="198"/>
      <c r="GU32" s="198">
        <f>GJ31/GT31</f>
        <v>2667652.0897689769</v>
      </c>
      <c r="GV32" s="198">
        <f>GI31/GT31</f>
        <v>10353321.155115511</v>
      </c>
      <c r="GW32" s="162"/>
    </row>
    <row r="33" spans="2:205">
      <c r="B33" s="26">
        <v>27</v>
      </c>
      <c r="C33" s="12">
        <v>88693</v>
      </c>
      <c r="D33" s="312">
        <v>246</v>
      </c>
      <c r="E33" s="16">
        <v>777834000</v>
      </c>
      <c r="F33" s="35">
        <v>202236840</v>
      </c>
      <c r="G33" s="16">
        <v>0</v>
      </c>
      <c r="H33" s="16">
        <v>46475000</v>
      </c>
      <c r="I33" s="12">
        <v>248786840</v>
      </c>
      <c r="J33" s="12">
        <v>154910710</v>
      </c>
      <c r="K33" s="12">
        <v>79055044.906666666</v>
      </c>
      <c r="L33" s="12">
        <v>233965754.90666667</v>
      </c>
      <c r="M33" s="12">
        <v>14821085.093333332</v>
      </c>
      <c r="N33" s="13">
        <v>5.9573428776752549E-2</v>
      </c>
      <c r="O33" s="35">
        <v>8769.9592978025321</v>
      </c>
      <c r="P33" s="35">
        <v>310</v>
      </c>
      <c r="Q33" s="35">
        <f t="shared" si="19"/>
        <v>2509141.935483871</v>
      </c>
      <c r="R33" s="35">
        <f t="shared" si="15"/>
        <v>286.10645161290324</v>
      </c>
      <c r="V33" s="336" t="s">
        <v>21</v>
      </c>
      <c r="W33" s="288">
        <v>295053</v>
      </c>
      <c r="X33" s="288">
        <v>2553409379</v>
      </c>
      <c r="Y33" s="288">
        <v>658464063.89999998</v>
      </c>
      <c r="Z33" s="288">
        <v>0</v>
      </c>
      <c r="AA33" s="288">
        <v>189658571.42857143</v>
      </c>
      <c r="AB33" s="121">
        <v>855908349.61428559</v>
      </c>
      <c r="AC33" s="121">
        <v>574371877.14285719</v>
      </c>
      <c r="AD33" s="121">
        <v>326655922.8828572</v>
      </c>
      <c r="AE33" s="121">
        <v>901027800.0257144</v>
      </c>
      <c r="AF33" s="121">
        <v>-45119450.411428623</v>
      </c>
      <c r="AG33" s="289">
        <v>-5.2715282461915071E-2</v>
      </c>
      <c r="AH33" s="39">
        <v>8654.070214503834</v>
      </c>
      <c r="AI33" s="35">
        <v>306</v>
      </c>
      <c r="AJ33" s="35">
        <f>Y33/AI33</f>
        <v>2151843.3460784312</v>
      </c>
      <c r="AK33" s="35">
        <f>X33/W33</f>
        <v>8654.070214503834</v>
      </c>
      <c r="AQ33" s="26">
        <v>27</v>
      </c>
      <c r="AR33" s="35">
        <v>88693</v>
      </c>
      <c r="AS33" s="35">
        <v>777834000</v>
      </c>
      <c r="AT33" s="16">
        <v>202236840</v>
      </c>
      <c r="AU33" s="280">
        <v>0</v>
      </c>
      <c r="AV33" s="35">
        <v>46475000</v>
      </c>
      <c r="AW33" s="35">
        <v>248786840</v>
      </c>
      <c r="AX33" s="35">
        <v>73220000</v>
      </c>
      <c r="AY33" s="35">
        <v>233965754.90666667</v>
      </c>
      <c r="AZ33" s="35">
        <v>14821085.093333332</v>
      </c>
      <c r="BA33" s="13">
        <v>5.9573428776752549E-2</v>
      </c>
      <c r="CP33" s="26" t="s">
        <v>166</v>
      </c>
      <c r="CQ33" s="16">
        <v>334227</v>
      </c>
      <c r="CR33" s="16">
        <v>2902317380</v>
      </c>
      <c r="CS33" s="16">
        <v>752458288.60000002</v>
      </c>
      <c r="DL33" s="278" t="s">
        <v>36</v>
      </c>
      <c r="DM33" s="16">
        <v>557</v>
      </c>
      <c r="DN33" s="12">
        <v>3037000</v>
      </c>
      <c r="DO33" s="12">
        <v>4095150</v>
      </c>
      <c r="DP33" s="12">
        <v>-1058150</v>
      </c>
      <c r="DQ33" s="13">
        <v>-0.34841949292064539</v>
      </c>
      <c r="DR33" s="35">
        <v>10843.806104129264</v>
      </c>
      <c r="DS33" s="27"/>
      <c r="DT33" s="27"/>
      <c r="DU33" s="27"/>
      <c r="DV33" s="13"/>
      <c r="EC33" s="26" t="s">
        <v>21</v>
      </c>
      <c r="ED33">
        <v>297115000</v>
      </c>
      <c r="EE33" s="16">
        <v>295053</v>
      </c>
      <c r="EF33" s="16">
        <v>2553409379</v>
      </c>
      <c r="EG33" s="16">
        <v>658464063.89999998</v>
      </c>
      <c r="EH33" s="16">
        <v>0</v>
      </c>
      <c r="EI33" s="16">
        <v>189658571.42857143</v>
      </c>
      <c r="EJ33" s="12">
        <v>855908349.61428559</v>
      </c>
      <c r="EK33" s="12">
        <v>574371877.14285719</v>
      </c>
      <c r="EL33" s="12">
        <v>326655922.8828572</v>
      </c>
      <c r="EM33" s="12">
        <v>901027800.0257144</v>
      </c>
      <c r="EN33" s="12">
        <v>-45119450.411428623</v>
      </c>
      <c r="EO33" s="13">
        <v>-5.2715282461915071E-2</v>
      </c>
      <c r="EP33" s="35">
        <v>8654.070214503834</v>
      </c>
      <c r="FS33" s="11">
        <v>27</v>
      </c>
      <c r="FT33" s="16">
        <v>90214</v>
      </c>
      <c r="FU33" s="35">
        <v>791817000</v>
      </c>
      <c r="FV33" s="16">
        <v>205353240</v>
      </c>
      <c r="FW33" s="35">
        <v>760714.28571428568</v>
      </c>
      <c r="FX33" s="35">
        <v>48623571.428571425</v>
      </c>
      <c r="FY33" s="12">
        <v>254812525.7142857</v>
      </c>
      <c r="FZ33" s="12">
        <v>157617327.14285713</v>
      </c>
      <c r="GA33" s="12">
        <v>82540044.906666666</v>
      </c>
      <c r="GB33" s="12">
        <v>240157372.0495238</v>
      </c>
      <c r="GC33" s="12">
        <v>14655153.664761905</v>
      </c>
      <c r="GD33" s="13">
        <v>5.751347436190922E-2</v>
      </c>
      <c r="GE33" s="35">
        <v>8777.0966812246443</v>
      </c>
      <c r="GG33" s="11">
        <v>2026</v>
      </c>
      <c r="GH33" s="16">
        <v>877075</v>
      </c>
      <c r="GI33" s="16">
        <v>7609486879</v>
      </c>
      <c r="GJ33" s="16">
        <v>1963720596.0999999</v>
      </c>
      <c r="GK33" s="16">
        <v>0</v>
      </c>
      <c r="GL33" s="16">
        <v>549272142.85714281</v>
      </c>
      <c r="GM33" s="12">
        <v>2532803453.242857</v>
      </c>
      <c r="GN33" s="12">
        <v>1623943451.4285717</v>
      </c>
      <c r="GO33" s="12">
        <v>960725567.85087562</v>
      </c>
      <c r="GP33" s="12">
        <v>2584669019.2794466</v>
      </c>
      <c r="GQ33" s="12">
        <v>-51865566.036589943</v>
      </c>
      <c r="GR33" s="13">
        <v>-2.0477532897463555E-2</v>
      </c>
      <c r="GS33" s="35">
        <v>8675.9819616338391</v>
      </c>
      <c r="GW33" s="16"/>
    </row>
    <row r="34" spans="2:205" ht="15" customHeight="1">
      <c r="B34" s="26">
        <v>28</v>
      </c>
      <c r="C34" s="12">
        <v>99189</v>
      </c>
      <c r="D34" s="312">
        <v>247</v>
      </c>
      <c r="E34" s="16">
        <v>871522000</v>
      </c>
      <c r="F34" s="35">
        <v>226595720</v>
      </c>
      <c r="G34" s="16">
        <v>0</v>
      </c>
      <c r="H34" s="16">
        <v>45975000</v>
      </c>
      <c r="I34" s="12">
        <v>272620720</v>
      </c>
      <c r="J34" s="12">
        <v>177961495</v>
      </c>
      <c r="K34" s="12">
        <v>81535045</v>
      </c>
      <c r="L34" s="12">
        <v>259496540</v>
      </c>
      <c r="M34" s="12">
        <v>13124180</v>
      </c>
      <c r="N34" s="13">
        <v>4.814080162358899E-2</v>
      </c>
      <c r="O34" s="35">
        <v>8786.4783393319831</v>
      </c>
      <c r="P34" s="35">
        <v>312</v>
      </c>
      <c r="Q34" s="35">
        <f t="shared" si="19"/>
        <v>2793339.7435897435</v>
      </c>
      <c r="R34" s="35">
        <f t="shared" si="15"/>
        <v>317.91346153846155</v>
      </c>
      <c r="V34" s="265" t="s">
        <v>158</v>
      </c>
      <c r="W34" s="79">
        <v>217880</v>
      </c>
      <c r="X34" s="79">
        <v>1886144900</v>
      </c>
      <c r="Y34" s="79">
        <v>484484290.19999999</v>
      </c>
      <c r="Z34" s="79">
        <v>0</v>
      </c>
      <c r="AA34" s="79">
        <v>155108571.42857143</v>
      </c>
      <c r="AB34" s="264">
        <v>643317861.62857139</v>
      </c>
      <c r="AC34" s="264">
        <v>394355142.14285713</v>
      </c>
      <c r="AD34" s="264">
        <v>261636637.16857141</v>
      </c>
      <c r="AE34" s="264">
        <v>655991779.31142855</v>
      </c>
      <c r="AF34" s="264">
        <v>-12673917.682857102</v>
      </c>
      <c r="AG34" s="80">
        <v>-1.9700863972240471E-2</v>
      </c>
      <c r="AH34" s="134">
        <v>8656.8060400220311</v>
      </c>
      <c r="AI34" s="344">
        <v>247</v>
      </c>
      <c r="AJ34" s="35">
        <f>Y34/AI34</f>
        <v>1961474.8591093116</v>
      </c>
      <c r="AK34" s="35">
        <f>X34/W34</f>
        <v>8656.8060400220311</v>
      </c>
      <c r="AQ34" s="26">
        <v>28</v>
      </c>
      <c r="AR34" s="35">
        <v>99189</v>
      </c>
      <c r="AS34" s="35">
        <v>871522000</v>
      </c>
      <c r="AT34" s="16">
        <v>226595720</v>
      </c>
      <c r="AU34" s="280">
        <v>0</v>
      </c>
      <c r="AV34" s="35">
        <v>45975000</v>
      </c>
      <c r="AW34" s="35">
        <v>272620720</v>
      </c>
      <c r="AX34" s="35">
        <v>74585000</v>
      </c>
      <c r="AY34" s="35">
        <v>259496540</v>
      </c>
      <c r="AZ34" s="35">
        <v>13124180</v>
      </c>
      <c r="BA34" s="13">
        <v>4.814080162358899E-2</v>
      </c>
      <c r="BC34" s="16"/>
      <c r="BD34" s="16"/>
      <c r="BE34" s="16"/>
      <c r="BF34" s="16"/>
      <c r="BG34" s="16"/>
      <c r="BH34" s="16"/>
      <c r="BI34" s="16"/>
      <c r="CP34" s="11">
        <v>2026</v>
      </c>
      <c r="CQ34" s="16">
        <v>874389</v>
      </c>
      <c r="CR34" s="16">
        <v>7583521879</v>
      </c>
      <c r="CS34" s="16">
        <v>1961702196.0999999</v>
      </c>
      <c r="DL34" s="278" t="s">
        <v>166</v>
      </c>
      <c r="DM34" s="16">
        <v>388</v>
      </c>
      <c r="DN34" s="12">
        <v>1962500</v>
      </c>
      <c r="DO34" s="12">
        <v>2948203.3333333335</v>
      </c>
      <c r="DP34" s="12">
        <v>-985703.33333333349</v>
      </c>
      <c r="DQ34" s="13">
        <v>-0.50226921443736738</v>
      </c>
      <c r="DR34" s="35">
        <v>10631.443298969072</v>
      </c>
      <c r="DS34" s="27">
        <f t="shared" ref="DS34" si="49">(DM34-DM33)/DM33</f>
        <v>-0.30341113105924594</v>
      </c>
      <c r="DT34" s="27">
        <f t="shared" ref="DT34" si="50">(DN34-DN33)/DN33</f>
        <v>-0.35380309515969705</v>
      </c>
      <c r="DU34" s="27">
        <f t="shared" ref="DU34" si="51">(DP34-DP33)/DP33</f>
        <v>-6.8465403455716597E-2</v>
      </c>
      <c r="DV34" s="13">
        <f t="shared" ref="DV34" si="52">DQ34</f>
        <v>-0.50226921443736738</v>
      </c>
      <c r="EC34" s="26" t="s">
        <v>158</v>
      </c>
      <c r="ED34">
        <v>238910000</v>
      </c>
      <c r="EE34" s="16">
        <v>217880</v>
      </c>
      <c r="EF34" s="16">
        <v>1886144900</v>
      </c>
      <c r="EG34" s="16">
        <v>484484290.19999999</v>
      </c>
      <c r="EH34" s="16">
        <v>0</v>
      </c>
      <c r="EI34" s="16">
        <v>155108571.42857143</v>
      </c>
      <c r="EJ34" s="12">
        <v>643317861.62857139</v>
      </c>
      <c r="EK34" s="12">
        <v>394355142.14285713</v>
      </c>
      <c r="EL34" s="12">
        <v>261636637.16857141</v>
      </c>
      <c r="EM34" s="12">
        <v>655991779.31142855</v>
      </c>
      <c r="EN34" s="12">
        <v>-12673917.682857102</v>
      </c>
      <c r="EO34" s="13">
        <v>-1.9700863972240471E-2</v>
      </c>
      <c r="EP34" s="35">
        <v>8656.8060400220311</v>
      </c>
      <c r="FS34" s="11">
        <v>28</v>
      </c>
      <c r="FT34" s="16">
        <v>100943</v>
      </c>
      <c r="FU34" s="35">
        <v>885054000</v>
      </c>
      <c r="FV34" s="16">
        <v>229525700</v>
      </c>
      <c r="FW34" s="35">
        <v>850000</v>
      </c>
      <c r="FX34" s="35">
        <v>47700000</v>
      </c>
      <c r="FY34" s="12">
        <v>278125700</v>
      </c>
      <c r="FZ34" s="12">
        <v>180462305</v>
      </c>
      <c r="GA34" s="12">
        <v>84720045</v>
      </c>
      <c r="GB34" s="12">
        <v>265182350</v>
      </c>
      <c r="GC34" s="12">
        <v>12943350</v>
      </c>
      <c r="GD34" s="13">
        <v>4.6537770511678712E-2</v>
      </c>
      <c r="GE34" s="35">
        <v>8767.8590887926857</v>
      </c>
      <c r="GG34" s="26" t="s">
        <v>21</v>
      </c>
      <c r="GH34" s="16">
        <v>295053</v>
      </c>
      <c r="GI34" s="16">
        <v>2553409379</v>
      </c>
      <c r="GJ34" s="16">
        <v>658464063.89999998</v>
      </c>
      <c r="GK34" s="16">
        <v>0</v>
      </c>
      <c r="GL34" s="16">
        <v>189658571.42857143</v>
      </c>
      <c r="GM34" s="12">
        <v>855908349.61428559</v>
      </c>
      <c r="GN34" s="12">
        <v>574371877.14285719</v>
      </c>
      <c r="GO34" s="12">
        <v>326655922.8828572</v>
      </c>
      <c r="GP34" s="12">
        <v>901027800.0257144</v>
      </c>
      <c r="GQ34" s="12">
        <v>-45119450.411428623</v>
      </c>
      <c r="GR34" s="13">
        <v>-5.2715282461915071E-2</v>
      </c>
      <c r="GS34" s="35">
        <v>8654.070214503834</v>
      </c>
    </row>
    <row r="35" spans="2:205">
      <c r="B35" s="26">
        <v>29</v>
      </c>
      <c r="C35" s="12">
        <v>99080</v>
      </c>
      <c r="D35" s="312">
        <v>261</v>
      </c>
      <c r="E35" s="16">
        <v>870862000</v>
      </c>
      <c r="F35" s="35">
        <v>226424120</v>
      </c>
      <c r="G35" s="16">
        <v>0</v>
      </c>
      <c r="H35" s="16">
        <v>48125000</v>
      </c>
      <c r="I35" s="12">
        <v>274899120</v>
      </c>
      <c r="J35" s="12">
        <v>178850650</v>
      </c>
      <c r="K35" s="12">
        <v>86455045</v>
      </c>
      <c r="L35" s="12">
        <v>265305695</v>
      </c>
      <c r="M35" s="12">
        <v>9593425</v>
      </c>
      <c r="N35" s="13">
        <v>3.4897983667608684E-2</v>
      </c>
      <c r="O35" s="35">
        <v>8789.4832458619294</v>
      </c>
      <c r="P35" s="35">
        <v>330</v>
      </c>
      <c r="Q35" s="35">
        <f t="shared" si="19"/>
        <v>2638975.7575757578</v>
      </c>
      <c r="R35" s="35">
        <f t="shared" si="15"/>
        <v>300.24242424242425</v>
      </c>
      <c r="V35" s="26" t="s">
        <v>159</v>
      </c>
      <c r="W35" s="16">
        <v>234442</v>
      </c>
      <c r="X35" s="16">
        <v>2047015580</v>
      </c>
      <c r="Y35" s="16">
        <v>529758310.59999996</v>
      </c>
      <c r="Z35" s="16">
        <v>0</v>
      </c>
      <c r="AA35" s="16">
        <v>146943571.4285714</v>
      </c>
      <c r="AB35" s="12">
        <v>682573310.60000002</v>
      </c>
      <c r="AC35" s="12">
        <v>423417334.28571427</v>
      </c>
      <c r="AD35" s="12">
        <v>268387055.25907835</v>
      </c>
      <c r="AE35" s="12">
        <v>691804389.54479265</v>
      </c>
      <c r="AF35" s="12">
        <v>-9231078.9447926693</v>
      </c>
      <c r="AG35" s="13">
        <v>-1.3523937724254566E-2</v>
      </c>
      <c r="AH35" s="35">
        <v>8731.4371145101995</v>
      </c>
      <c r="AI35" s="344"/>
      <c r="AJ35" s="35"/>
      <c r="AK35" s="35"/>
      <c r="AQ35" s="26">
        <v>29</v>
      </c>
      <c r="AR35" s="35">
        <v>99080</v>
      </c>
      <c r="AS35" s="35">
        <v>870862000</v>
      </c>
      <c r="AT35" s="16">
        <v>226424120</v>
      </c>
      <c r="AU35" s="280">
        <v>0</v>
      </c>
      <c r="AV35" s="35">
        <v>48125000</v>
      </c>
      <c r="AW35" s="35">
        <v>274899120</v>
      </c>
      <c r="AX35" s="35">
        <v>78050000</v>
      </c>
      <c r="AY35" s="35">
        <v>265305695</v>
      </c>
      <c r="AZ35" s="35">
        <v>9593425</v>
      </c>
      <c r="BA35" s="13">
        <v>3.4897983667608684E-2</v>
      </c>
      <c r="CP35" s="26" t="s">
        <v>21</v>
      </c>
      <c r="CQ35" s="16">
        <v>293134</v>
      </c>
      <c r="CR35" s="16">
        <v>2535130379</v>
      </c>
      <c r="CS35" s="16">
        <v>657002493.89999998</v>
      </c>
      <c r="DL35" s="26" t="s">
        <v>178</v>
      </c>
      <c r="DM35" s="16">
        <v>4518</v>
      </c>
      <c r="DN35" s="12">
        <v>13001463.079999998</v>
      </c>
      <c r="DO35" s="12">
        <v>15098710</v>
      </c>
      <c r="DP35" s="12">
        <v>-2097246.92</v>
      </c>
      <c r="DQ35" s="13">
        <v>-0.1613085317471824</v>
      </c>
      <c r="DR35" s="35">
        <v>3804.3413014608232</v>
      </c>
      <c r="DS35" s="27">
        <f t="shared" ref="DS35" si="53">(DM35-DM34)/DM34</f>
        <v>10.644329896907216</v>
      </c>
      <c r="DT35" s="27">
        <f t="shared" ref="DT35" si="54">(DN35-DN34)/DN34</f>
        <v>5.6249493401273876</v>
      </c>
      <c r="DU35" s="27">
        <f t="shared" ref="DU35" si="55">(DP35-DP34)/DP34</f>
        <v>1.1276654436257016</v>
      </c>
      <c r="DV35" s="13">
        <f t="shared" ref="DV35" si="56">DQ35</f>
        <v>-0.1613085317471824</v>
      </c>
      <c r="EC35" s="26" t="s">
        <v>159</v>
      </c>
      <c r="ED35">
        <v>243425000</v>
      </c>
      <c r="EE35" s="16">
        <v>234442</v>
      </c>
      <c r="EF35" s="16">
        <v>2047015580</v>
      </c>
      <c r="EG35" s="16">
        <v>529758310.59999996</v>
      </c>
      <c r="EH35" s="16">
        <v>0</v>
      </c>
      <c r="EI35" s="16">
        <v>146943571.4285714</v>
      </c>
      <c r="EJ35" s="12">
        <v>682573310.60000002</v>
      </c>
      <c r="EK35" s="12">
        <v>423417334.28571427</v>
      </c>
      <c r="EL35" s="12">
        <v>268387055.25907835</v>
      </c>
      <c r="EM35" s="12">
        <v>691804389.54479265</v>
      </c>
      <c r="EN35" s="12">
        <v>-9231078.9447926693</v>
      </c>
      <c r="EO35" s="13">
        <v>-1.3523937724254566E-2</v>
      </c>
      <c r="EP35" s="35">
        <v>8731.4371145101995</v>
      </c>
      <c r="FS35" s="11">
        <v>29</v>
      </c>
      <c r="FT35" s="16">
        <v>99982</v>
      </c>
      <c r="FU35" s="35">
        <v>877128000</v>
      </c>
      <c r="FV35" s="16">
        <v>227691960</v>
      </c>
      <c r="FW35" s="35">
        <v>750000</v>
      </c>
      <c r="FX35" s="35">
        <v>49025000</v>
      </c>
      <c r="FY35" s="12">
        <v>277816960</v>
      </c>
      <c r="FZ35" s="12">
        <v>179916720</v>
      </c>
      <c r="GA35" s="12">
        <v>87925045</v>
      </c>
      <c r="GB35" s="12">
        <v>267841765</v>
      </c>
      <c r="GC35" s="12">
        <v>9975195</v>
      </c>
      <c r="GD35" s="13">
        <v>3.59056372944258E-2</v>
      </c>
      <c r="GE35" s="35">
        <v>8772.8591146406361</v>
      </c>
      <c r="GG35" s="26" t="s">
        <v>158</v>
      </c>
      <c r="GH35" s="16">
        <v>217880</v>
      </c>
      <c r="GI35" s="16">
        <v>1886144900</v>
      </c>
      <c r="GJ35" s="16">
        <v>484484290.19999999</v>
      </c>
      <c r="GK35" s="16">
        <v>0</v>
      </c>
      <c r="GL35" s="16">
        <v>155108571.42857143</v>
      </c>
      <c r="GM35" s="12">
        <v>643317861.62857139</v>
      </c>
      <c r="GN35" s="12">
        <v>394355142.14285713</v>
      </c>
      <c r="GO35" s="12">
        <v>261636637.16857141</v>
      </c>
      <c r="GP35" s="12">
        <v>655991779.31142855</v>
      </c>
      <c r="GQ35" s="12">
        <v>-12673917.682857102</v>
      </c>
      <c r="GR35" s="13">
        <v>-1.9700863972240471E-2</v>
      </c>
      <c r="GS35" s="35">
        <v>8656.8060400220311</v>
      </c>
    </row>
    <row r="36" spans="2:205">
      <c r="B36" s="26">
        <v>30</v>
      </c>
      <c r="C36" s="12">
        <v>99636</v>
      </c>
      <c r="D36" s="312">
        <v>265</v>
      </c>
      <c r="E36" s="16">
        <v>875222000</v>
      </c>
      <c r="F36" s="35">
        <v>227557720</v>
      </c>
      <c r="G36" s="16">
        <v>0</v>
      </c>
      <c r="H36" s="16">
        <v>49375000</v>
      </c>
      <c r="I36" s="12">
        <v>277257720</v>
      </c>
      <c r="J36" s="12">
        <v>187218390</v>
      </c>
      <c r="K36" s="12">
        <v>88762606</v>
      </c>
      <c r="L36" s="12">
        <v>275980996</v>
      </c>
      <c r="M36" s="12">
        <v>1276724</v>
      </c>
      <c r="N36" s="13">
        <v>4.6048275950620957E-3</v>
      </c>
      <c r="O36" s="35">
        <v>8784.1944678630207</v>
      </c>
      <c r="P36" s="35">
        <v>342</v>
      </c>
      <c r="Q36" s="35">
        <f t="shared" si="19"/>
        <v>2559128.6549707605</v>
      </c>
      <c r="R36" s="35">
        <f t="shared" si="15"/>
        <v>291.33333333333331</v>
      </c>
      <c r="S36" s="1"/>
      <c r="V36" s="26" t="s">
        <v>160</v>
      </c>
      <c r="W36" s="16">
        <v>129700</v>
      </c>
      <c r="X36" s="16">
        <v>1122917020</v>
      </c>
      <c r="Y36" s="16">
        <v>291013931.39999998</v>
      </c>
      <c r="Z36" s="16">
        <v>0</v>
      </c>
      <c r="AA36" s="16">
        <v>57561428.571428575</v>
      </c>
      <c r="AB36" s="12">
        <v>351003931.39999998</v>
      </c>
      <c r="AC36" s="12">
        <v>231799097.85714287</v>
      </c>
      <c r="AD36" s="12">
        <v>104045952.54036866</v>
      </c>
      <c r="AE36" s="12">
        <v>335845050.39751154</v>
      </c>
      <c r="AF36" s="12">
        <v>15158881.002488459</v>
      </c>
      <c r="AG36" s="13">
        <v>4.318721144240853E-2</v>
      </c>
      <c r="AH36" s="35">
        <v>8657.8027756360825</v>
      </c>
      <c r="AQ36" s="26">
        <v>30</v>
      </c>
      <c r="AR36" s="35">
        <v>99636</v>
      </c>
      <c r="AS36" s="35">
        <v>875222000</v>
      </c>
      <c r="AT36" s="16">
        <v>227557720</v>
      </c>
      <c r="AU36" s="280">
        <v>0</v>
      </c>
      <c r="AV36" s="35">
        <v>49375000</v>
      </c>
      <c r="AW36" s="35">
        <v>277257720</v>
      </c>
      <c r="AX36" s="35">
        <v>80115000</v>
      </c>
      <c r="AY36" s="35">
        <v>275980996</v>
      </c>
      <c r="AZ36" s="35">
        <v>1276724</v>
      </c>
      <c r="BA36" s="13">
        <v>4.6048275950620957E-3</v>
      </c>
      <c r="BN36" s="91"/>
      <c r="CP36" s="26" t="s">
        <v>158</v>
      </c>
      <c r="CQ36" s="16">
        <v>217113</v>
      </c>
      <c r="CR36" s="16">
        <v>1878458900</v>
      </c>
      <c r="CS36" s="16">
        <v>483927460.19999999</v>
      </c>
      <c r="DL36" s="286" t="s">
        <v>164</v>
      </c>
      <c r="DM36" s="83">
        <v>607</v>
      </c>
      <c r="DN36" s="258">
        <v>1792311.8685714286</v>
      </c>
      <c r="DO36" s="258">
        <v>2244400</v>
      </c>
      <c r="DP36" s="258">
        <v>-452088.13142857142</v>
      </c>
      <c r="DQ36" s="84">
        <v>-0.2522374255039167</v>
      </c>
      <c r="DR36" s="172">
        <v>3166.3953871499175</v>
      </c>
      <c r="DS36" s="27"/>
      <c r="DT36" s="27"/>
      <c r="DU36" s="27"/>
      <c r="DV36" s="13"/>
      <c r="EC36" s="26" t="s">
        <v>160</v>
      </c>
      <c r="ED36">
        <v>94850000</v>
      </c>
      <c r="EE36" s="16">
        <v>129700</v>
      </c>
      <c r="EF36" s="16">
        <v>1122917020</v>
      </c>
      <c r="EG36" s="16">
        <v>291013931.39999998</v>
      </c>
      <c r="EH36" s="16">
        <v>0</v>
      </c>
      <c r="EI36" s="16">
        <v>57561428.571428575</v>
      </c>
      <c r="EJ36" s="12">
        <v>351003931.39999998</v>
      </c>
      <c r="EK36" s="12">
        <v>231799097.85714287</v>
      </c>
      <c r="EL36" s="12">
        <v>104045952.54036866</v>
      </c>
      <c r="EM36" s="12">
        <v>335845050.39751154</v>
      </c>
      <c r="EN36" s="12">
        <v>15158881.002488459</v>
      </c>
      <c r="EO36" s="13">
        <v>4.318721144240853E-2</v>
      </c>
      <c r="EP36" s="35">
        <v>8657.8027756360825</v>
      </c>
      <c r="FS36" s="11">
        <v>30</v>
      </c>
      <c r="FT36" s="16">
        <v>101715</v>
      </c>
      <c r="FU36" s="35">
        <v>889281000</v>
      </c>
      <c r="FV36" s="16">
        <v>229614770</v>
      </c>
      <c r="FW36" s="35">
        <v>450000</v>
      </c>
      <c r="FX36" s="35">
        <v>51515000</v>
      </c>
      <c r="FY36" s="12">
        <v>281904770</v>
      </c>
      <c r="FZ36" s="12">
        <v>188582720</v>
      </c>
      <c r="GA36" s="12">
        <v>91317606</v>
      </c>
      <c r="GB36" s="12">
        <v>279900326</v>
      </c>
      <c r="GC36" s="12">
        <v>2004444</v>
      </c>
      <c r="GD36" s="13">
        <v>7.1103585796011897E-3</v>
      </c>
      <c r="GE36" s="35">
        <v>8742.869783217815</v>
      </c>
      <c r="GG36" s="26" t="s">
        <v>159</v>
      </c>
      <c r="GH36" s="16">
        <v>234442</v>
      </c>
      <c r="GI36" s="16">
        <v>2047015580</v>
      </c>
      <c r="GJ36" s="16">
        <v>529758310.59999996</v>
      </c>
      <c r="GK36" s="16">
        <v>0</v>
      </c>
      <c r="GL36" s="16">
        <v>146943571.4285714</v>
      </c>
      <c r="GM36" s="12">
        <v>682573310.60000002</v>
      </c>
      <c r="GN36" s="12">
        <v>423417334.28571427</v>
      </c>
      <c r="GO36" s="12">
        <v>268387055.25907835</v>
      </c>
      <c r="GP36" s="12">
        <v>691804389.54479265</v>
      </c>
      <c r="GQ36" s="12">
        <v>-9231078.9447926693</v>
      </c>
      <c r="GR36" s="13">
        <v>-1.3523937724254566E-2</v>
      </c>
      <c r="GS36" s="35">
        <v>8731.4371145101995</v>
      </c>
    </row>
    <row r="37" spans="2:205">
      <c r="B37" s="26">
        <v>31</v>
      </c>
      <c r="C37" s="12">
        <v>99420</v>
      </c>
      <c r="D37" s="312">
        <v>262</v>
      </c>
      <c r="E37" s="16">
        <v>873326000</v>
      </c>
      <c r="F37" s="35">
        <v>227064760</v>
      </c>
      <c r="G37" s="16">
        <v>0</v>
      </c>
      <c r="H37" s="16">
        <v>48350000</v>
      </c>
      <c r="I37" s="12">
        <v>275539760</v>
      </c>
      <c r="J37" s="12">
        <v>174491745</v>
      </c>
      <c r="K37" s="12">
        <v>87527607</v>
      </c>
      <c r="L37" s="12">
        <v>262019352</v>
      </c>
      <c r="M37" s="12">
        <v>13520407.999999985</v>
      </c>
      <c r="N37" s="13">
        <v>4.9068809524984651E-2</v>
      </c>
      <c r="O37" s="35">
        <v>8784.2084087708718</v>
      </c>
      <c r="P37" s="35">
        <v>334</v>
      </c>
      <c r="Q37" s="35">
        <f t="shared" si="19"/>
        <v>2614748.5029940121</v>
      </c>
      <c r="R37" s="35">
        <f t="shared" si="15"/>
        <v>297.66467065868261</v>
      </c>
      <c r="V37" s="11" t="s">
        <v>167</v>
      </c>
      <c r="W37" s="16">
        <v>7394916</v>
      </c>
      <c r="X37" s="16">
        <v>65064117672.999992</v>
      </c>
      <c r="Y37" s="16">
        <v>15762289316.780003</v>
      </c>
      <c r="Z37" s="16">
        <v>1662225392.5714283</v>
      </c>
      <c r="AA37" s="16">
        <v>3675701828.5454545</v>
      </c>
      <c r="AB37" s="12">
        <v>21178855737.896877</v>
      </c>
      <c r="AC37" s="12">
        <v>14100381448</v>
      </c>
      <c r="AD37" s="12">
        <v>6573294764.3397751</v>
      </c>
      <c r="AE37" s="12">
        <v>20673676212.339787</v>
      </c>
      <c r="AF37" s="12">
        <v>505179525.55710828</v>
      </c>
      <c r="AG37" s="13">
        <v>2.3853013203784801E-2</v>
      </c>
      <c r="AH37" s="35">
        <v>8798.4931367712634</v>
      </c>
      <c r="AQ37" s="26">
        <v>31</v>
      </c>
      <c r="AR37" s="35">
        <v>99420</v>
      </c>
      <c r="AS37" s="35">
        <v>873326000</v>
      </c>
      <c r="AT37" s="16">
        <v>227064760</v>
      </c>
      <c r="AU37" s="280">
        <v>0</v>
      </c>
      <c r="AV37" s="35">
        <v>48350000</v>
      </c>
      <c r="AW37" s="35">
        <v>275539760</v>
      </c>
      <c r="AX37" s="35">
        <v>78680000</v>
      </c>
      <c r="AY37" s="35">
        <v>262019352</v>
      </c>
      <c r="AZ37" s="35">
        <v>13520407.999999985</v>
      </c>
      <c r="BA37" s="13">
        <v>4.9068809524984651E-2</v>
      </c>
      <c r="BN37" s="91"/>
      <c r="CP37" s="26" t="s">
        <v>159</v>
      </c>
      <c r="CQ37" s="16">
        <v>234442</v>
      </c>
      <c r="CR37" s="16">
        <v>2047015580</v>
      </c>
      <c r="CS37" s="16">
        <v>529758310.60000002</v>
      </c>
      <c r="CV37" s="152"/>
      <c r="DL37" s="278" t="s">
        <v>165</v>
      </c>
      <c r="DM37" s="16">
        <v>2827</v>
      </c>
      <c r="DN37" s="12">
        <v>7639714.7257142849</v>
      </c>
      <c r="DO37" s="12">
        <v>8647881.4285714291</v>
      </c>
      <c r="DP37" s="12">
        <v>-1008166.702857143</v>
      </c>
      <c r="DQ37" s="13">
        <v>-0.13196391999609425</v>
      </c>
      <c r="DR37" s="35">
        <v>3940.5737530951537</v>
      </c>
      <c r="DS37" s="27"/>
      <c r="DT37" s="27"/>
      <c r="DU37" s="27"/>
      <c r="DV37" s="13"/>
      <c r="EC37" s="11" t="s">
        <v>167</v>
      </c>
      <c r="ED37">
        <v>6244008510</v>
      </c>
      <c r="EE37" s="16">
        <v>7394916</v>
      </c>
      <c r="EF37" s="16">
        <v>65064117672.999992</v>
      </c>
      <c r="EG37" s="16">
        <v>15762289316.780003</v>
      </c>
      <c r="EH37" s="16">
        <v>1662225392.5714283</v>
      </c>
      <c r="EI37" s="16">
        <v>3675701828.5454545</v>
      </c>
      <c r="EJ37" s="12">
        <v>21178855737.896877</v>
      </c>
      <c r="EK37" s="12">
        <v>14100381448</v>
      </c>
      <c r="EL37" s="12">
        <v>6573294764.3397751</v>
      </c>
      <c r="EM37" s="12">
        <v>20673676212.339787</v>
      </c>
      <c r="EN37" s="12">
        <v>505179525.55710828</v>
      </c>
      <c r="EO37" s="13">
        <v>2.3853013203784801E-2</v>
      </c>
      <c r="EP37" s="35">
        <v>8798.4931367712634</v>
      </c>
      <c r="FC37" s="205">
        <f>FC35-FD35</f>
        <v>0</v>
      </c>
      <c r="FD37" s="203"/>
      <c r="FS37" s="11">
        <v>31</v>
      </c>
      <c r="FT37" s="16">
        <v>102149</v>
      </c>
      <c r="FU37" s="35">
        <v>893856000</v>
      </c>
      <c r="FV37" s="16">
        <v>230158290</v>
      </c>
      <c r="FW37" s="35">
        <v>500000</v>
      </c>
      <c r="FX37" s="35">
        <v>49275000</v>
      </c>
      <c r="FY37" s="12">
        <v>280058290</v>
      </c>
      <c r="FZ37" s="12">
        <v>176235035</v>
      </c>
      <c r="GA37" s="12">
        <v>88997607</v>
      </c>
      <c r="GB37" s="12">
        <v>265232642</v>
      </c>
      <c r="GC37" s="12">
        <v>14825647.999999985</v>
      </c>
      <c r="GD37" s="13">
        <v>5.2937722357727687E-2</v>
      </c>
      <c r="GE37" s="35">
        <v>8750.5115076995371</v>
      </c>
      <c r="GG37" s="26" t="s">
        <v>160</v>
      </c>
      <c r="GH37" s="16">
        <v>129700</v>
      </c>
      <c r="GI37" s="16">
        <v>1122917020</v>
      </c>
      <c r="GJ37" s="16">
        <v>291013931.39999998</v>
      </c>
      <c r="GK37" s="16">
        <v>0</v>
      </c>
      <c r="GL37" s="16">
        <v>57561428.571428575</v>
      </c>
      <c r="GM37" s="12">
        <v>351003931.39999998</v>
      </c>
      <c r="GN37" s="12">
        <v>231799097.85714287</v>
      </c>
      <c r="GO37" s="12">
        <v>104045952.54036866</v>
      </c>
      <c r="GP37" s="12">
        <v>335845050.39751154</v>
      </c>
      <c r="GQ37" s="12">
        <v>15158881.002488459</v>
      </c>
      <c r="GR37" s="13">
        <v>4.318721144240853E-2</v>
      </c>
      <c r="GS37" s="35">
        <v>8657.8027756360825</v>
      </c>
    </row>
    <row r="38" spans="2:205" ht="18" customHeight="1">
      <c r="B38" s="26">
        <v>32</v>
      </c>
      <c r="C38" s="12">
        <v>95589</v>
      </c>
      <c r="D38" s="312">
        <v>263</v>
      </c>
      <c r="E38" s="16">
        <v>840366000</v>
      </c>
      <c r="F38" s="35">
        <v>218495160</v>
      </c>
      <c r="G38" s="16">
        <v>0</v>
      </c>
      <c r="H38" s="16">
        <v>48975000</v>
      </c>
      <c r="I38" s="12">
        <v>267470160</v>
      </c>
      <c r="J38" s="12">
        <v>172509855</v>
      </c>
      <c r="K38" s="12">
        <v>85757606.166666672</v>
      </c>
      <c r="L38" s="12">
        <v>258267461.16666669</v>
      </c>
      <c r="M38" s="12">
        <v>9202698.8333333135</v>
      </c>
      <c r="N38" s="13">
        <v>3.4406450548851185E-2</v>
      </c>
      <c r="O38" s="35">
        <v>8791.4508991620369</v>
      </c>
      <c r="P38" s="35">
        <v>339</v>
      </c>
      <c r="Q38" s="35">
        <f t="shared" si="19"/>
        <v>2478955.7522123894</v>
      </c>
      <c r="R38" s="35">
        <f t="shared" si="15"/>
        <v>281.97345132743362</v>
      </c>
      <c r="AQ38" s="26">
        <v>32</v>
      </c>
      <c r="AR38" s="35">
        <v>95589</v>
      </c>
      <c r="AS38" s="35">
        <v>840366000</v>
      </c>
      <c r="AT38" s="16">
        <v>218495160</v>
      </c>
      <c r="AU38" s="280">
        <v>0</v>
      </c>
      <c r="AV38" s="35">
        <v>48975000</v>
      </c>
      <c r="AW38" s="35">
        <v>267470160</v>
      </c>
      <c r="AX38" s="35">
        <v>79450000</v>
      </c>
      <c r="AY38" s="35">
        <v>258267461.16666669</v>
      </c>
      <c r="AZ38" s="35">
        <v>9202698.8333333135</v>
      </c>
      <c r="BA38" s="13">
        <v>3.4406450548851185E-2</v>
      </c>
      <c r="BN38" s="91"/>
      <c r="CP38" s="26" t="s">
        <v>160</v>
      </c>
      <c r="CQ38" s="16">
        <v>129700</v>
      </c>
      <c r="CR38" s="16">
        <v>1122917020</v>
      </c>
      <c r="CS38" s="16">
        <v>291013931.39999998</v>
      </c>
      <c r="CV38" s="152"/>
      <c r="DL38" s="278" t="s">
        <v>36</v>
      </c>
      <c r="DM38" s="16">
        <v>1084</v>
      </c>
      <c r="DN38" s="12">
        <v>3569436.4857142856</v>
      </c>
      <c r="DO38" s="12">
        <v>4206428.5714285709</v>
      </c>
      <c r="DP38" s="12">
        <v>-636992.08571428573</v>
      </c>
      <c r="DQ38" s="13">
        <v>-0.1784573246403672</v>
      </c>
      <c r="DR38" s="35">
        <v>3806.2822878228781</v>
      </c>
      <c r="FS38" s="11">
        <v>32</v>
      </c>
      <c r="FT38" s="16">
        <v>96888</v>
      </c>
      <c r="FU38" s="35">
        <v>853044000</v>
      </c>
      <c r="FV38" s="16">
        <v>220020180</v>
      </c>
      <c r="FW38" s="35">
        <v>0</v>
      </c>
      <c r="FX38" s="35">
        <v>49150000</v>
      </c>
      <c r="FY38" s="12">
        <v>269170180</v>
      </c>
      <c r="FZ38" s="12">
        <v>173129775</v>
      </c>
      <c r="GA38" s="12">
        <v>86002606.166666672</v>
      </c>
      <c r="GB38" s="12">
        <v>259132381.16666669</v>
      </c>
      <c r="GC38" s="12">
        <v>10037798.833333313</v>
      </c>
      <c r="GD38" s="13">
        <v>3.7291645134439902E-2</v>
      </c>
      <c r="GE38" s="35">
        <v>8804.4339856328952</v>
      </c>
      <c r="GG38" s="11" t="s">
        <v>167</v>
      </c>
      <c r="GH38" s="16">
        <v>7394916</v>
      </c>
      <c r="GI38" s="16">
        <v>65064117672.999992</v>
      </c>
      <c r="GJ38" s="16">
        <v>15762289316.780003</v>
      </c>
      <c r="GK38" s="16">
        <v>1662225392.5714283</v>
      </c>
      <c r="GL38" s="16">
        <v>3675701828.5454545</v>
      </c>
      <c r="GM38" s="12">
        <v>21178855737.896877</v>
      </c>
      <c r="GN38" s="12">
        <v>14100381448</v>
      </c>
      <c r="GO38" s="12">
        <v>6573294764.3397751</v>
      </c>
      <c r="GP38" s="12">
        <v>20673676212.339787</v>
      </c>
      <c r="GQ38" s="12">
        <v>505179525.55710828</v>
      </c>
      <c r="GR38" s="13">
        <v>2.3853013203784801E-2</v>
      </c>
      <c r="GS38" s="35">
        <v>8798.4931367712634</v>
      </c>
    </row>
    <row r="39" spans="2:205">
      <c r="B39" s="26">
        <v>33</v>
      </c>
      <c r="C39" s="12">
        <v>91933</v>
      </c>
      <c r="D39" s="312">
        <v>254</v>
      </c>
      <c r="E39" s="16">
        <v>807284000</v>
      </c>
      <c r="F39" s="35">
        <v>209893840</v>
      </c>
      <c r="G39" s="16">
        <v>0</v>
      </c>
      <c r="H39" s="16">
        <v>50525000</v>
      </c>
      <c r="I39" s="12">
        <v>260493840</v>
      </c>
      <c r="J39" s="12">
        <v>167153955</v>
      </c>
      <c r="K39" s="12">
        <v>81867606.166666657</v>
      </c>
      <c r="L39" s="12">
        <v>249021561.16666666</v>
      </c>
      <c r="M39" s="12">
        <v>11472278.833333343</v>
      </c>
      <c r="N39" s="13">
        <v>4.4040499511747933E-2</v>
      </c>
      <c r="O39" s="35">
        <v>8781.2211066755135</v>
      </c>
      <c r="P39" s="35">
        <v>324</v>
      </c>
      <c r="Q39" s="35">
        <f t="shared" si="19"/>
        <v>2491617.2839506171</v>
      </c>
      <c r="R39" s="35">
        <f t="shared" si="15"/>
        <v>283.74382716049382</v>
      </c>
      <c r="AQ39" s="26">
        <v>33</v>
      </c>
      <c r="AR39" s="35">
        <v>91933</v>
      </c>
      <c r="AS39" s="35">
        <v>807284000</v>
      </c>
      <c r="AT39" s="16">
        <v>209893840</v>
      </c>
      <c r="AU39" s="280">
        <v>0</v>
      </c>
      <c r="AV39" s="35">
        <v>50525000</v>
      </c>
      <c r="AW39" s="35">
        <v>260493840</v>
      </c>
      <c r="AX39" s="35">
        <v>76475000</v>
      </c>
      <c r="AY39" s="35">
        <v>249021561.16666666</v>
      </c>
      <c r="AZ39" s="35">
        <v>11472278.833333343</v>
      </c>
      <c r="BA39" s="13">
        <v>4.4040499511747933E-2</v>
      </c>
      <c r="BN39" s="91"/>
      <c r="CP39" s="11" t="s">
        <v>167</v>
      </c>
      <c r="CQ39" s="16">
        <v>7308843</v>
      </c>
      <c r="CR39" s="16">
        <v>64332052959</v>
      </c>
      <c r="CS39" s="16">
        <v>15605370253.700001</v>
      </c>
      <c r="CV39" s="152"/>
      <c r="DL39" s="11" t="s">
        <v>167</v>
      </c>
      <c r="DM39" s="16">
        <v>4762093</v>
      </c>
      <c r="DN39" s="12">
        <v>13660009507.368313</v>
      </c>
      <c r="DO39" s="12">
        <v>13370112719.012707</v>
      </c>
      <c r="DP39" s="12">
        <v>289896788.35560316</v>
      </c>
      <c r="DQ39" s="13">
        <v>2.1222297700395493E-2</v>
      </c>
      <c r="DR39" s="35">
        <v>8812.2552612895215</v>
      </c>
      <c r="FC39" s="123"/>
      <c r="FS39" s="11">
        <v>33</v>
      </c>
      <c r="FT39" s="16">
        <v>93451</v>
      </c>
      <c r="FU39" s="35">
        <v>821511000</v>
      </c>
      <c r="FV39" s="16">
        <v>212142980</v>
      </c>
      <c r="FW39" s="35">
        <v>0</v>
      </c>
      <c r="FX39" s="35">
        <v>50900000</v>
      </c>
      <c r="FY39" s="12">
        <v>263117980</v>
      </c>
      <c r="FZ39" s="12">
        <v>168264595</v>
      </c>
      <c r="GA39" s="12">
        <v>83782606.166666657</v>
      </c>
      <c r="GB39" s="12">
        <v>252047201.16666666</v>
      </c>
      <c r="GC39" s="12">
        <v>11070778.833333343</v>
      </c>
      <c r="GD39" s="13">
        <v>4.207534138614679E-2</v>
      </c>
      <c r="GE39" s="35">
        <v>8790.8208579897491</v>
      </c>
    </row>
    <row r="40" spans="2:205">
      <c r="B40" s="26">
        <v>34</v>
      </c>
      <c r="C40" s="12">
        <v>86546</v>
      </c>
      <c r="D40" s="312">
        <v>248</v>
      </c>
      <c r="E40" s="16">
        <v>760102000</v>
      </c>
      <c r="F40" s="35">
        <v>197626520</v>
      </c>
      <c r="G40" s="16">
        <v>0</v>
      </c>
      <c r="H40" s="16">
        <v>50845000</v>
      </c>
      <c r="I40" s="12">
        <v>248596520</v>
      </c>
      <c r="J40" s="12">
        <v>156393360</v>
      </c>
      <c r="K40" s="12">
        <v>82202606.166666657</v>
      </c>
      <c r="L40" s="12">
        <v>238595966.16666666</v>
      </c>
      <c r="M40" s="12">
        <v>10000553.833333343</v>
      </c>
      <c r="N40" s="13">
        <v>4.0228052401269913E-2</v>
      </c>
      <c r="O40" s="35">
        <v>8782.6358237238001</v>
      </c>
      <c r="P40" s="35">
        <v>331</v>
      </c>
      <c r="Q40" s="35">
        <f t="shared" si="19"/>
        <v>2296380.6646525678</v>
      </c>
      <c r="R40" s="35">
        <f t="shared" si="15"/>
        <v>261.46827794561932</v>
      </c>
      <c r="S40" s="35">
        <f>T40-I40</f>
        <v>-1178160</v>
      </c>
      <c r="T40" s="35">
        <f>U40+J40</f>
        <v>247418360</v>
      </c>
      <c r="U40" s="35">
        <f>P40*275000</f>
        <v>91025000</v>
      </c>
      <c r="AQ40" s="26">
        <v>34</v>
      </c>
      <c r="AR40" s="35">
        <v>86546</v>
      </c>
      <c r="AS40" s="35">
        <v>760102000</v>
      </c>
      <c r="AT40" s="16">
        <v>197626520</v>
      </c>
      <c r="AU40" s="280">
        <v>0</v>
      </c>
      <c r="AV40" s="35">
        <v>50845000</v>
      </c>
      <c r="AW40" s="35">
        <v>248596520</v>
      </c>
      <c r="AX40" s="35">
        <v>76335000</v>
      </c>
      <c r="AY40" s="35">
        <v>238595966.16666666</v>
      </c>
      <c r="AZ40" s="35">
        <v>10000553.833333343</v>
      </c>
      <c r="BA40" s="13">
        <v>4.0228052401269913E-2</v>
      </c>
      <c r="BN40" s="91"/>
      <c r="CV40" s="152"/>
      <c r="DS40" s="27"/>
      <c r="DT40" s="27"/>
      <c r="DU40" s="27"/>
      <c r="DV40" s="13"/>
      <c r="FS40" s="11">
        <v>34</v>
      </c>
      <c r="FT40" s="16">
        <v>87976</v>
      </c>
      <c r="FU40" s="35">
        <v>773581000</v>
      </c>
      <c r="FV40" s="16">
        <v>199802640</v>
      </c>
      <c r="FW40" s="35">
        <v>0</v>
      </c>
      <c r="FX40" s="35">
        <v>51170000</v>
      </c>
      <c r="FY40" s="12">
        <v>251097640</v>
      </c>
      <c r="FZ40" s="12">
        <v>157519660</v>
      </c>
      <c r="GA40" s="12">
        <v>83357606.166666657</v>
      </c>
      <c r="GB40" s="12">
        <v>240877266.16666666</v>
      </c>
      <c r="GC40" s="12">
        <v>10220373.833333343</v>
      </c>
      <c r="GD40" s="13">
        <v>4.0702787303510075E-2</v>
      </c>
      <c r="GE40" s="35">
        <v>8793.0912976266263</v>
      </c>
    </row>
    <row r="41" spans="2:205">
      <c r="B41" s="26">
        <v>35</v>
      </c>
      <c r="C41" s="12">
        <v>94065</v>
      </c>
      <c r="D41" s="312">
        <v>251</v>
      </c>
      <c r="E41" s="16">
        <v>827112000</v>
      </c>
      <c r="F41" s="35">
        <v>215049120</v>
      </c>
      <c r="G41" s="16">
        <v>0</v>
      </c>
      <c r="H41" s="16">
        <v>53870000</v>
      </c>
      <c r="I41" s="12">
        <v>269094120</v>
      </c>
      <c r="J41" s="12">
        <v>194311930</v>
      </c>
      <c r="K41" s="12">
        <v>88855158.343671069</v>
      </c>
      <c r="L41" s="12">
        <v>283167088.34367108</v>
      </c>
      <c r="M41" s="12">
        <v>-14072968.343671061</v>
      </c>
      <c r="N41" s="13">
        <v>-5.2297569131837814E-2</v>
      </c>
      <c r="O41" s="35">
        <v>8792.9835751873707</v>
      </c>
      <c r="P41" s="35">
        <v>344</v>
      </c>
      <c r="Q41" s="35">
        <f t="shared" si="19"/>
        <v>2404395.3488372094</v>
      </c>
      <c r="R41" s="35">
        <f t="shared" si="15"/>
        <v>273.44476744186045</v>
      </c>
      <c r="S41" s="35">
        <f>T41-I41</f>
        <v>19817810</v>
      </c>
      <c r="T41" s="35">
        <f>U41+J41</f>
        <v>288911930</v>
      </c>
      <c r="U41" s="35">
        <f t="shared" ref="U41:U54" si="57">P41*275000</f>
        <v>94600000</v>
      </c>
      <c r="AQ41" s="26">
        <v>35</v>
      </c>
      <c r="AR41" s="35">
        <v>94065</v>
      </c>
      <c r="AS41" s="35">
        <v>827112000</v>
      </c>
      <c r="AT41" s="16">
        <v>215049120</v>
      </c>
      <c r="AU41" s="280">
        <v>0</v>
      </c>
      <c r="AV41" s="35">
        <v>53870000</v>
      </c>
      <c r="AW41" s="35">
        <v>269094120</v>
      </c>
      <c r="AX41" s="35">
        <v>80220000</v>
      </c>
      <c r="AY41" s="35">
        <v>283167088.34367108</v>
      </c>
      <c r="AZ41" s="35">
        <v>-14072968.343671061</v>
      </c>
      <c r="BA41" s="13">
        <v>-5.2297569131837814E-2</v>
      </c>
      <c r="BN41" s="91"/>
      <c r="CV41" s="152"/>
      <c r="DS41" s="27"/>
      <c r="DT41" s="27"/>
      <c r="DU41" s="27"/>
      <c r="DV41" s="13"/>
      <c r="FS41" s="11">
        <v>35</v>
      </c>
      <c r="FT41" s="16">
        <v>95852</v>
      </c>
      <c r="FU41" s="35">
        <v>844030000</v>
      </c>
      <c r="FV41" s="16">
        <v>217306020</v>
      </c>
      <c r="FW41" s="35">
        <v>0</v>
      </c>
      <c r="FX41" s="35">
        <v>54220000</v>
      </c>
      <c r="FY41" s="12">
        <v>271701020</v>
      </c>
      <c r="FZ41" s="12">
        <v>195347330</v>
      </c>
      <c r="GA41" s="12">
        <v>90025106.166666687</v>
      </c>
      <c r="GB41" s="12">
        <v>285372436.16666669</v>
      </c>
      <c r="GC41" s="12">
        <v>-13671416.166666675</v>
      </c>
      <c r="GD41" s="13">
        <v>-5.0317868393231192E-2</v>
      </c>
      <c r="GE41" s="35">
        <v>8805.5543963610562</v>
      </c>
    </row>
    <row r="42" spans="2:205">
      <c r="B42" s="26">
        <v>36</v>
      </c>
      <c r="C42" s="12">
        <v>101472</v>
      </c>
      <c r="D42" s="312">
        <v>244</v>
      </c>
      <c r="E42" s="16">
        <v>893426000</v>
      </c>
      <c r="F42" s="35">
        <v>232290760</v>
      </c>
      <c r="G42" s="16">
        <v>0</v>
      </c>
      <c r="H42" s="16">
        <v>51275000</v>
      </c>
      <c r="I42" s="12">
        <v>284485760</v>
      </c>
      <c r="J42" s="12">
        <v>198570980</v>
      </c>
      <c r="K42" s="12">
        <v>83871048.074444443</v>
      </c>
      <c r="L42" s="12">
        <v>282442028.07444441</v>
      </c>
      <c r="M42" s="12">
        <v>2043731.925555557</v>
      </c>
      <c r="N42" s="13">
        <v>7.1839515818139963E-3</v>
      </c>
      <c r="O42" s="35">
        <v>8804.6554714601079</v>
      </c>
      <c r="P42" s="35">
        <v>339</v>
      </c>
      <c r="Q42" s="35">
        <f t="shared" si="19"/>
        <v>2635474.9262536871</v>
      </c>
      <c r="R42" s="35">
        <f t="shared" si="15"/>
        <v>299.3274336283186</v>
      </c>
      <c r="S42" s="35">
        <f t="shared" ref="S42:S54" si="58">T42-I42</f>
        <v>7310220</v>
      </c>
      <c r="T42" s="35">
        <f t="shared" ref="T42:T54" si="59">U42+J42</f>
        <v>291795980</v>
      </c>
      <c r="U42" s="35">
        <f t="shared" si="57"/>
        <v>93225000</v>
      </c>
      <c r="AQ42" s="26">
        <v>36</v>
      </c>
      <c r="AR42" s="35">
        <v>101472</v>
      </c>
      <c r="AS42" s="35">
        <v>893426000</v>
      </c>
      <c r="AT42" s="16">
        <v>232290760</v>
      </c>
      <c r="AU42" s="280">
        <v>0</v>
      </c>
      <c r="AV42" s="35">
        <v>51275000</v>
      </c>
      <c r="AW42" s="35">
        <v>284485760</v>
      </c>
      <c r="AX42" s="35">
        <v>79100000</v>
      </c>
      <c r="AY42" s="35">
        <v>282442028.07444441</v>
      </c>
      <c r="AZ42" s="35">
        <v>2043731.925555557</v>
      </c>
      <c r="BA42" s="13">
        <v>7.1839515818139963E-3</v>
      </c>
      <c r="BN42" s="91"/>
      <c r="CV42" s="152"/>
      <c r="DS42" s="27"/>
      <c r="DT42" s="27"/>
      <c r="DU42" s="27"/>
      <c r="DV42" s="13"/>
      <c r="FS42" s="11">
        <v>36</v>
      </c>
      <c r="FT42" s="16">
        <v>102935</v>
      </c>
      <c r="FU42" s="35">
        <v>907644000</v>
      </c>
      <c r="FV42" s="16">
        <v>234356930</v>
      </c>
      <c r="FW42" s="35">
        <v>0</v>
      </c>
      <c r="FX42" s="35">
        <v>51600000</v>
      </c>
      <c r="FY42" s="12">
        <v>286876930</v>
      </c>
      <c r="FZ42" s="12">
        <v>199635740</v>
      </c>
      <c r="GA42" s="12">
        <v>84991048.074444443</v>
      </c>
      <c r="GB42" s="12">
        <v>284626788.07444441</v>
      </c>
      <c r="GC42" s="12">
        <v>2250141.925555557</v>
      </c>
      <c r="GD42" s="13">
        <v>7.8435792155038646E-3</v>
      </c>
      <c r="GE42" s="35">
        <v>8817.6422013892261</v>
      </c>
    </row>
    <row r="43" spans="2:205">
      <c r="B43" s="26">
        <v>37</v>
      </c>
      <c r="C43" s="12">
        <v>88677</v>
      </c>
      <c r="D43" s="312">
        <v>247</v>
      </c>
      <c r="E43" s="16">
        <v>789054000</v>
      </c>
      <c r="F43" s="35">
        <v>205154040</v>
      </c>
      <c r="G43" s="16">
        <v>0</v>
      </c>
      <c r="H43" s="16">
        <v>53400000</v>
      </c>
      <c r="I43" s="12">
        <v>259564040</v>
      </c>
      <c r="J43" s="12">
        <v>174316060</v>
      </c>
      <c r="K43" s="12">
        <v>85456048.074444443</v>
      </c>
      <c r="L43" s="12">
        <v>259772108.07444444</v>
      </c>
      <c r="M43" s="12">
        <v>-208068.07444444299</v>
      </c>
      <c r="N43" s="13">
        <v>-8.0160593294989165E-4</v>
      </c>
      <c r="O43" s="35">
        <v>8898.0682702391823</v>
      </c>
      <c r="P43" s="35">
        <v>339</v>
      </c>
      <c r="Q43" s="35">
        <f t="shared" si="19"/>
        <v>2327592.9203539821</v>
      </c>
      <c r="R43" s="35">
        <f t="shared" si="15"/>
        <v>261.5840707964602</v>
      </c>
      <c r="S43" s="35">
        <f t="shared" si="58"/>
        <v>7977020</v>
      </c>
      <c r="T43" s="35">
        <f>U43+J43</f>
        <v>267541060</v>
      </c>
      <c r="U43" s="35">
        <f t="shared" si="57"/>
        <v>93225000</v>
      </c>
      <c r="AQ43" s="26">
        <v>37</v>
      </c>
      <c r="AR43" s="35">
        <v>88677</v>
      </c>
      <c r="AS43" s="35">
        <v>789054000</v>
      </c>
      <c r="AT43" s="16">
        <v>205154040</v>
      </c>
      <c r="AU43" s="280">
        <v>0</v>
      </c>
      <c r="AV43" s="35">
        <v>53400000</v>
      </c>
      <c r="AW43" s="35">
        <v>259564040</v>
      </c>
      <c r="AX43" s="35">
        <v>80045000</v>
      </c>
      <c r="AY43" s="35">
        <v>259772108.07444444</v>
      </c>
      <c r="AZ43" s="35">
        <v>-208068.07444444299</v>
      </c>
      <c r="BA43" s="13">
        <v>-8.0160593294989165E-4</v>
      </c>
      <c r="BN43" s="91"/>
      <c r="CV43" s="152"/>
      <c r="DS43" s="27"/>
      <c r="DT43" s="27"/>
      <c r="DU43" s="27"/>
      <c r="DV43" s="13"/>
      <c r="FS43" s="11">
        <v>37</v>
      </c>
      <c r="FT43" s="16">
        <v>90217</v>
      </c>
      <c r="FU43" s="35">
        <v>803779000</v>
      </c>
      <c r="FV43" s="16">
        <v>207499850</v>
      </c>
      <c r="FW43" s="35">
        <v>0</v>
      </c>
      <c r="FX43" s="35">
        <v>53750000</v>
      </c>
      <c r="FY43" s="12">
        <v>262259850</v>
      </c>
      <c r="FZ43" s="12">
        <v>175775160</v>
      </c>
      <c r="GA43" s="12">
        <v>86686048.074444443</v>
      </c>
      <c r="GB43" s="12">
        <v>262461208.07444444</v>
      </c>
      <c r="GC43" s="12">
        <v>-201358.07444444287</v>
      </c>
      <c r="GD43" s="13">
        <v>-7.6778078857454878E-4</v>
      </c>
      <c r="GE43" s="35">
        <v>8909.3962335258329</v>
      </c>
    </row>
    <row r="44" spans="2:205">
      <c r="B44" s="26">
        <v>38</v>
      </c>
      <c r="C44" s="12">
        <v>87633</v>
      </c>
      <c r="D44" s="312">
        <v>239</v>
      </c>
      <c r="E44" s="16">
        <v>770674000</v>
      </c>
      <c r="F44" s="35">
        <v>200375240</v>
      </c>
      <c r="G44" s="16">
        <v>0</v>
      </c>
      <c r="H44" s="16">
        <v>50850000</v>
      </c>
      <c r="I44" s="12">
        <v>252525240</v>
      </c>
      <c r="J44" s="12">
        <v>177641840</v>
      </c>
      <c r="K44" s="12">
        <v>83416048</v>
      </c>
      <c r="L44" s="12">
        <v>261057888</v>
      </c>
      <c r="M44" s="12">
        <v>-8532648</v>
      </c>
      <c r="N44" s="13">
        <v>-3.3789287755948673E-2</v>
      </c>
      <c r="O44" s="35">
        <v>8794.3354672326641</v>
      </c>
      <c r="P44" s="35">
        <v>334</v>
      </c>
      <c r="Q44" s="35">
        <f t="shared" si="19"/>
        <v>2307407.1856287424</v>
      </c>
      <c r="R44" s="35">
        <f t="shared" si="15"/>
        <v>262.37425149700601</v>
      </c>
      <c r="S44" s="35">
        <f t="shared" si="58"/>
        <v>16966600</v>
      </c>
      <c r="T44" s="35">
        <f t="shared" si="59"/>
        <v>269491840</v>
      </c>
      <c r="U44" s="35">
        <f>P44*275000</f>
        <v>91850000</v>
      </c>
      <c r="V44" s="10" t="s">
        <v>104</v>
      </c>
      <c r="W44" t="s">
        <v>105</v>
      </c>
      <c r="AM44" s="27"/>
      <c r="AN44" s="27"/>
      <c r="AO44" s="27"/>
      <c r="AP44" s="27"/>
      <c r="AQ44" s="26">
        <v>38</v>
      </c>
      <c r="AR44" s="35">
        <v>87633</v>
      </c>
      <c r="AS44" s="35">
        <v>770674000</v>
      </c>
      <c r="AT44" s="16">
        <v>200375240</v>
      </c>
      <c r="AU44" s="280">
        <v>0</v>
      </c>
      <c r="AV44" s="35">
        <v>50850000</v>
      </c>
      <c r="AW44" s="35">
        <v>252525240</v>
      </c>
      <c r="AX44" s="35">
        <v>77595000</v>
      </c>
      <c r="AY44" s="35">
        <v>261057888</v>
      </c>
      <c r="AZ44" s="35">
        <v>-8532648</v>
      </c>
      <c r="BA44" s="13">
        <v>-3.3789287755948673E-2</v>
      </c>
      <c r="BJ44" s="27"/>
      <c r="BK44" s="27"/>
      <c r="BL44" s="43"/>
      <c r="BM44" s="43"/>
      <c r="BN44" s="91"/>
      <c r="CV44" s="152"/>
      <c r="FS44" s="11">
        <v>38</v>
      </c>
      <c r="FT44" s="16">
        <v>89115</v>
      </c>
      <c r="FU44" s="35">
        <v>785115000</v>
      </c>
      <c r="FV44" s="16">
        <v>202883100</v>
      </c>
      <c r="FW44" s="35">
        <v>0</v>
      </c>
      <c r="FX44" s="35">
        <v>51200000</v>
      </c>
      <c r="FY44" s="12">
        <v>255383100</v>
      </c>
      <c r="FZ44" s="12">
        <v>179171410</v>
      </c>
      <c r="GA44" s="12">
        <v>84696048</v>
      </c>
      <c r="GB44" s="12">
        <v>263867458</v>
      </c>
      <c r="GC44" s="12">
        <v>-8484358</v>
      </c>
      <c r="GD44" s="13">
        <v>-3.3222080865961762E-2</v>
      </c>
      <c r="GE44" s="35">
        <v>8810.1329742467606</v>
      </c>
    </row>
    <row r="45" spans="2:205">
      <c r="B45" s="26">
        <v>39</v>
      </c>
      <c r="C45" s="12">
        <v>95815</v>
      </c>
      <c r="D45" s="312">
        <v>251</v>
      </c>
      <c r="E45" s="16">
        <v>843484000</v>
      </c>
      <c r="F45" s="35">
        <v>219305840</v>
      </c>
      <c r="G45" s="16">
        <v>0</v>
      </c>
      <c r="H45" s="16">
        <v>52475000</v>
      </c>
      <c r="I45" s="12">
        <v>273780840</v>
      </c>
      <c r="J45" s="12">
        <v>190854205</v>
      </c>
      <c r="K45" s="12">
        <v>86801048</v>
      </c>
      <c r="L45" s="12">
        <v>277655253</v>
      </c>
      <c r="M45" s="12">
        <v>-3874413</v>
      </c>
      <c r="N45" s="13">
        <v>-1.4151512574802532E-2</v>
      </c>
      <c r="O45" s="35">
        <v>8803.2562751134992</v>
      </c>
      <c r="P45" s="35">
        <v>348</v>
      </c>
      <c r="Q45" s="35">
        <f t="shared" si="19"/>
        <v>2423804.5977011495</v>
      </c>
      <c r="R45" s="35">
        <f t="shared" si="15"/>
        <v>275.33045977011494</v>
      </c>
      <c r="S45" s="35">
        <f t="shared" si="58"/>
        <v>12773365</v>
      </c>
      <c r="T45" s="35">
        <f t="shared" si="59"/>
        <v>286554205</v>
      </c>
      <c r="U45" s="35">
        <f t="shared" si="57"/>
        <v>95700000</v>
      </c>
      <c r="AQ45" s="26">
        <v>39</v>
      </c>
      <c r="AR45" s="35">
        <v>95815</v>
      </c>
      <c r="AS45" s="35">
        <v>843484000</v>
      </c>
      <c r="AT45" s="16">
        <v>219305840</v>
      </c>
      <c r="AU45" s="280">
        <v>0</v>
      </c>
      <c r="AV45" s="35">
        <v>52475000</v>
      </c>
      <c r="AW45" s="35">
        <v>273780840</v>
      </c>
      <c r="AX45" s="35">
        <v>80780000</v>
      </c>
      <c r="AY45" s="35">
        <v>277655253</v>
      </c>
      <c r="AZ45" s="35">
        <v>-3874413</v>
      </c>
      <c r="BA45" s="13">
        <v>-1.4151512574802532E-2</v>
      </c>
      <c r="BN45" s="91"/>
      <c r="FS45" s="11">
        <v>39</v>
      </c>
      <c r="FT45" s="16">
        <v>97877</v>
      </c>
      <c r="FU45" s="35">
        <v>860435000</v>
      </c>
      <c r="FV45" s="16">
        <v>222365430</v>
      </c>
      <c r="FW45" s="35">
        <v>632700</v>
      </c>
      <c r="FX45" s="35">
        <v>53300000</v>
      </c>
      <c r="FY45" s="12">
        <v>278298130</v>
      </c>
      <c r="FZ45" s="12">
        <v>193793675</v>
      </c>
      <c r="GA45" s="12">
        <v>88596048</v>
      </c>
      <c r="GB45" s="12">
        <v>282389723</v>
      </c>
      <c r="GC45" s="12">
        <v>-4091593</v>
      </c>
      <c r="GD45" s="13">
        <v>-1.4702193651103585E-2</v>
      </c>
      <c r="GE45" s="35">
        <v>8790.9825597433519</v>
      </c>
    </row>
    <row r="46" spans="2:205" ht="63.95">
      <c r="B46" s="26">
        <v>40</v>
      </c>
      <c r="C46" s="12">
        <v>91018</v>
      </c>
      <c r="D46" s="312">
        <v>243</v>
      </c>
      <c r="E46" s="16">
        <v>801558000</v>
      </c>
      <c r="F46" s="35">
        <v>208405080</v>
      </c>
      <c r="G46" s="16">
        <v>0</v>
      </c>
      <c r="H46" s="16">
        <v>52175000</v>
      </c>
      <c r="I46" s="12">
        <v>262630080</v>
      </c>
      <c r="J46" s="12">
        <v>170474950</v>
      </c>
      <c r="K46" s="12">
        <v>84217681.826523304</v>
      </c>
      <c r="L46" s="12">
        <v>254692631.8265233</v>
      </c>
      <c r="M46" s="12">
        <v>7937448.1734766643</v>
      </c>
      <c r="N46" s="13">
        <v>3.0222921051071775E-2</v>
      </c>
      <c r="O46" s="35">
        <v>8806.5877079259044</v>
      </c>
      <c r="P46" s="35">
        <v>331</v>
      </c>
      <c r="Q46" s="35">
        <f t="shared" si="19"/>
        <v>2421625.3776435046</v>
      </c>
      <c r="R46" s="35">
        <f t="shared" si="15"/>
        <v>274.97885196374625</v>
      </c>
      <c r="S46" s="35">
        <f t="shared" si="58"/>
        <v>-1130130</v>
      </c>
      <c r="T46" s="35">
        <f t="shared" si="59"/>
        <v>261499950</v>
      </c>
      <c r="U46" s="35">
        <f>P46*275000</f>
        <v>91025000</v>
      </c>
      <c r="V46" s="31" t="s">
        <v>113</v>
      </c>
      <c r="W46" s="32" t="s">
        <v>114</v>
      </c>
      <c r="X46" s="32" t="s">
        <v>116</v>
      </c>
      <c r="Y46" s="249" t="s">
        <v>117</v>
      </c>
      <c r="Z46" s="249" t="s">
        <v>118</v>
      </c>
      <c r="AA46" s="249" t="s">
        <v>119</v>
      </c>
      <c r="AB46" s="249" t="s">
        <v>120</v>
      </c>
      <c r="AC46" s="251" t="s">
        <v>121</v>
      </c>
      <c r="AD46" s="251" t="s">
        <v>122</v>
      </c>
      <c r="AE46" s="251" t="s">
        <v>123</v>
      </c>
      <c r="AF46" s="250" t="s">
        <v>124</v>
      </c>
      <c r="AG46" s="250" t="s">
        <v>125</v>
      </c>
      <c r="AH46" s="159" t="s">
        <v>126</v>
      </c>
      <c r="AI46" s="159" t="s">
        <v>127</v>
      </c>
      <c r="AJ46" s="159" t="s">
        <v>131</v>
      </c>
      <c r="AK46" s="159" t="s">
        <v>129</v>
      </c>
      <c r="AM46" s="13"/>
      <c r="AN46" s="13"/>
      <c r="AO46" s="13"/>
      <c r="AP46" s="13"/>
      <c r="AQ46" s="26">
        <v>40</v>
      </c>
      <c r="AR46" s="35">
        <v>91018</v>
      </c>
      <c r="AS46" s="35">
        <v>801558000</v>
      </c>
      <c r="AT46" s="16">
        <v>208405080</v>
      </c>
      <c r="AU46" s="280">
        <v>0</v>
      </c>
      <c r="AV46" s="35">
        <v>52175000</v>
      </c>
      <c r="AW46" s="35">
        <v>262630080</v>
      </c>
      <c r="AX46" s="35">
        <v>77665000</v>
      </c>
      <c r="AY46" s="35">
        <v>254692631.8265233</v>
      </c>
      <c r="AZ46" s="35">
        <v>7937448.1734766643</v>
      </c>
      <c r="BA46" s="13">
        <v>3.0222921051071775E-2</v>
      </c>
      <c r="BJ46" s="13"/>
      <c r="BK46" s="13"/>
      <c r="BL46" s="13"/>
      <c r="BM46" s="13"/>
      <c r="BN46" s="91"/>
      <c r="DS46" s="27"/>
      <c r="DT46" s="27"/>
      <c r="DU46" s="27"/>
      <c r="DV46" s="13"/>
      <c r="FS46" s="11">
        <v>40</v>
      </c>
      <c r="FT46" s="16">
        <v>93191</v>
      </c>
      <c r="FU46" s="35">
        <v>819246002</v>
      </c>
      <c r="FV46" s="16">
        <v>210941910.44</v>
      </c>
      <c r="FW46" s="35">
        <v>466200</v>
      </c>
      <c r="FX46" s="35">
        <v>53125000</v>
      </c>
      <c r="FY46" s="12">
        <v>266583110.44</v>
      </c>
      <c r="FZ46" s="12">
        <v>171937550</v>
      </c>
      <c r="GA46" s="12">
        <v>85532681.826523304</v>
      </c>
      <c r="GB46" s="12">
        <v>257470231.8265233</v>
      </c>
      <c r="GC46" s="12">
        <v>9112878.6134766638</v>
      </c>
      <c r="GD46" s="13">
        <v>3.4184005875074759E-2</v>
      </c>
      <c r="GE46" s="35">
        <v>8791.0420748784745</v>
      </c>
    </row>
    <row r="47" spans="2:205">
      <c r="B47" s="26">
        <v>41</v>
      </c>
      <c r="C47" s="12">
        <v>93244</v>
      </c>
      <c r="D47" s="312">
        <v>252</v>
      </c>
      <c r="E47" s="16">
        <v>821904000</v>
      </c>
      <c r="F47" s="35">
        <v>213657040</v>
      </c>
      <c r="G47" s="16">
        <v>0</v>
      </c>
      <c r="H47" s="16">
        <v>49775000</v>
      </c>
      <c r="I47" s="12">
        <v>264057040</v>
      </c>
      <c r="J47" s="12">
        <v>178615815</v>
      </c>
      <c r="K47" s="12">
        <v>82906052.752688169</v>
      </c>
      <c r="L47" s="12">
        <v>261521867.75268817</v>
      </c>
      <c r="M47" s="12">
        <v>2535172.2473118305</v>
      </c>
      <c r="N47" s="13">
        <v>9.6008508135660021E-3</v>
      </c>
      <c r="O47" s="35">
        <v>8814.5510703101536</v>
      </c>
      <c r="P47" s="35">
        <v>329</v>
      </c>
      <c r="Q47" s="35">
        <f t="shared" si="19"/>
        <v>2498188.4498480242</v>
      </c>
      <c r="R47" s="35">
        <f t="shared" si="15"/>
        <v>283.41641337386017</v>
      </c>
      <c r="S47" s="35">
        <f t="shared" si="58"/>
        <v>5033775</v>
      </c>
      <c r="T47" s="35">
        <f>U47+J47</f>
        <v>269090815</v>
      </c>
      <c r="U47" s="35">
        <f t="shared" si="57"/>
        <v>90475000</v>
      </c>
      <c r="V47" s="11">
        <v>1</v>
      </c>
      <c r="W47" s="16">
        <v>54245</v>
      </c>
      <c r="X47" s="35">
        <v>480963000</v>
      </c>
      <c r="Y47" s="16">
        <v>100897450</v>
      </c>
      <c r="Z47" s="35">
        <v>22268144</v>
      </c>
      <c r="AA47" s="35">
        <v>22205714.285714284</v>
      </c>
      <c r="AB47" s="12">
        <v>145371308.28571427</v>
      </c>
      <c r="AC47" s="12">
        <v>96414428.571428567</v>
      </c>
      <c r="AD47" s="12">
        <v>39489585.714285709</v>
      </c>
      <c r="AE47" s="12">
        <v>135904014.28571427</v>
      </c>
      <c r="AF47" s="12">
        <v>9467294</v>
      </c>
      <c r="AG47" s="13">
        <v>6.512491434274556E-2</v>
      </c>
      <c r="AH47" s="35">
        <v>8866.494607797953</v>
      </c>
      <c r="AI47" s="35">
        <v>309</v>
      </c>
      <c r="AJ47" s="35">
        <f t="shared" ref="AJ47:AJ78" si="60">Y47/AI47</f>
        <v>326528.96440129448</v>
      </c>
      <c r="AK47" s="35">
        <f t="shared" ref="AK47:AK78" si="61">X47/W47</f>
        <v>8866.494607797953</v>
      </c>
      <c r="AQ47" s="26">
        <v>41</v>
      </c>
      <c r="AR47" s="35">
        <v>93244</v>
      </c>
      <c r="AS47" s="35">
        <v>821904000</v>
      </c>
      <c r="AT47" s="16">
        <v>213657040</v>
      </c>
      <c r="AU47" s="280">
        <v>0</v>
      </c>
      <c r="AV47" s="35">
        <v>49775000</v>
      </c>
      <c r="AW47" s="35">
        <v>264057040</v>
      </c>
      <c r="AX47" s="35">
        <v>76510000</v>
      </c>
      <c r="AY47" s="35">
        <v>261521867.75268817</v>
      </c>
      <c r="AZ47" s="35">
        <v>2535172.2473118305</v>
      </c>
      <c r="BA47" s="13">
        <v>9.6008508135660021E-3</v>
      </c>
      <c r="BN47" s="91"/>
      <c r="DS47" s="27"/>
      <c r="DT47" s="27"/>
      <c r="DU47" s="27"/>
      <c r="DV47" s="13"/>
      <c r="FS47" s="11">
        <v>41</v>
      </c>
      <c r="FT47" s="16">
        <v>95442</v>
      </c>
      <c r="FU47" s="35">
        <v>840651002</v>
      </c>
      <c r="FV47" s="16">
        <v>216647940.44</v>
      </c>
      <c r="FW47" s="35">
        <v>499500</v>
      </c>
      <c r="FX47" s="35">
        <v>51050000</v>
      </c>
      <c r="FY47" s="12">
        <v>268847440.44</v>
      </c>
      <c r="FZ47" s="12">
        <v>180625325</v>
      </c>
      <c r="GA47" s="12">
        <v>84936052.752688169</v>
      </c>
      <c r="GB47" s="12">
        <v>265561377.75268817</v>
      </c>
      <c r="GC47" s="12">
        <v>3286062.6873118305</v>
      </c>
      <c r="GD47" s="13">
        <v>1.2222778397792473E-2</v>
      </c>
      <c r="GE47" s="35">
        <v>8807.9776408708949</v>
      </c>
    </row>
    <row r="48" spans="2:205">
      <c r="B48" s="26">
        <v>42</v>
      </c>
      <c r="C48" s="12">
        <v>87894</v>
      </c>
      <c r="D48" s="312">
        <v>243</v>
      </c>
      <c r="E48" s="16">
        <v>773548300</v>
      </c>
      <c r="F48" s="35">
        <v>201047261</v>
      </c>
      <c r="G48" s="16">
        <v>0</v>
      </c>
      <c r="H48" s="16">
        <v>48500000</v>
      </c>
      <c r="I48" s="12">
        <v>251672261</v>
      </c>
      <c r="J48" s="12">
        <v>167387740</v>
      </c>
      <c r="K48" s="12">
        <v>78830203.290322572</v>
      </c>
      <c r="L48" s="12">
        <v>246217943.29032257</v>
      </c>
      <c r="M48" s="12">
        <v>5454317.7096774206</v>
      </c>
      <c r="N48" s="13">
        <v>2.1672303844711041E-2</v>
      </c>
      <c r="O48" s="35">
        <v>8800.922702346008</v>
      </c>
      <c r="P48" s="35">
        <v>313</v>
      </c>
      <c r="Q48" s="35">
        <f t="shared" si="19"/>
        <v>2471400.3194888178</v>
      </c>
      <c r="R48" s="35">
        <f t="shared" si="15"/>
        <v>280.81150159744408</v>
      </c>
      <c r="S48" s="35">
        <f t="shared" si="58"/>
        <v>1790479</v>
      </c>
      <c r="T48" s="35">
        <f t="shared" si="59"/>
        <v>253462740</v>
      </c>
      <c r="U48" s="35">
        <f t="shared" si="57"/>
        <v>86075000</v>
      </c>
      <c r="V48" s="11">
        <v>2</v>
      </c>
      <c r="W48" s="16">
        <v>97349</v>
      </c>
      <c r="X48" s="35">
        <v>861037000</v>
      </c>
      <c r="Y48" s="16">
        <v>196178270</v>
      </c>
      <c r="Z48" s="35">
        <v>38969252</v>
      </c>
      <c r="AA48" s="35">
        <v>41087000</v>
      </c>
      <c r="AB48" s="12">
        <v>276234522</v>
      </c>
      <c r="AC48" s="12">
        <v>167846300</v>
      </c>
      <c r="AD48" s="12">
        <v>77040500</v>
      </c>
      <c r="AE48" s="12">
        <v>244886800</v>
      </c>
      <c r="AF48" s="12">
        <v>31347721.999999996</v>
      </c>
      <c r="AG48" s="13">
        <v>0.11348227503584797</v>
      </c>
      <c r="AH48" s="35">
        <v>8844.8468910825995</v>
      </c>
      <c r="AI48" s="35">
        <v>342</v>
      </c>
      <c r="AJ48" s="35">
        <f t="shared" si="60"/>
        <v>573620.67251461989</v>
      </c>
      <c r="AK48" s="35">
        <f t="shared" si="61"/>
        <v>8844.8468910825995</v>
      </c>
      <c r="AQ48" s="26">
        <v>42</v>
      </c>
      <c r="AR48" s="35">
        <v>87894</v>
      </c>
      <c r="AS48" s="35">
        <v>773548300</v>
      </c>
      <c r="AT48" s="16">
        <v>201047261</v>
      </c>
      <c r="AU48" s="280">
        <v>0</v>
      </c>
      <c r="AV48" s="35">
        <v>48500000</v>
      </c>
      <c r="AW48" s="35">
        <v>251672261</v>
      </c>
      <c r="AX48" s="35">
        <v>73360000</v>
      </c>
      <c r="AY48" s="35">
        <v>246217943.29032257</v>
      </c>
      <c r="AZ48" s="35">
        <v>5454317.7096774206</v>
      </c>
      <c r="BA48" s="13">
        <v>2.1672303844711041E-2</v>
      </c>
      <c r="BN48" s="91"/>
      <c r="FS48" s="11">
        <v>42</v>
      </c>
      <c r="FT48" s="16">
        <v>90222</v>
      </c>
      <c r="FU48" s="35">
        <v>791698300</v>
      </c>
      <c r="FV48" s="16">
        <v>203767331</v>
      </c>
      <c r="FW48" s="35">
        <v>666000</v>
      </c>
      <c r="FX48" s="35">
        <v>49800000</v>
      </c>
      <c r="FY48" s="12">
        <v>256358331</v>
      </c>
      <c r="FZ48" s="12">
        <v>169357490</v>
      </c>
      <c r="GA48" s="12">
        <v>80970203.290322572</v>
      </c>
      <c r="GB48" s="12">
        <v>250327693.29032257</v>
      </c>
      <c r="GC48" s="12">
        <v>6030637.7096774206</v>
      </c>
      <c r="GD48" s="13">
        <v>2.3524250942628507E-2</v>
      </c>
      <c r="GE48" s="35">
        <v>8775.002770942785</v>
      </c>
    </row>
    <row r="49" spans="2:187">
      <c r="B49" s="26">
        <v>43</v>
      </c>
      <c r="C49" s="12">
        <v>75697</v>
      </c>
      <c r="D49" s="312">
        <v>246</v>
      </c>
      <c r="E49" s="16">
        <v>671681900</v>
      </c>
      <c r="F49" s="35">
        <v>174560553</v>
      </c>
      <c r="G49" s="16">
        <v>0</v>
      </c>
      <c r="H49" s="16">
        <v>48400000</v>
      </c>
      <c r="I49" s="12">
        <v>225035553</v>
      </c>
      <c r="J49" s="12">
        <v>155657550</v>
      </c>
      <c r="K49" s="12">
        <v>80370204</v>
      </c>
      <c r="L49" s="12">
        <v>236027754</v>
      </c>
      <c r="M49" s="12">
        <v>-10992201</v>
      </c>
      <c r="N49" s="13">
        <v>-4.8846508267073693E-2</v>
      </c>
      <c r="O49" s="35">
        <v>8873.2961676156247</v>
      </c>
      <c r="P49" s="35">
        <v>317</v>
      </c>
      <c r="Q49" s="35">
        <f t="shared" si="19"/>
        <v>2118870.3470031545</v>
      </c>
      <c r="R49" s="35">
        <f t="shared" si="15"/>
        <v>238.79179810725552</v>
      </c>
      <c r="S49" s="35">
        <f t="shared" si="58"/>
        <v>17796997</v>
      </c>
      <c r="T49" s="35">
        <f t="shared" si="59"/>
        <v>242832550</v>
      </c>
      <c r="U49" s="35">
        <f t="shared" si="57"/>
        <v>87175000</v>
      </c>
      <c r="V49" s="11">
        <v>3</v>
      </c>
      <c r="W49" s="16">
        <v>95652</v>
      </c>
      <c r="X49" s="35">
        <v>844040000</v>
      </c>
      <c r="Y49" s="16">
        <v>192173700</v>
      </c>
      <c r="Z49" s="35">
        <v>38969252.000000007</v>
      </c>
      <c r="AA49" s="35">
        <v>41694000</v>
      </c>
      <c r="AB49" s="12">
        <v>273686951.99999994</v>
      </c>
      <c r="AC49" s="12">
        <v>167877600</v>
      </c>
      <c r="AD49" s="12">
        <v>75974900</v>
      </c>
      <c r="AE49" s="12">
        <v>243852500</v>
      </c>
      <c r="AF49" s="12">
        <v>29834451.999999996</v>
      </c>
      <c r="AG49" s="13">
        <v>0.10900940575347561</v>
      </c>
      <c r="AH49" s="35">
        <v>8824.0705892192527</v>
      </c>
      <c r="AI49" s="35">
        <v>347</v>
      </c>
      <c r="AJ49" s="35">
        <f t="shared" si="60"/>
        <v>553814.69740634004</v>
      </c>
      <c r="AK49" s="35">
        <f t="shared" si="61"/>
        <v>8824.0705892192527</v>
      </c>
      <c r="AQ49" s="26">
        <v>43</v>
      </c>
      <c r="AR49" s="35">
        <v>75697</v>
      </c>
      <c r="AS49" s="35">
        <v>671681900</v>
      </c>
      <c r="AT49" s="16">
        <v>174560553</v>
      </c>
      <c r="AU49" s="280">
        <v>0</v>
      </c>
      <c r="AV49" s="35">
        <v>48400000</v>
      </c>
      <c r="AW49" s="35">
        <v>225035553</v>
      </c>
      <c r="AX49" s="35">
        <v>73325000</v>
      </c>
      <c r="AY49" s="35">
        <v>236027754</v>
      </c>
      <c r="AZ49" s="35">
        <v>-10992201</v>
      </c>
      <c r="BA49" s="13">
        <v>-4.8846508267073693E-2</v>
      </c>
      <c r="BN49" s="91"/>
      <c r="FS49" s="11">
        <v>43</v>
      </c>
      <c r="FT49" s="16">
        <v>77407</v>
      </c>
      <c r="FU49" s="35">
        <v>684462900</v>
      </c>
      <c r="FV49" s="16">
        <v>176441153</v>
      </c>
      <c r="FW49" s="35">
        <v>799200</v>
      </c>
      <c r="FX49" s="35">
        <v>49525000</v>
      </c>
      <c r="FY49" s="12">
        <v>228840353</v>
      </c>
      <c r="FZ49" s="12">
        <v>157453100</v>
      </c>
      <c r="GA49" s="12">
        <v>82610214</v>
      </c>
      <c r="GB49" s="12">
        <v>240063314</v>
      </c>
      <c r="GC49" s="12">
        <v>-11222961</v>
      </c>
      <c r="GD49" s="13">
        <v>-4.9042753399353475E-2</v>
      </c>
      <c r="GE49" s="35">
        <v>8842.3902231064367</v>
      </c>
    </row>
    <row r="50" spans="2:187">
      <c r="B50" s="26">
        <v>44</v>
      </c>
      <c r="C50" s="12">
        <v>76460</v>
      </c>
      <c r="D50" s="392">
        <v>239</v>
      </c>
      <c r="E50" s="16">
        <v>666416800</v>
      </c>
      <c r="F50" s="35">
        <v>173061116</v>
      </c>
      <c r="G50" s="16">
        <v>0</v>
      </c>
      <c r="H50" s="16">
        <v>46300000</v>
      </c>
      <c r="I50" s="12">
        <v>221736115.99999997</v>
      </c>
      <c r="J50" s="12">
        <v>148590004.99999997</v>
      </c>
      <c r="K50" s="12">
        <v>78234835.26451613</v>
      </c>
      <c r="L50" s="12">
        <v>226824840.26451612</v>
      </c>
      <c r="M50" s="12">
        <v>-5088724.2645161254</v>
      </c>
      <c r="N50" s="13">
        <v>-2.2949460630563794E-2</v>
      </c>
      <c r="O50" s="35">
        <v>8715.8880460371438</v>
      </c>
      <c r="P50" s="35">
        <v>310</v>
      </c>
      <c r="Q50" s="35">
        <f t="shared" si="19"/>
        <v>2149731.6129032257</v>
      </c>
      <c r="R50" s="35">
        <f t="shared" si="15"/>
        <v>246.64516129032259</v>
      </c>
      <c r="S50" s="35">
        <f t="shared" si="58"/>
        <v>12103889</v>
      </c>
      <c r="T50" s="35">
        <f t="shared" si="59"/>
        <v>233840004.99999997</v>
      </c>
      <c r="U50" s="35">
        <f t="shared" si="57"/>
        <v>85250000</v>
      </c>
      <c r="V50" s="11">
        <v>4</v>
      </c>
      <c r="W50" s="16">
        <v>90411</v>
      </c>
      <c r="X50" s="35">
        <v>797625000</v>
      </c>
      <c r="Y50" s="16">
        <v>181718270</v>
      </c>
      <c r="Z50" s="35">
        <v>38969252.000000007</v>
      </c>
      <c r="AA50" s="35">
        <v>42164000</v>
      </c>
      <c r="AB50" s="12">
        <v>263476521.99999997</v>
      </c>
      <c r="AC50" s="12">
        <v>260925911</v>
      </c>
      <c r="AD50" s="12">
        <v>76807400</v>
      </c>
      <c r="AE50" s="12">
        <v>337733311</v>
      </c>
      <c r="AF50" s="12">
        <v>-74256789</v>
      </c>
      <c r="AG50" s="13">
        <v>-0.28183455753981757</v>
      </c>
      <c r="AH50" s="35">
        <v>8822.211898994592</v>
      </c>
      <c r="AI50" s="35">
        <v>366</v>
      </c>
      <c r="AJ50" s="35">
        <f t="shared" si="60"/>
        <v>496498.0054644809</v>
      </c>
      <c r="AK50" s="35">
        <f t="shared" si="61"/>
        <v>8822.211898994592</v>
      </c>
      <c r="AQ50" s="26">
        <v>44</v>
      </c>
      <c r="AR50" s="35">
        <v>76460</v>
      </c>
      <c r="AS50" s="35">
        <v>666416800</v>
      </c>
      <c r="AT50" s="16">
        <v>173061116</v>
      </c>
      <c r="AU50" s="280">
        <v>0</v>
      </c>
      <c r="AV50" s="35">
        <v>46300000</v>
      </c>
      <c r="AW50" s="35">
        <v>221736115.99999997</v>
      </c>
      <c r="AX50" s="35">
        <v>72135000</v>
      </c>
      <c r="AY50" s="35">
        <v>226824840.26451612</v>
      </c>
      <c r="AZ50" s="35">
        <v>-5088724.2645161254</v>
      </c>
      <c r="BA50" s="13">
        <v>-2.2949460630563794E-2</v>
      </c>
      <c r="BN50" s="91"/>
      <c r="BO50" s="49" t="s">
        <v>179</v>
      </c>
      <c r="BP50" s="91"/>
      <c r="BQ50" s="91"/>
      <c r="BR50" s="91"/>
      <c r="BS50" s="91"/>
      <c r="BT50" s="91"/>
      <c r="BU50" s="91"/>
      <c r="BV50" s="91"/>
      <c r="FS50" s="11">
        <v>49</v>
      </c>
      <c r="FT50" s="16">
        <v>77739</v>
      </c>
      <c r="FU50" s="35">
        <v>676680180</v>
      </c>
      <c r="FV50" s="16">
        <v>173829752.59999999</v>
      </c>
      <c r="FW50" s="35">
        <v>0</v>
      </c>
      <c r="FX50" s="35">
        <v>47075000</v>
      </c>
      <c r="FY50" s="12">
        <v>223679752.59999999</v>
      </c>
      <c r="FZ50" s="12">
        <v>148856505</v>
      </c>
      <c r="GA50" s="12">
        <v>78110369.683225811</v>
      </c>
      <c r="GB50" s="12">
        <v>226966874.68322581</v>
      </c>
      <c r="GC50" s="12">
        <v>-3287122.0832258197</v>
      </c>
      <c r="GD50" s="13">
        <v>-1.4695662191222487E-2</v>
      </c>
      <c r="GE50" s="35">
        <v>8704.5135646200742</v>
      </c>
    </row>
    <row r="51" spans="2:187">
      <c r="B51" s="26">
        <v>45</v>
      </c>
      <c r="C51" s="12">
        <v>84489</v>
      </c>
      <c r="D51" s="392">
        <v>251</v>
      </c>
      <c r="E51" s="16">
        <v>736866000</v>
      </c>
      <c r="F51" s="35">
        <v>191300160</v>
      </c>
      <c r="G51" s="16">
        <v>0</v>
      </c>
      <c r="H51" s="16">
        <v>48175000</v>
      </c>
      <c r="I51" s="12">
        <v>242200160</v>
      </c>
      <c r="J51" s="12">
        <v>161748200</v>
      </c>
      <c r="K51" s="12">
        <v>78123392.699999988</v>
      </c>
      <c r="L51" s="12">
        <v>239871592.69999999</v>
      </c>
      <c r="M51" s="12">
        <v>2328567.3000000082</v>
      </c>
      <c r="N51" s="13">
        <v>9.6142269270177542E-3</v>
      </c>
      <c r="O51" s="35">
        <v>8721.4430280864963</v>
      </c>
      <c r="P51" s="35">
        <v>316</v>
      </c>
      <c r="Q51" s="35">
        <f t="shared" si="19"/>
        <v>2331854.4303797469</v>
      </c>
      <c r="R51" s="35">
        <f t="shared" si="15"/>
        <v>267.37025316455697</v>
      </c>
      <c r="S51" s="35">
        <f t="shared" si="58"/>
        <v>6448040</v>
      </c>
      <c r="T51" s="35">
        <f t="shared" si="59"/>
        <v>248648200</v>
      </c>
      <c r="U51" s="35">
        <f t="shared" si="57"/>
        <v>86900000</v>
      </c>
      <c r="V51" s="11">
        <v>5</v>
      </c>
      <c r="W51" s="16">
        <v>103168</v>
      </c>
      <c r="X51" s="35">
        <v>915190000</v>
      </c>
      <c r="Y51" s="16">
        <v>207110850</v>
      </c>
      <c r="Z51" s="35">
        <v>39557652.928571425</v>
      </c>
      <c r="AA51" s="35">
        <v>37423500</v>
      </c>
      <c r="AB51" s="12">
        <v>285792002.9285714</v>
      </c>
      <c r="AC51" s="12">
        <v>165344299.99999997</v>
      </c>
      <c r="AD51" s="12">
        <v>81776599.999999985</v>
      </c>
      <c r="AE51" s="12">
        <v>247120899.99999994</v>
      </c>
      <c r="AF51" s="12">
        <v>38671102.92857141</v>
      </c>
      <c r="AG51" s="13">
        <v>0.13531205398436766</v>
      </c>
      <c r="AH51" s="35">
        <v>8870.8708126550864</v>
      </c>
      <c r="AI51" s="35">
        <v>368</v>
      </c>
      <c r="AJ51" s="35">
        <f t="shared" si="60"/>
        <v>562801.22282608692</v>
      </c>
      <c r="AK51" s="35">
        <f t="shared" si="61"/>
        <v>8870.8708126550864</v>
      </c>
      <c r="AQ51" s="26">
        <v>45</v>
      </c>
      <c r="AR51" s="35">
        <v>84489</v>
      </c>
      <c r="AS51" s="35">
        <v>736866000</v>
      </c>
      <c r="AT51" s="16">
        <v>191300160</v>
      </c>
      <c r="AU51" s="280">
        <v>0</v>
      </c>
      <c r="AV51" s="35">
        <v>48175000</v>
      </c>
      <c r="AW51" s="35">
        <v>242200160</v>
      </c>
      <c r="AX51" s="35">
        <v>73535000</v>
      </c>
      <c r="AY51" s="35">
        <v>239871592.69999999</v>
      </c>
      <c r="AZ51" s="35">
        <v>2328567.3000000082</v>
      </c>
      <c r="BA51" s="13">
        <v>9.6142269270177542E-3</v>
      </c>
      <c r="BO51" s="91"/>
      <c r="BP51" s="91"/>
      <c r="BQ51" s="91"/>
      <c r="BR51" s="91"/>
      <c r="BS51" s="91"/>
      <c r="BT51" s="91"/>
      <c r="BU51" s="91"/>
      <c r="BV51" s="91"/>
      <c r="FS51" s="11">
        <v>50</v>
      </c>
      <c r="FT51" s="16">
        <v>81538</v>
      </c>
      <c r="FU51" s="35">
        <v>709651200</v>
      </c>
      <c r="FV51" s="16">
        <v>182586784</v>
      </c>
      <c r="FW51" s="35">
        <v>0</v>
      </c>
      <c r="FX51" s="35">
        <v>45825000</v>
      </c>
      <c r="FY51" s="12">
        <v>230661784</v>
      </c>
      <c r="FZ51" s="12">
        <v>155245785</v>
      </c>
      <c r="GA51" s="12">
        <v>74055369.683225825</v>
      </c>
      <c r="GB51" s="12">
        <v>229301154.68322581</v>
      </c>
      <c r="GC51" s="12">
        <v>1360629.3167741806</v>
      </c>
      <c r="GD51" s="13">
        <v>5.8988068728982887E-3</v>
      </c>
      <c r="GE51" s="35">
        <v>8703.3186980303653</v>
      </c>
    </row>
    <row r="52" spans="2:187">
      <c r="B52" s="26">
        <v>46</v>
      </c>
      <c r="C52" s="12">
        <v>82594</v>
      </c>
      <c r="D52" s="392">
        <v>244</v>
      </c>
      <c r="E52" s="16">
        <v>720057200</v>
      </c>
      <c r="F52" s="35">
        <v>186872264</v>
      </c>
      <c r="G52" s="16">
        <v>0</v>
      </c>
      <c r="H52" s="16">
        <v>47000000</v>
      </c>
      <c r="I52" s="12">
        <v>236722264</v>
      </c>
      <c r="J52" s="12">
        <v>158519955</v>
      </c>
      <c r="K52" s="12">
        <v>77811726.033333346</v>
      </c>
      <c r="L52" s="12">
        <v>236331681.03333336</v>
      </c>
      <c r="M52" s="12">
        <v>390582.96666667366</v>
      </c>
      <c r="N52" s="13">
        <v>1.6499629568711529E-3</v>
      </c>
      <c r="O52" s="35">
        <v>8718.0327868852455</v>
      </c>
      <c r="P52" s="35">
        <v>309</v>
      </c>
      <c r="Q52" s="35">
        <f t="shared" si="19"/>
        <v>2330282.2006472494</v>
      </c>
      <c r="R52" s="35">
        <f t="shared" si="15"/>
        <v>267.29449838187702</v>
      </c>
      <c r="S52" s="35">
        <f t="shared" si="58"/>
        <v>6772691</v>
      </c>
      <c r="T52" s="35">
        <f t="shared" si="59"/>
        <v>243494955</v>
      </c>
      <c r="U52" s="35">
        <f t="shared" si="57"/>
        <v>84975000</v>
      </c>
      <c r="V52" s="11">
        <v>6</v>
      </c>
      <c r="W52" s="16">
        <v>104904</v>
      </c>
      <c r="X52" s="35">
        <v>927044000</v>
      </c>
      <c r="Y52" s="16">
        <v>212139170</v>
      </c>
      <c r="Z52" s="35">
        <v>43088058.5</v>
      </c>
      <c r="AA52" s="35">
        <v>49652000</v>
      </c>
      <c r="AB52" s="12">
        <v>305629228.5</v>
      </c>
      <c r="AC52" s="12">
        <v>189953800</v>
      </c>
      <c r="AD52" s="12">
        <v>93668500</v>
      </c>
      <c r="AE52" s="12">
        <v>283622300</v>
      </c>
      <c r="AF52" s="12">
        <v>22006928.5</v>
      </c>
      <c r="AG52" s="13">
        <v>7.2005313784967398E-2</v>
      </c>
      <c r="AH52" s="35">
        <v>8837.0700831236172</v>
      </c>
      <c r="AI52" s="35">
        <v>398</v>
      </c>
      <c r="AJ52" s="35">
        <f t="shared" si="60"/>
        <v>533012.98994974873</v>
      </c>
      <c r="AK52" s="35">
        <f t="shared" si="61"/>
        <v>8837.0700831236172</v>
      </c>
      <c r="AM52" s="27"/>
      <c r="AN52" s="27"/>
      <c r="AO52" s="27"/>
      <c r="AP52" s="27"/>
      <c r="AQ52" s="26">
        <v>46</v>
      </c>
      <c r="AR52" s="35">
        <v>82594</v>
      </c>
      <c r="AS52" s="35">
        <v>720057200</v>
      </c>
      <c r="AT52" s="16">
        <v>186872264</v>
      </c>
      <c r="AU52" s="280">
        <v>0</v>
      </c>
      <c r="AV52" s="35">
        <v>47000000</v>
      </c>
      <c r="AW52" s="35">
        <v>236722264</v>
      </c>
      <c r="AX52" s="35">
        <v>71890000</v>
      </c>
      <c r="AY52" s="35">
        <v>236331681.03333336</v>
      </c>
      <c r="AZ52" s="35">
        <v>390582.96666667366</v>
      </c>
      <c r="BA52" s="13">
        <v>1.6499629568711529E-3</v>
      </c>
      <c r="BJ52" s="27"/>
      <c r="BK52" s="27"/>
      <c r="BL52" s="43"/>
      <c r="BM52" s="43"/>
      <c r="BV52" s="91"/>
      <c r="FS52" s="11">
        <v>51</v>
      </c>
      <c r="FT52" s="16">
        <v>69746</v>
      </c>
      <c r="FU52" s="35">
        <v>606090200</v>
      </c>
      <c r="FV52" s="16">
        <v>156080790</v>
      </c>
      <c r="FW52" s="35">
        <v>0</v>
      </c>
      <c r="FX52" s="35">
        <v>42120000</v>
      </c>
      <c r="FY52" s="12">
        <v>200325790</v>
      </c>
      <c r="FZ52" s="12">
        <v>135628540</v>
      </c>
      <c r="GA52" s="12">
        <v>73025369.683225825</v>
      </c>
      <c r="GB52" s="12">
        <v>208653909.68322581</v>
      </c>
      <c r="GC52" s="12">
        <v>-8328119.6832258189</v>
      </c>
      <c r="GD52" s="13">
        <v>-4.1572878276061306E-2</v>
      </c>
      <c r="GE52" s="35">
        <v>8689.963582140912</v>
      </c>
    </row>
    <row r="53" spans="2:187">
      <c r="B53" s="26">
        <v>47</v>
      </c>
      <c r="C53" s="12">
        <v>73695</v>
      </c>
      <c r="D53" s="312">
        <v>240</v>
      </c>
      <c r="E53" s="16">
        <v>640613400</v>
      </c>
      <c r="F53" s="35">
        <v>166275738</v>
      </c>
      <c r="G53" s="16">
        <v>0</v>
      </c>
      <c r="H53" s="16">
        <v>46650000</v>
      </c>
      <c r="I53" s="12">
        <v>215930738</v>
      </c>
      <c r="J53" s="12">
        <v>145775280</v>
      </c>
      <c r="K53" s="12">
        <v>76016726.333333343</v>
      </c>
      <c r="L53" s="12">
        <v>221792006.33333334</v>
      </c>
      <c r="M53" s="12">
        <v>-5861268.3333333349</v>
      </c>
      <c r="N53" s="13">
        <v>-2.7144205533782481E-2</v>
      </c>
      <c r="O53" s="35">
        <v>8692.7661306737227</v>
      </c>
      <c r="P53" s="35">
        <v>309</v>
      </c>
      <c r="Q53" s="35">
        <f t="shared" si="19"/>
        <v>2073182.5242718447</v>
      </c>
      <c r="R53" s="35">
        <f t="shared" si="15"/>
        <v>238.49514563106797</v>
      </c>
      <c r="S53" s="35">
        <f t="shared" si="58"/>
        <v>14819542</v>
      </c>
      <c r="T53" s="35">
        <f t="shared" si="59"/>
        <v>230750280</v>
      </c>
      <c r="U53" s="35">
        <f t="shared" si="57"/>
        <v>84975000</v>
      </c>
      <c r="V53" s="11">
        <v>7</v>
      </c>
      <c r="W53" s="16">
        <v>108270</v>
      </c>
      <c r="X53" s="35">
        <v>953558000</v>
      </c>
      <c r="Y53" s="16">
        <v>217451490</v>
      </c>
      <c r="Z53" s="35">
        <v>43088058.5</v>
      </c>
      <c r="AA53" s="35">
        <v>48574000</v>
      </c>
      <c r="AB53" s="12">
        <v>310113548.5</v>
      </c>
      <c r="AC53" s="12">
        <v>194543800</v>
      </c>
      <c r="AD53" s="12">
        <v>93043500</v>
      </c>
      <c r="AE53" s="12">
        <v>287587300</v>
      </c>
      <c r="AF53" s="12">
        <v>22526248.5</v>
      </c>
      <c r="AG53" s="13">
        <v>7.2638711236442485E-2</v>
      </c>
      <c r="AH53" s="35">
        <v>8807.2226840306648</v>
      </c>
      <c r="AI53" s="35">
        <v>398</v>
      </c>
      <c r="AJ53" s="35">
        <f t="shared" si="60"/>
        <v>546360.52763819101</v>
      </c>
      <c r="AK53" s="35">
        <f t="shared" si="61"/>
        <v>8807.2226840306648</v>
      </c>
      <c r="AQ53" s="26">
        <v>47</v>
      </c>
      <c r="AR53" s="35">
        <v>73695</v>
      </c>
      <c r="AS53" s="35">
        <v>640613400</v>
      </c>
      <c r="AT53" s="16">
        <v>166275738</v>
      </c>
      <c r="AU53" s="280">
        <v>0</v>
      </c>
      <c r="AV53" s="35">
        <v>46650000</v>
      </c>
      <c r="AW53" s="35">
        <v>215930738</v>
      </c>
      <c r="AX53" s="35">
        <v>71120000</v>
      </c>
      <c r="AY53" s="35">
        <v>221792006.33333334</v>
      </c>
      <c r="AZ53" s="35">
        <v>-5861268.3333333349</v>
      </c>
      <c r="BA53" s="13">
        <v>-2.7144205533782481E-2</v>
      </c>
      <c r="BC53" t="s">
        <v>1</v>
      </c>
      <c r="BV53" s="91"/>
      <c r="FS53" s="11">
        <v>52</v>
      </c>
      <c r="FT53" s="16">
        <v>76965</v>
      </c>
      <c r="FU53" s="35">
        <v>668358600</v>
      </c>
      <c r="FV53" s="16">
        <v>172139722</v>
      </c>
      <c r="FW53" s="35">
        <v>0</v>
      </c>
      <c r="FX53" s="35">
        <v>43055000</v>
      </c>
      <c r="FY53" s="12">
        <v>217369722</v>
      </c>
      <c r="FZ53" s="12">
        <v>151840280</v>
      </c>
      <c r="GA53" s="12">
        <v>73655369.683225825</v>
      </c>
      <c r="GB53" s="12">
        <v>225495649.68322581</v>
      </c>
      <c r="GC53" s="12">
        <v>-8125927.6832258189</v>
      </c>
      <c r="GD53" s="13">
        <v>-3.7382978680102555E-2</v>
      </c>
      <c r="GE53" s="35">
        <v>8683.9290586630286</v>
      </c>
    </row>
    <row r="54" spans="2:187">
      <c r="B54" s="26">
        <v>48</v>
      </c>
      <c r="C54" s="12">
        <v>87453</v>
      </c>
      <c r="D54" s="312">
        <v>241</v>
      </c>
      <c r="E54" s="16">
        <v>759897100</v>
      </c>
      <c r="F54" s="35">
        <v>197195697</v>
      </c>
      <c r="G54" s="16">
        <v>0</v>
      </c>
      <c r="H54" s="16">
        <v>45695000</v>
      </c>
      <c r="I54" s="12">
        <v>245865697</v>
      </c>
      <c r="J54" s="12">
        <v>174590990</v>
      </c>
      <c r="K54" s="12">
        <v>76701726.033333346</v>
      </c>
      <c r="L54" s="12">
        <v>251292716.03333336</v>
      </c>
      <c r="M54" s="12">
        <v>-5427019.0333333267</v>
      </c>
      <c r="N54" s="13">
        <v>-2.2073103729201096E-2</v>
      </c>
      <c r="O54" s="35">
        <v>8689.2056304529287</v>
      </c>
      <c r="P54" s="35">
        <v>303</v>
      </c>
      <c r="Q54" s="35">
        <f t="shared" si="19"/>
        <v>2507911.2211221121</v>
      </c>
      <c r="R54" s="35">
        <f t="shared" si="15"/>
        <v>288.62376237623761</v>
      </c>
      <c r="S54" s="35">
        <f t="shared" si="58"/>
        <v>12050293</v>
      </c>
      <c r="T54" s="35">
        <f t="shared" si="59"/>
        <v>257915990</v>
      </c>
      <c r="U54" s="35">
        <f t="shared" si="57"/>
        <v>83325000</v>
      </c>
      <c r="V54" s="11">
        <v>8</v>
      </c>
      <c r="W54" s="16">
        <v>101345</v>
      </c>
      <c r="X54" s="35">
        <v>931250000</v>
      </c>
      <c r="Y54" s="16">
        <v>212559450</v>
      </c>
      <c r="Z54" s="35">
        <v>43088058.5</v>
      </c>
      <c r="AA54" s="35">
        <v>49215000</v>
      </c>
      <c r="AB54" s="12">
        <v>306412508.5</v>
      </c>
      <c r="AC54" s="12">
        <v>268915358</v>
      </c>
      <c r="AD54" s="12">
        <v>94848500</v>
      </c>
      <c r="AE54" s="12">
        <v>363763858</v>
      </c>
      <c r="AF54" s="12">
        <v>-57351349.5</v>
      </c>
      <c r="AG54" s="13">
        <v>-0.18717039255595533</v>
      </c>
      <c r="AH54" s="35">
        <v>9188.9091716414223</v>
      </c>
      <c r="AI54" s="35">
        <v>407</v>
      </c>
      <c r="AJ54" s="35">
        <f t="shared" si="60"/>
        <v>522259.09090909088</v>
      </c>
      <c r="AK54" s="35">
        <f t="shared" si="61"/>
        <v>9188.9091716414223</v>
      </c>
      <c r="AQ54" s="26">
        <v>48</v>
      </c>
      <c r="AR54" s="35">
        <v>87453</v>
      </c>
      <c r="AS54" s="35">
        <v>759897100</v>
      </c>
      <c r="AT54" s="16">
        <v>197195697</v>
      </c>
      <c r="AU54" s="280">
        <v>0</v>
      </c>
      <c r="AV54" s="35">
        <v>45695000</v>
      </c>
      <c r="AW54" s="35">
        <v>245865697</v>
      </c>
      <c r="AX54" s="35">
        <v>70980000</v>
      </c>
      <c r="AY54" s="35">
        <v>251292716.03333333</v>
      </c>
      <c r="AZ54" s="35">
        <v>-5427019.0333333258</v>
      </c>
      <c r="BA54" s="13">
        <v>-2.2073103729201092E-2</v>
      </c>
      <c r="BC54">
        <v>20</v>
      </c>
      <c r="BD54" s="35">
        <v>259000</v>
      </c>
      <c r="BE54" s="35">
        <v>173000</v>
      </c>
      <c r="BF54" s="35">
        <f>BD54-BE54</f>
        <v>86000</v>
      </c>
      <c r="BG54" s="27">
        <f>BF54/BD54</f>
        <v>0.33204633204633205</v>
      </c>
      <c r="BH54" s="12">
        <f t="shared" ref="BH54:BH65" si="62">AZ63+BF54</f>
        <v>86000.01577644491</v>
      </c>
      <c r="BI54" s="27">
        <f t="shared" ref="BI54:BI65" si="63">BH54/(BD54+AW63)</f>
        <v>0.3320463903469576</v>
      </c>
      <c r="BV54" s="91"/>
      <c r="FS54" s="11">
        <v>44</v>
      </c>
      <c r="FT54" s="16">
        <v>78066</v>
      </c>
      <c r="FU54" s="35">
        <v>679274800</v>
      </c>
      <c r="FV54" s="16">
        <v>174904116</v>
      </c>
      <c r="FW54" s="35">
        <v>632700</v>
      </c>
      <c r="FX54" s="35">
        <v>47200000</v>
      </c>
      <c r="FY54" s="12">
        <v>225111816</v>
      </c>
      <c r="FZ54" s="12">
        <v>150107385</v>
      </c>
      <c r="GA54" s="12">
        <v>79914835.26451613</v>
      </c>
      <c r="GB54" s="12">
        <v>230022220.26451612</v>
      </c>
      <c r="GC54" s="12">
        <v>-4910404.2645161264</v>
      </c>
      <c r="GD54" s="13">
        <v>-2.1813178676130116E-2</v>
      </c>
      <c r="GE54" s="35">
        <v>8701.2886531908898</v>
      </c>
    </row>
    <row r="55" spans="2:187">
      <c r="B55" s="26">
        <v>49</v>
      </c>
      <c r="C55" s="12">
        <v>76669</v>
      </c>
      <c r="D55" s="312">
        <v>237</v>
      </c>
      <c r="E55" s="16">
        <v>666314180</v>
      </c>
      <c r="F55" s="35">
        <v>172670512.59999999</v>
      </c>
      <c r="G55" s="16">
        <v>0</v>
      </c>
      <c r="H55" s="16">
        <v>46825000</v>
      </c>
      <c r="I55" s="12">
        <v>222270512.59999999</v>
      </c>
      <c r="J55" s="12">
        <v>148453185</v>
      </c>
      <c r="K55" s="12">
        <v>77293703.016559139</v>
      </c>
      <c r="L55" s="12">
        <v>225746888.01655912</v>
      </c>
      <c r="M55" s="12">
        <v>-3476375.4165591523</v>
      </c>
      <c r="N55" s="13">
        <v>-1.5640290634571345E-2</v>
      </c>
      <c r="O55" s="35">
        <v>8690.790019434191</v>
      </c>
      <c r="P55" s="35">
        <v>301</v>
      </c>
      <c r="Q55" s="35">
        <f t="shared" si="19"/>
        <v>2213668.3720930233</v>
      </c>
      <c r="R55" s="35">
        <f t="shared" si="15"/>
        <v>254.71428571428572</v>
      </c>
      <c r="S55" s="35">
        <f t="shared" ref="S55" si="64">T55-I55</f>
        <v>8957672.400000006</v>
      </c>
      <c r="T55" s="35">
        <f t="shared" ref="T55" si="65">U55+J55</f>
        <v>231228185</v>
      </c>
      <c r="U55" s="35">
        <f t="shared" ref="U55" si="66">P55*275000</f>
        <v>82775000</v>
      </c>
      <c r="V55" s="11">
        <v>9</v>
      </c>
      <c r="W55" s="16">
        <v>97433</v>
      </c>
      <c r="X55" s="35">
        <v>859401000</v>
      </c>
      <c r="Y55" s="16">
        <v>196275520</v>
      </c>
      <c r="Z55" s="35">
        <v>43224981.152073726</v>
      </c>
      <c r="AA55" s="35">
        <v>48508000</v>
      </c>
      <c r="AB55" s="12">
        <v>289858501.15207368</v>
      </c>
      <c r="AC55" s="12">
        <v>179308000</v>
      </c>
      <c r="AD55" s="12">
        <v>91130500</v>
      </c>
      <c r="AE55" s="12">
        <v>270438500</v>
      </c>
      <c r="AF55" s="12">
        <v>19420001.152073722</v>
      </c>
      <c r="AG55" s="13">
        <v>6.6998211454509168E-2</v>
      </c>
      <c r="AH55" s="35">
        <v>8820.4304496423192</v>
      </c>
      <c r="AI55" s="35">
        <v>398</v>
      </c>
      <c r="AJ55" s="35">
        <f t="shared" si="60"/>
        <v>493154.57286432158</v>
      </c>
      <c r="AK55" s="35">
        <f t="shared" si="61"/>
        <v>8820.4304496423192</v>
      </c>
      <c r="AQ55" s="26">
        <v>49</v>
      </c>
      <c r="AR55" s="35">
        <v>76669</v>
      </c>
      <c r="AS55" s="35">
        <v>666314180</v>
      </c>
      <c r="AT55" s="16">
        <v>172670512.59999999</v>
      </c>
      <c r="AU55" s="280">
        <v>0</v>
      </c>
      <c r="AV55" s="35">
        <v>46825000</v>
      </c>
      <c r="AW55" s="35">
        <v>222270512.59999999</v>
      </c>
      <c r="AX55" s="35">
        <v>70385000</v>
      </c>
      <c r="AY55" s="35">
        <v>225746888.01655915</v>
      </c>
      <c r="AZ55" s="35">
        <v>-3476375.4165591528</v>
      </c>
      <c r="BA55" s="13">
        <v>-1.5640290634571348E-2</v>
      </c>
      <c r="BC55">
        <v>21</v>
      </c>
      <c r="BD55" s="35">
        <v>466200</v>
      </c>
      <c r="BE55" s="35">
        <v>311400</v>
      </c>
      <c r="BF55" s="35">
        <f t="shared" ref="BF55:BF56" si="67">BD55-BE55</f>
        <v>154800</v>
      </c>
      <c r="BG55" s="27">
        <f t="shared" ref="BG55:BG56" si="68">BF55/BD55</f>
        <v>0.33204633204633205</v>
      </c>
      <c r="BH55" s="12">
        <f t="shared" si="62"/>
        <v>-11190720</v>
      </c>
      <c r="BI55" s="27">
        <f t="shared" si="63"/>
        <v>-0.19141411549790124</v>
      </c>
      <c r="BV55" s="91"/>
      <c r="FS55" s="11">
        <v>45</v>
      </c>
      <c r="FT55" s="16">
        <v>85995</v>
      </c>
      <c r="FU55" s="35">
        <v>748525006</v>
      </c>
      <c r="FV55" s="16">
        <v>192745901.31999999</v>
      </c>
      <c r="FW55" s="35">
        <v>566100</v>
      </c>
      <c r="FX55" s="35">
        <v>49000000</v>
      </c>
      <c r="FY55" s="12">
        <v>245037001.31999999</v>
      </c>
      <c r="FZ55" s="12">
        <v>162917050</v>
      </c>
      <c r="GA55" s="12">
        <v>79558392.700000003</v>
      </c>
      <c r="GB55" s="12">
        <v>242475442.69999999</v>
      </c>
      <c r="GC55" s="12">
        <v>2561558.6200000085</v>
      </c>
      <c r="GD55" s="13">
        <v>1.0453762518317814E-2</v>
      </c>
      <c r="GE55" s="35">
        <v>8704.2852026280598</v>
      </c>
    </row>
    <row r="56" spans="2:187">
      <c r="B56" s="26">
        <v>50</v>
      </c>
      <c r="C56" s="12">
        <v>80575</v>
      </c>
      <c r="D56" s="312">
        <v>226</v>
      </c>
      <c r="E56" s="16">
        <v>700293200</v>
      </c>
      <c r="F56" s="35">
        <v>181605944</v>
      </c>
      <c r="G56" s="16">
        <v>0</v>
      </c>
      <c r="H56" s="16">
        <v>45600000</v>
      </c>
      <c r="I56" s="12">
        <v>229455944</v>
      </c>
      <c r="J56" s="12">
        <v>154959035</v>
      </c>
      <c r="K56" s="12">
        <v>73273703.016559139</v>
      </c>
      <c r="L56" s="12">
        <v>228232738.01655912</v>
      </c>
      <c r="M56" s="12">
        <v>1223205.9834408476</v>
      </c>
      <c r="N56" s="13">
        <v>5.3308969125717993E-3</v>
      </c>
      <c r="O56" s="35">
        <v>8691.197021408625</v>
      </c>
      <c r="P56" s="35">
        <v>292</v>
      </c>
      <c r="Q56" s="35">
        <f t="shared" si="19"/>
        <v>2398264.3835616438</v>
      </c>
      <c r="R56" s="35">
        <f t="shared" si="15"/>
        <v>275.9417808219178</v>
      </c>
      <c r="S56" s="35">
        <f>T56-I56</f>
        <v>5803091</v>
      </c>
      <c r="T56" s="35">
        <f>U56+J56</f>
        <v>235259035</v>
      </c>
      <c r="U56" s="35">
        <f>P56*275000</f>
        <v>80300000</v>
      </c>
      <c r="V56" s="11">
        <v>10</v>
      </c>
      <c r="W56" s="378">
        <v>60257</v>
      </c>
      <c r="X56" s="35">
        <v>535299000</v>
      </c>
      <c r="Y56" s="16">
        <v>122050710</v>
      </c>
      <c r="Z56" s="35">
        <v>44046517.06451612</v>
      </c>
      <c r="AA56" s="35">
        <v>49756000</v>
      </c>
      <c r="AB56" s="12">
        <v>217303227.06451613</v>
      </c>
      <c r="AC56" s="12">
        <v>127546300</v>
      </c>
      <c r="AD56" s="12">
        <v>96406580</v>
      </c>
      <c r="AE56" s="12">
        <v>223952880</v>
      </c>
      <c r="AF56" s="12">
        <v>-6649652.9354838682</v>
      </c>
      <c r="AG56" s="13">
        <v>-3.060080158639164E-2</v>
      </c>
      <c r="AH56" s="35">
        <v>8883.5985860563924</v>
      </c>
      <c r="AI56" s="35">
        <v>421</v>
      </c>
      <c r="AJ56" s="35">
        <f t="shared" si="60"/>
        <v>289906.67458432302</v>
      </c>
      <c r="AK56" s="35">
        <f t="shared" si="61"/>
        <v>8883.5985860563924</v>
      </c>
      <c r="AQ56" s="26">
        <v>50</v>
      </c>
      <c r="AR56" s="35">
        <v>80575</v>
      </c>
      <c r="AS56" s="35">
        <v>700293200</v>
      </c>
      <c r="AT56" s="16">
        <v>181605944</v>
      </c>
      <c r="AU56" s="280">
        <v>0</v>
      </c>
      <c r="AV56" s="35">
        <v>45600000</v>
      </c>
      <c r="AW56" s="35">
        <v>229455944</v>
      </c>
      <c r="AX56" s="35">
        <v>66815000</v>
      </c>
      <c r="AY56" s="35">
        <v>228232738.01655912</v>
      </c>
      <c r="AZ56" s="35">
        <v>1223205.9834408471</v>
      </c>
      <c r="BA56" s="13">
        <v>5.3308969125717967E-3</v>
      </c>
      <c r="BC56">
        <v>22</v>
      </c>
      <c r="BD56" s="35">
        <v>725200</v>
      </c>
      <c r="BE56" s="35">
        <v>484400</v>
      </c>
      <c r="BF56" s="35">
        <f t="shared" si="67"/>
        <v>240800</v>
      </c>
      <c r="BG56" s="27">
        <f t="shared" si="68"/>
        <v>0.33204633204633205</v>
      </c>
      <c r="BH56" s="12">
        <f t="shared" si="62"/>
        <v>-341600</v>
      </c>
      <c r="BI56" s="27">
        <f t="shared" si="63"/>
        <v>-0.14184868366414749</v>
      </c>
      <c r="BV56" s="91"/>
      <c r="FS56" s="11">
        <v>46</v>
      </c>
      <c r="FT56" s="16">
        <v>83795</v>
      </c>
      <c r="FU56" s="35">
        <v>729546204</v>
      </c>
      <c r="FV56" s="16">
        <v>188081224.88</v>
      </c>
      <c r="FW56" s="35">
        <v>532800</v>
      </c>
      <c r="FX56" s="35">
        <v>47825000</v>
      </c>
      <c r="FY56" s="12">
        <v>239289024.88</v>
      </c>
      <c r="FZ56" s="12">
        <v>159664755</v>
      </c>
      <c r="GA56" s="12">
        <v>79643392.700000003</v>
      </c>
      <c r="GB56" s="12">
        <v>239308147.69999999</v>
      </c>
      <c r="GC56" s="12">
        <v>-19122.81999999308</v>
      </c>
      <c r="GD56" s="13">
        <v>-7.9915157034815527E-5</v>
      </c>
      <c r="GE56" s="35">
        <v>8706.321427292798</v>
      </c>
    </row>
    <row r="57" spans="2:187">
      <c r="B57" s="26">
        <v>51</v>
      </c>
      <c r="C57" s="12">
        <v>68914</v>
      </c>
      <c r="D57" s="312">
        <v>222</v>
      </c>
      <c r="E57" s="16">
        <v>597976200</v>
      </c>
      <c r="F57" s="35">
        <v>155079540</v>
      </c>
      <c r="G57" s="16">
        <v>0</v>
      </c>
      <c r="H57" s="16">
        <v>41895000</v>
      </c>
      <c r="I57" s="12">
        <v>199099540</v>
      </c>
      <c r="J57" s="12">
        <v>135128260</v>
      </c>
      <c r="K57" s="12">
        <v>72243703.016559139</v>
      </c>
      <c r="L57" s="12">
        <v>207371963.01655912</v>
      </c>
      <c r="M57" s="12">
        <v>-8272423.0165591529</v>
      </c>
      <c r="N57" s="13">
        <v>-4.1549181964755683E-2</v>
      </c>
      <c r="O57" s="35">
        <v>8677.1367211306842</v>
      </c>
      <c r="P57" s="35">
        <v>292</v>
      </c>
      <c r="Q57" s="35">
        <f t="shared" si="19"/>
        <v>2047863.6986301369</v>
      </c>
      <c r="R57" s="35">
        <f t="shared" si="15"/>
        <v>236.00684931506851</v>
      </c>
      <c r="S57" s="35">
        <f>T57-I57</f>
        <v>16328720</v>
      </c>
      <c r="T57" s="35">
        <f>U57+J57</f>
        <v>215428260</v>
      </c>
      <c r="U57" s="35">
        <f>P57*275000</f>
        <v>80300000</v>
      </c>
      <c r="V57" s="11">
        <v>11</v>
      </c>
      <c r="W57" s="378">
        <v>66534</v>
      </c>
      <c r="X57" s="35">
        <v>590943000</v>
      </c>
      <c r="Y57" s="16">
        <v>134745620</v>
      </c>
      <c r="Z57" s="35">
        <v>44046517.06451612</v>
      </c>
      <c r="AA57" s="35">
        <v>47567000</v>
      </c>
      <c r="AB57" s="12">
        <v>227259137.06451613</v>
      </c>
      <c r="AC57" s="12">
        <v>139911400</v>
      </c>
      <c r="AD57" s="12">
        <v>91525580</v>
      </c>
      <c r="AE57" s="12">
        <v>231436980</v>
      </c>
      <c r="AF57" s="12">
        <v>-4177842.9354838682</v>
      </c>
      <c r="AG57" s="13">
        <v>-1.8383608199206657E-2</v>
      </c>
      <c r="AH57" s="35">
        <v>8881.8198214446747</v>
      </c>
      <c r="AI57" s="35">
        <v>397</v>
      </c>
      <c r="AJ57" s="35">
        <f t="shared" si="60"/>
        <v>339409.62216624687</v>
      </c>
      <c r="AK57" s="35">
        <f t="shared" si="61"/>
        <v>8881.8198214446747</v>
      </c>
      <c r="AQ57" s="26">
        <v>51</v>
      </c>
      <c r="AR57" s="35">
        <v>68914</v>
      </c>
      <c r="AS57" s="35">
        <v>597976200</v>
      </c>
      <c r="AT57" s="16">
        <v>155079540</v>
      </c>
      <c r="AU57" s="280">
        <v>0</v>
      </c>
      <c r="AV57" s="35">
        <v>41895000</v>
      </c>
      <c r="AW57" s="35">
        <v>199099540</v>
      </c>
      <c r="AX57" s="35">
        <v>66010000</v>
      </c>
      <c r="AY57" s="35">
        <v>207371963.01655912</v>
      </c>
      <c r="AZ57" s="35">
        <v>-8272423.0165591529</v>
      </c>
      <c r="BA57" s="13">
        <v>-4.1549181964755683E-2</v>
      </c>
      <c r="BC57">
        <v>23</v>
      </c>
      <c r="BD57" s="35">
        <v>725200</v>
      </c>
      <c r="BE57" s="35">
        <v>484400</v>
      </c>
      <c r="BF57" s="35">
        <f t="shared" ref="BF57" si="69">BD57-BE57</f>
        <v>240800</v>
      </c>
      <c r="BG57" s="27">
        <f t="shared" ref="BG57" si="70">BF57/BD57</f>
        <v>0.33204633204633205</v>
      </c>
      <c r="BH57" s="12">
        <f t="shared" si="62"/>
        <v>-20300</v>
      </c>
      <c r="BI57" s="27">
        <f t="shared" si="63"/>
        <v>-9.4357162777726124E-3</v>
      </c>
      <c r="BV57" s="91"/>
      <c r="FS57" s="242">
        <v>47</v>
      </c>
      <c r="FT57" s="81">
        <v>74556</v>
      </c>
      <c r="FU57" s="37">
        <v>648515400</v>
      </c>
      <c r="FV57" s="81">
        <v>167070378</v>
      </c>
      <c r="FW57" s="37">
        <v>99900</v>
      </c>
      <c r="FX57" s="37">
        <v>46950000</v>
      </c>
      <c r="FY57" s="246">
        <v>217125278</v>
      </c>
      <c r="FZ57" s="246">
        <v>146163980</v>
      </c>
      <c r="GA57" s="246">
        <v>76903393</v>
      </c>
      <c r="GB57" s="246">
        <v>223067373</v>
      </c>
      <c r="GC57" s="246">
        <v>-5942095.0000000009</v>
      </c>
      <c r="GD57" s="244">
        <v>-2.7367126733166467E-2</v>
      </c>
      <c r="GE57" s="37">
        <v>8698.3663286657011</v>
      </c>
    </row>
    <row r="58" spans="2:187">
      <c r="B58" s="26">
        <v>52</v>
      </c>
      <c r="C58" s="12">
        <v>76162</v>
      </c>
      <c r="D58" s="312">
        <v>226</v>
      </c>
      <c r="E58" s="16">
        <v>660811600</v>
      </c>
      <c r="F58" s="35">
        <v>171281752</v>
      </c>
      <c r="G58" s="16">
        <v>0</v>
      </c>
      <c r="H58" s="16">
        <v>43030000</v>
      </c>
      <c r="I58" s="12">
        <v>216486752</v>
      </c>
      <c r="J58" s="12">
        <v>151128560</v>
      </c>
      <c r="K58" s="12">
        <v>73153703.016559139</v>
      </c>
      <c r="L58" s="12">
        <v>224282263.01655912</v>
      </c>
      <c r="M58" s="12">
        <v>-7795511.0165591529</v>
      </c>
      <c r="N58" s="13">
        <v>-3.6009182753867323E-2</v>
      </c>
      <c r="O58" s="35">
        <v>8676.3950526509288</v>
      </c>
      <c r="P58" s="35">
        <v>295</v>
      </c>
      <c r="Q58" s="35">
        <f t="shared" si="19"/>
        <v>2240039.3220338984</v>
      </c>
      <c r="R58" s="35">
        <f t="shared" si="15"/>
        <v>258.17627118644066</v>
      </c>
      <c r="V58" s="11">
        <v>12</v>
      </c>
      <c r="W58" s="378">
        <v>71865</v>
      </c>
      <c r="X58" s="35">
        <v>638973500</v>
      </c>
      <c r="Y58" s="16">
        <v>146085920</v>
      </c>
      <c r="Z58" s="35">
        <v>44046517.064516127</v>
      </c>
      <c r="AA58" s="35">
        <v>49986000</v>
      </c>
      <c r="AB58" s="12">
        <v>241068437.06451613</v>
      </c>
      <c r="AC58" s="12">
        <v>153731400</v>
      </c>
      <c r="AD58" s="12">
        <v>94899677</v>
      </c>
      <c r="AE58" s="12">
        <v>248631077</v>
      </c>
      <c r="AF58" s="12">
        <v>-7562639.9354838673</v>
      </c>
      <c r="AG58" s="13">
        <v>-3.1371340137157443E-2</v>
      </c>
      <c r="AH58" s="35">
        <v>8891.303137827872</v>
      </c>
      <c r="AI58" s="35">
        <v>402</v>
      </c>
      <c r="AJ58" s="35">
        <f t="shared" si="60"/>
        <v>363397.81094527361</v>
      </c>
      <c r="AK58" s="35">
        <f t="shared" si="61"/>
        <v>8891.303137827872</v>
      </c>
      <c r="AQ58" s="26">
        <v>52</v>
      </c>
      <c r="AR58" s="35">
        <v>76162</v>
      </c>
      <c r="AS58" s="35">
        <v>660811600</v>
      </c>
      <c r="AT58" s="16">
        <v>171281752</v>
      </c>
      <c r="AU58" s="280">
        <v>0</v>
      </c>
      <c r="AV58" s="35">
        <v>43030000</v>
      </c>
      <c r="AW58" s="35">
        <v>216486752</v>
      </c>
      <c r="AX58" s="35">
        <v>67060000</v>
      </c>
      <c r="AY58" s="35">
        <v>224282263.01655912</v>
      </c>
      <c r="AZ58" s="35">
        <v>-7795511.0165591529</v>
      </c>
      <c r="BA58" s="13">
        <v>-3.6009182753867323E-2</v>
      </c>
      <c r="BC58">
        <v>24</v>
      </c>
      <c r="BD58" s="35">
        <v>725200</v>
      </c>
      <c r="BE58" s="35">
        <v>484400</v>
      </c>
      <c r="BF58" s="35">
        <f t="shared" ref="BF58:BF61" si="71">BD58-BE58</f>
        <v>240800</v>
      </c>
      <c r="BG58" s="27">
        <f t="shared" ref="BG58:BG59" si="72">BF58/BD58</f>
        <v>0.33204633204633205</v>
      </c>
      <c r="BH58" s="12">
        <f t="shared" si="62"/>
        <v>-336800</v>
      </c>
      <c r="BI58" s="27">
        <f t="shared" si="63"/>
        <v>-0.21701030927835052</v>
      </c>
      <c r="BV58" s="91"/>
      <c r="FS58" s="242">
        <v>48</v>
      </c>
      <c r="FT58" s="81">
        <v>88478</v>
      </c>
      <c r="FU58" s="37">
        <v>769982100</v>
      </c>
      <c r="FV58" s="81">
        <v>198327657</v>
      </c>
      <c r="FW58" s="37">
        <v>0</v>
      </c>
      <c r="FX58" s="37">
        <v>45995000</v>
      </c>
      <c r="FY58" s="246">
        <v>247297657</v>
      </c>
      <c r="FZ58" s="246">
        <v>174976740</v>
      </c>
      <c r="GA58" s="246">
        <v>77588392.700000003</v>
      </c>
      <c r="GB58" s="246">
        <v>252565132.69999999</v>
      </c>
      <c r="GC58" s="252">
        <v>-5267475.6999999937</v>
      </c>
      <c r="GD58" s="244">
        <v>-2.1300143979932629E-2</v>
      </c>
      <c r="GE58" s="37">
        <v>8702.5260516738617</v>
      </c>
    </row>
    <row r="59" spans="2:187">
      <c r="B59" s="26">
        <v>12026</v>
      </c>
      <c r="C59" s="12">
        <v>75411</v>
      </c>
      <c r="D59" s="312">
        <v>215</v>
      </c>
      <c r="E59" s="16">
        <v>655267100</v>
      </c>
      <c r="F59" s="35">
        <v>169998710</v>
      </c>
      <c r="G59" s="16">
        <v>0</v>
      </c>
      <c r="H59" s="16">
        <v>43439999.999999993</v>
      </c>
      <c r="I59" s="12">
        <v>215338710</v>
      </c>
      <c r="J59" s="12">
        <v>144251340</v>
      </c>
      <c r="K59" s="12">
        <v>71885369.683225811</v>
      </c>
      <c r="L59" s="12">
        <v>216136709.68322581</v>
      </c>
      <c r="M59" s="12">
        <v>-797999.68322581612</v>
      </c>
      <c r="N59" s="13">
        <v>-3.7057883518751278E-3</v>
      </c>
      <c r="O59" s="35">
        <v>8689.2774263701576</v>
      </c>
      <c r="P59" s="35">
        <v>280</v>
      </c>
      <c r="Q59" s="35">
        <f t="shared" si="19"/>
        <v>2340239.6428571427</v>
      </c>
      <c r="R59" s="35">
        <f t="shared" si="15"/>
        <v>269.32499999999999</v>
      </c>
      <c r="V59" s="11">
        <v>13</v>
      </c>
      <c r="W59" s="378">
        <v>41659</v>
      </c>
      <c r="X59" s="35">
        <v>373978000</v>
      </c>
      <c r="Y59" s="16">
        <v>84328980</v>
      </c>
      <c r="Z59" s="35">
        <v>22183936.935483869</v>
      </c>
      <c r="AA59" s="35">
        <v>27322000</v>
      </c>
      <c r="AB59" s="12">
        <v>133834916.93548387</v>
      </c>
      <c r="AC59" s="12">
        <v>114459500</v>
      </c>
      <c r="AD59" s="12">
        <v>49506193.142857142</v>
      </c>
      <c r="AE59" s="12">
        <v>163965693.14285713</v>
      </c>
      <c r="AF59" s="12">
        <v>-30130776.207373265</v>
      </c>
      <c r="AG59" s="13">
        <v>-0.22513389552816052</v>
      </c>
      <c r="AH59" s="35">
        <v>8977.123790777503</v>
      </c>
      <c r="AI59" s="35">
        <v>386</v>
      </c>
      <c r="AJ59" s="35">
        <f t="shared" si="60"/>
        <v>218468.86010362694</v>
      </c>
      <c r="AK59" s="35">
        <f t="shared" si="61"/>
        <v>8977.123790777503</v>
      </c>
      <c r="AQ59" s="82">
        <v>12026</v>
      </c>
      <c r="AR59" s="37">
        <v>75411</v>
      </c>
      <c r="AS59" s="37">
        <v>655267100</v>
      </c>
      <c r="AT59" s="81">
        <v>169998710</v>
      </c>
      <c r="AU59" s="283">
        <v>0</v>
      </c>
      <c r="AV59" s="37">
        <v>43440000</v>
      </c>
      <c r="AW59" s="37">
        <v>215338710</v>
      </c>
      <c r="AX59" s="37">
        <v>65835000</v>
      </c>
      <c r="AY59" s="37">
        <v>216136709.68322581</v>
      </c>
      <c r="AZ59" s="37">
        <v>-797999.68322581612</v>
      </c>
      <c r="BA59" s="244">
        <v>-3.7057883518751278E-3</v>
      </c>
      <c r="BC59">
        <v>25</v>
      </c>
      <c r="BD59" s="35">
        <v>725200</v>
      </c>
      <c r="BE59" s="35">
        <v>484400</v>
      </c>
      <c r="BF59" s="35">
        <f t="shared" si="71"/>
        <v>240800</v>
      </c>
      <c r="BG59" s="27">
        <f t="shared" si="72"/>
        <v>0.33204633204633205</v>
      </c>
      <c r="BH59" s="12">
        <f t="shared" si="62"/>
        <v>-346700</v>
      </c>
      <c r="BI59" s="27">
        <f t="shared" si="63"/>
        <v>-0.22338917525773197</v>
      </c>
      <c r="BV59" s="91"/>
      <c r="FS59" s="11" t="s">
        <v>180</v>
      </c>
      <c r="FT59" s="16">
        <v>0</v>
      </c>
      <c r="FU59" s="35">
        <v>0</v>
      </c>
      <c r="FV59" s="16">
        <v>0</v>
      </c>
      <c r="FW59" s="35">
        <v>0</v>
      </c>
      <c r="FX59" s="35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3">
        <v>0</v>
      </c>
      <c r="GE59" s="35">
        <v>0</v>
      </c>
    </row>
    <row r="60" spans="2:187">
      <c r="B60" s="26">
        <v>22026</v>
      </c>
      <c r="C60" s="12">
        <v>75882</v>
      </c>
      <c r="D60" s="312">
        <v>227</v>
      </c>
      <c r="E60" s="16">
        <v>657158320</v>
      </c>
      <c r="F60" s="35">
        <v>170397432</v>
      </c>
      <c r="G60" s="16">
        <v>0</v>
      </c>
      <c r="H60" s="16">
        <v>42270000</v>
      </c>
      <c r="I60" s="12">
        <v>214742432</v>
      </c>
      <c r="J60" s="12">
        <v>145008375</v>
      </c>
      <c r="K60" s="12">
        <v>72865369.683225811</v>
      </c>
      <c r="L60" s="12">
        <v>217873744.68322581</v>
      </c>
      <c r="M60" s="12">
        <v>-3131312.683225818</v>
      </c>
      <c r="N60" s="13">
        <v>-1.458171379574307E-2</v>
      </c>
      <c r="O60" s="35">
        <v>8660.2662027885399</v>
      </c>
      <c r="P60" s="35">
        <v>291</v>
      </c>
      <c r="Q60" s="35">
        <f t="shared" ref="Q60:Q61" si="73">E60/P60</f>
        <v>2258276.0137457047</v>
      </c>
      <c r="R60" s="35">
        <f t="shared" ref="R60:R61" si="74">C60/P60</f>
        <v>260.76288659793812</v>
      </c>
      <c r="S60" s="12"/>
      <c r="T60" s="12"/>
      <c r="V60" s="11">
        <v>14</v>
      </c>
      <c r="W60" s="16">
        <v>124840</v>
      </c>
      <c r="X60" s="35">
        <v>1141349000</v>
      </c>
      <c r="Y60" s="16">
        <v>261101260</v>
      </c>
      <c r="Z60" s="35">
        <v>61734193.790322579</v>
      </c>
      <c r="AA60" s="35">
        <v>63245433.045454547</v>
      </c>
      <c r="AB60" s="12">
        <v>386080886.83577716</v>
      </c>
      <c r="AC60" s="12">
        <v>224984599.99999997</v>
      </c>
      <c r="AD60" s="12">
        <v>123775580</v>
      </c>
      <c r="AE60" s="12">
        <v>348760180</v>
      </c>
      <c r="AF60" s="12">
        <v>37320706.835777149</v>
      </c>
      <c r="AG60" s="13">
        <v>9.6665512612262083E-2</v>
      </c>
      <c r="AH60" s="35">
        <v>9142.4943928228131</v>
      </c>
      <c r="AI60" s="35">
        <v>362</v>
      </c>
      <c r="AJ60" s="35">
        <f t="shared" si="60"/>
        <v>721274.19889502763</v>
      </c>
      <c r="AK60" s="35">
        <f t="shared" si="61"/>
        <v>9142.4943928228131</v>
      </c>
      <c r="AQ60" s="82">
        <v>22026</v>
      </c>
      <c r="AR60" s="37">
        <v>75882</v>
      </c>
      <c r="AS60" s="37">
        <v>657158320</v>
      </c>
      <c r="AT60" s="81">
        <v>170397432</v>
      </c>
      <c r="AU60" s="283">
        <v>0</v>
      </c>
      <c r="AV60" s="37">
        <v>42270000</v>
      </c>
      <c r="AW60" s="37">
        <v>214742432</v>
      </c>
      <c r="AX60" s="37">
        <v>66990000</v>
      </c>
      <c r="AY60" s="37">
        <v>217873744.68322581</v>
      </c>
      <c r="AZ60" s="37">
        <v>-3131312.683225818</v>
      </c>
      <c r="BA60" s="244">
        <v>-1.458171379574307E-2</v>
      </c>
      <c r="BC60">
        <v>26</v>
      </c>
      <c r="BD60" s="35">
        <v>725200</v>
      </c>
      <c r="BE60" s="149">
        <v>484400</v>
      </c>
      <c r="BF60" s="35">
        <f t="shared" ref="BF60" si="75">BD60-BE60</f>
        <v>240800</v>
      </c>
      <c r="BG60" s="27">
        <f>BF60/BD60</f>
        <v>0.33204633204633205</v>
      </c>
      <c r="BH60" s="12">
        <f t="shared" si="62"/>
        <v>692000</v>
      </c>
      <c r="BI60" s="27">
        <f t="shared" si="63"/>
        <v>0.21020656136087484</v>
      </c>
      <c r="BV60" s="91"/>
      <c r="FS60" s="11" t="s">
        <v>181</v>
      </c>
      <c r="FT60" s="16">
        <v>0</v>
      </c>
      <c r="FU60" s="35">
        <v>0</v>
      </c>
      <c r="FV60" s="16">
        <v>0</v>
      </c>
      <c r="FW60" s="35">
        <v>0</v>
      </c>
      <c r="FX60" s="35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3">
        <v>0</v>
      </c>
      <c r="GE60" s="35">
        <v>0</v>
      </c>
    </row>
    <row r="61" spans="2:187">
      <c r="B61" s="26">
        <v>32026</v>
      </c>
      <c r="C61" s="12">
        <v>61916</v>
      </c>
      <c r="D61" s="312">
        <v>226</v>
      </c>
      <c r="E61" s="16">
        <v>539098320</v>
      </c>
      <c r="F61" s="35">
        <v>139675912</v>
      </c>
      <c r="G61" s="16">
        <v>0</v>
      </c>
      <c r="H61" s="16">
        <v>43265000</v>
      </c>
      <c r="I61" s="12">
        <v>184815912</v>
      </c>
      <c r="J61" s="12">
        <v>122658335</v>
      </c>
      <c r="K61" s="12">
        <v>75485369.683225811</v>
      </c>
      <c r="L61" s="12">
        <v>198143704.68322581</v>
      </c>
      <c r="M61" s="12">
        <v>-13327792.683225818</v>
      </c>
      <c r="N61" s="13">
        <v>-7.2113880991079474E-2</v>
      </c>
      <c r="O61" s="35">
        <v>8706.9306802765041</v>
      </c>
      <c r="P61" s="35">
        <v>291</v>
      </c>
      <c r="Q61" s="35">
        <f t="shared" si="73"/>
        <v>1852571.5463917525</v>
      </c>
      <c r="R61" s="35">
        <f t="shared" si="74"/>
        <v>212.76975945017182</v>
      </c>
      <c r="V61" s="11">
        <v>15</v>
      </c>
      <c r="W61" s="16">
        <v>97913</v>
      </c>
      <c r="X61" s="35">
        <v>862875000</v>
      </c>
      <c r="Y61" s="16">
        <v>196768780</v>
      </c>
      <c r="Z61" s="35">
        <v>38201652.300000004</v>
      </c>
      <c r="AA61" s="35">
        <v>44221169.900000006</v>
      </c>
      <c r="AB61" s="12">
        <v>280441602.19999999</v>
      </c>
      <c r="AC61" s="12">
        <v>177152800</v>
      </c>
      <c r="AD61" s="12">
        <v>80297000</v>
      </c>
      <c r="AE61" s="12">
        <v>257449800</v>
      </c>
      <c r="AF61" s="12">
        <v>22991802.200000014</v>
      </c>
      <c r="AG61" s="13">
        <v>8.1984277723542456E-2</v>
      </c>
      <c r="AH61" s="35">
        <v>8812.6704319140463</v>
      </c>
      <c r="AI61" s="35">
        <v>361</v>
      </c>
      <c r="AJ61" s="35">
        <f t="shared" si="60"/>
        <v>545065.87257617724</v>
      </c>
      <c r="AK61" s="35">
        <f t="shared" si="61"/>
        <v>8812.6704319140463</v>
      </c>
      <c r="AQ61" s="26" t="s">
        <v>180</v>
      </c>
      <c r="AR61" s="35">
        <v>0.2717716937676416</v>
      </c>
      <c r="AS61" s="35">
        <v>0.276568287256162</v>
      </c>
      <c r="AT61" s="16">
        <v>0.2812225202257051</v>
      </c>
      <c r="AU61" s="280">
        <v>0</v>
      </c>
      <c r="AV61" s="35">
        <v>4.7177229124076113E-4</v>
      </c>
      <c r="AW61" s="35">
        <v>0.22747397789661564</v>
      </c>
      <c r="AX61" s="35">
        <v>1.5333333333333332E-2</v>
      </c>
      <c r="AY61" s="35">
        <v>0.35640474120598853</v>
      </c>
      <c r="AZ61" s="35">
        <v>0.51321101617622489</v>
      </c>
      <c r="BA61" s="13">
        <v>2.2561306612815004</v>
      </c>
      <c r="BC61">
        <v>27</v>
      </c>
      <c r="BD61" s="35">
        <v>705148.38709677418</v>
      </c>
      <c r="BE61" s="149">
        <v>444800</v>
      </c>
      <c r="BF61" s="35">
        <f t="shared" si="71"/>
        <v>260348.38709677418</v>
      </c>
      <c r="BG61" s="27">
        <f t="shared" ref="BG61" si="76">BF61/BD61</f>
        <v>0.36921078153305642</v>
      </c>
      <c r="BH61" s="12">
        <f t="shared" si="62"/>
        <v>357948.38709677418</v>
      </c>
      <c r="BI61" s="27">
        <f t="shared" si="63"/>
        <v>0.10448764668327711</v>
      </c>
      <c r="BV61" s="91"/>
      <c r="FS61" s="11" t="s">
        <v>182</v>
      </c>
      <c r="FT61" s="16">
        <v>0</v>
      </c>
      <c r="FU61" s="35">
        <v>0</v>
      </c>
      <c r="FV61" s="16">
        <v>0</v>
      </c>
      <c r="FW61" s="35">
        <v>0</v>
      </c>
      <c r="FX61" s="35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3">
        <v>0</v>
      </c>
      <c r="GE61" s="35">
        <v>0</v>
      </c>
    </row>
    <row r="62" spans="2:187">
      <c r="B62" s="26">
        <v>42026</v>
      </c>
      <c r="C62" s="12">
        <v>57714</v>
      </c>
      <c r="D62" s="312">
        <v>216</v>
      </c>
      <c r="E62" s="16">
        <v>496164800</v>
      </c>
      <c r="F62" s="35">
        <v>128424336</v>
      </c>
      <c r="G62" s="16">
        <v>0</v>
      </c>
      <c r="H62" s="16">
        <v>43740000</v>
      </c>
      <c r="I62" s="12">
        <v>173714336</v>
      </c>
      <c r="J62" s="12">
        <v>117001560</v>
      </c>
      <c r="K62" s="12">
        <v>73730369.683225811</v>
      </c>
      <c r="L62" s="12">
        <v>190731929.68322581</v>
      </c>
      <c r="M62" s="12">
        <v>-17017593.683225818</v>
      </c>
      <c r="N62" s="13">
        <v>-9.7963093173990073E-2</v>
      </c>
      <c r="O62" s="35">
        <v>8596.9574106802502</v>
      </c>
      <c r="P62" s="35">
        <v>296</v>
      </c>
      <c r="Q62" s="35">
        <f t="shared" ref="Q62:Q63" si="77">E62/P62</f>
        <v>1676232.4324324324</v>
      </c>
      <c r="R62" s="35">
        <f t="shared" ref="R62:R63" si="78">C62/P62</f>
        <v>194.97972972972974</v>
      </c>
      <c r="V62" s="11">
        <v>16</v>
      </c>
      <c r="W62" s="16">
        <v>103864</v>
      </c>
      <c r="X62" s="35">
        <v>914149000</v>
      </c>
      <c r="Y62" s="16">
        <v>208397240</v>
      </c>
      <c r="Z62" s="35">
        <v>38201652.299999997</v>
      </c>
      <c r="AA62" s="35">
        <v>44930169.900000006</v>
      </c>
      <c r="AB62" s="12">
        <v>292779062.19999999</v>
      </c>
      <c r="AC62" s="12">
        <v>185629600</v>
      </c>
      <c r="AD62" s="12">
        <v>83237008</v>
      </c>
      <c r="AE62" s="12">
        <v>268866608</v>
      </c>
      <c r="AF62" s="12">
        <v>23912454.200000014</v>
      </c>
      <c r="AG62" s="13">
        <v>8.1674058316592343E-2</v>
      </c>
      <c r="AH62" s="35">
        <v>8801.4037587614566</v>
      </c>
      <c r="AI62" s="35">
        <v>363</v>
      </c>
      <c r="AJ62" s="35">
        <f t="shared" si="60"/>
        <v>574097.07988980715</v>
      </c>
      <c r="AK62" s="35">
        <f t="shared" si="61"/>
        <v>8801.4037587614566</v>
      </c>
      <c r="AQ62" s="26" t="s">
        <v>181</v>
      </c>
      <c r="AR62" s="35">
        <v>1.1941558529976444E-2</v>
      </c>
      <c r="AS62" s="35">
        <v>-1.6570584265444244E-3</v>
      </c>
      <c r="AT62" s="16">
        <v>-3.1601774056120944E-3</v>
      </c>
      <c r="AU62" s="280">
        <v>0</v>
      </c>
      <c r="AV62" s="35">
        <v>5.8157812008802261E-2</v>
      </c>
      <c r="AW62" s="35">
        <v>5.98201990814521E-3</v>
      </c>
      <c r="AX62" s="35">
        <v>4.0052527905449768E-2</v>
      </c>
      <c r="AY62" s="35">
        <v>3.7209229980016835E-2</v>
      </c>
      <c r="AZ62" s="35">
        <v>-0.20715925372833008</v>
      </c>
      <c r="BA62" s="13">
        <v>-34.630318338837164</v>
      </c>
      <c r="BC62">
        <v>28</v>
      </c>
      <c r="BD62" s="35">
        <v>701806.45161290315</v>
      </c>
      <c r="BE62" s="149">
        <v>484400</v>
      </c>
      <c r="BF62" s="35">
        <f t="shared" ref="BF62:BF67" si="79">BD62-BE62</f>
        <v>217406.45161290315</v>
      </c>
      <c r="BG62" s="27">
        <f t="shared" ref="BG62:BG67" si="80">BF62/BD62</f>
        <v>0.30978120978120971</v>
      </c>
      <c r="BH62" s="12">
        <f t="shared" si="62"/>
        <v>-76693.548387096846</v>
      </c>
      <c r="BI62" s="27">
        <f t="shared" si="63"/>
        <v>-2.5618259380700826E-2</v>
      </c>
      <c r="BV62" s="91"/>
      <c r="FS62" s="11" t="s">
        <v>167</v>
      </c>
      <c r="FT62" s="16">
        <v>4779259</v>
      </c>
      <c r="FU62" s="35">
        <v>42083676594</v>
      </c>
      <c r="FV62" s="16">
        <v>10283078980.679998</v>
      </c>
      <c r="FW62" s="35">
        <v>945297563.99999976</v>
      </c>
      <c r="FX62" s="35">
        <v>2443512539.8311687</v>
      </c>
      <c r="FY62" s="12">
        <v>13727153284.511169</v>
      </c>
      <c r="FZ62" s="12">
        <v>9143932919.5714283</v>
      </c>
      <c r="GA62" s="12">
        <v>4372759809.481801</v>
      </c>
      <c r="GB62" s="12">
        <v>13516692729.05323</v>
      </c>
      <c r="GC62" s="12">
        <v>210460555.45793799</v>
      </c>
      <c r="GD62" s="13">
        <v>1.5331697045694691E-2</v>
      </c>
      <c r="GE62" s="35">
        <v>8805.4814761033031</v>
      </c>
    </row>
    <row r="63" spans="2:187">
      <c r="B63" s="26">
        <v>52026</v>
      </c>
      <c r="C63" s="12">
        <v>65150</v>
      </c>
      <c r="D63" s="312">
        <v>213</v>
      </c>
      <c r="E63" s="16">
        <v>559612119</v>
      </c>
      <c r="F63" s="35">
        <v>142393535.10000002</v>
      </c>
      <c r="G63" s="16">
        <v>0</v>
      </c>
      <c r="H63" s="16">
        <v>41620000</v>
      </c>
      <c r="I63" s="12">
        <v>185413535.09999999</v>
      </c>
      <c r="J63" s="12">
        <v>125496985</v>
      </c>
      <c r="K63" s="12">
        <v>72634176.362050697</v>
      </c>
      <c r="L63" s="12">
        <v>198131161.36205071</v>
      </c>
      <c r="M63" s="12">
        <v>-12717626.262050709</v>
      </c>
      <c r="N63" s="13">
        <v>-6.859060345940575E-2</v>
      </c>
      <c r="O63" s="35">
        <v>8589.5950729086726</v>
      </c>
      <c r="P63" s="35">
        <v>296</v>
      </c>
      <c r="Q63" s="35">
        <f t="shared" si="77"/>
        <v>1890581.4831081082</v>
      </c>
      <c r="R63" s="35">
        <f t="shared" si="78"/>
        <v>220.10135135135135</v>
      </c>
      <c r="V63" s="11">
        <v>17</v>
      </c>
      <c r="W63" s="16">
        <v>108097</v>
      </c>
      <c r="X63" s="35">
        <v>948992000</v>
      </c>
      <c r="Y63" s="16">
        <v>216647030</v>
      </c>
      <c r="Z63" s="35">
        <v>38201652.300000004</v>
      </c>
      <c r="AA63" s="35">
        <v>41935169.900000006</v>
      </c>
      <c r="AB63" s="12">
        <v>298133852.19999999</v>
      </c>
      <c r="AC63" s="12">
        <v>244164500</v>
      </c>
      <c r="AD63" s="12">
        <v>82987000</v>
      </c>
      <c r="AE63" s="12">
        <v>327151500</v>
      </c>
      <c r="AF63" s="12">
        <v>-29017647.79999999</v>
      </c>
      <c r="AG63" s="13">
        <v>-9.7330939059324953E-2</v>
      </c>
      <c r="AH63" s="35">
        <v>8779.0780502696653</v>
      </c>
      <c r="AI63" s="35">
        <v>370</v>
      </c>
      <c r="AJ63" s="35">
        <f t="shared" si="60"/>
        <v>585532.51351351349</v>
      </c>
      <c r="AK63" s="35">
        <f t="shared" si="61"/>
        <v>8779.0780502696653</v>
      </c>
      <c r="AQ63" s="26" t="s">
        <v>182</v>
      </c>
      <c r="AR63" s="35">
        <v>-4.305820931672004E-4</v>
      </c>
      <c r="AS63" s="35">
        <v>2.8046957242420225E-3</v>
      </c>
      <c r="AT63" s="16">
        <v>4.1217865824761399E-3</v>
      </c>
      <c r="AU63" s="280">
        <v>0</v>
      </c>
      <c r="AV63" s="35">
        <v>-5.1990493166963756E-3</v>
      </c>
      <c r="AW63" s="35">
        <v>2.0376155438668422E-3</v>
      </c>
      <c r="AX63" s="35">
        <v>-4.419191919191919E-3</v>
      </c>
      <c r="AY63" s="35">
        <v>3.0213134522384683E-3</v>
      </c>
      <c r="AZ63" s="35">
        <v>1.5776444913500737E-2</v>
      </c>
      <c r="BA63" s="13">
        <v>7.7426013759010299</v>
      </c>
      <c r="BC63">
        <v>29</v>
      </c>
      <c r="BD63" s="35">
        <v>701806.45161290315</v>
      </c>
      <c r="BE63" s="168">
        <v>484400</v>
      </c>
      <c r="BF63" s="35">
        <f t="shared" si="79"/>
        <v>217406.45161290315</v>
      </c>
      <c r="BG63" s="27">
        <f t="shared" si="80"/>
        <v>0.30978120978120971</v>
      </c>
      <c r="BH63" s="12">
        <f t="shared" si="62"/>
        <v>-937393.54838709685</v>
      </c>
      <c r="BI63" s="27">
        <f t="shared" si="63"/>
        <v>-0.40248645414353623</v>
      </c>
      <c r="BV63" s="91"/>
    </row>
    <row r="64" spans="2:187">
      <c r="B64" s="26">
        <v>62026</v>
      </c>
      <c r="C64" s="12">
        <v>67576</v>
      </c>
      <c r="D64" s="312">
        <v>201</v>
      </c>
      <c r="E64" s="16">
        <v>581589720</v>
      </c>
      <c r="F64" s="35">
        <v>150691772</v>
      </c>
      <c r="G64" s="16">
        <v>0</v>
      </c>
      <c r="H64" s="16">
        <v>41060000</v>
      </c>
      <c r="I64" s="12">
        <v>192851772</v>
      </c>
      <c r="J64" s="12">
        <v>131336970</v>
      </c>
      <c r="K64" s="12">
        <v>67992016.435000002</v>
      </c>
      <c r="L64" s="12">
        <v>199328986.435</v>
      </c>
      <c r="M64" s="12">
        <v>-6477214.43499998</v>
      </c>
      <c r="N64" s="13">
        <v>-3.3586491676104384E-2</v>
      </c>
      <c r="O64" s="35">
        <v>8606.4537705694329</v>
      </c>
      <c r="P64" s="35">
        <v>272</v>
      </c>
      <c r="Q64" s="35">
        <f t="shared" si="19"/>
        <v>2138197.5</v>
      </c>
      <c r="R64" s="35">
        <f t="shared" si="15"/>
        <v>248.44117647058823</v>
      </c>
      <c r="V64" s="11">
        <v>18</v>
      </c>
      <c r="W64" s="16">
        <v>125773</v>
      </c>
      <c r="X64" s="35">
        <v>1104147000</v>
      </c>
      <c r="Y64" s="16">
        <v>252244110</v>
      </c>
      <c r="Z64" s="35">
        <v>44983816.116129033</v>
      </c>
      <c r="AA64" s="35">
        <v>49686382.799999997</v>
      </c>
      <c r="AB64" s="12">
        <v>347614308.91612905</v>
      </c>
      <c r="AC64" s="12">
        <v>198720300</v>
      </c>
      <c r="AD64" s="12">
        <v>103472000</v>
      </c>
      <c r="AE64" s="12">
        <v>302192300</v>
      </c>
      <c r="AF64" s="12">
        <v>45422008.916129038</v>
      </c>
      <c r="AG64" s="13">
        <v>0.13066783429530304</v>
      </c>
      <c r="AH64" s="35">
        <v>8778.887360562283</v>
      </c>
      <c r="AI64" s="35">
        <v>381</v>
      </c>
      <c r="AJ64" s="35">
        <f t="shared" si="60"/>
        <v>662058.03149606299</v>
      </c>
      <c r="AK64" s="35">
        <f t="shared" si="61"/>
        <v>8778.887360562283</v>
      </c>
      <c r="AQ64" s="11" t="s">
        <v>27</v>
      </c>
      <c r="AR64" s="35">
        <v>18019</v>
      </c>
      <c r="AS64" s="35">
        <v>160682000</v>
      </c>
      <c r="AT64" s="16">
        <v>41807200</v>
      </c>
      <c r="AU64" s="280">
        <v>6125000</v>
      </c>
      <c r="AV64" s="35">
        <v>10065000</v>
      </c>
      <c r="AW64" s="35">
        <v>57997200</v>
      </c>
      <c r="AX64" s="35">
        <v>32995400</v>
      </c>
      <c r="AY64" s="35">
        <v>69342720</v>
      </c>
      <c r="AZ64" s="35">
        <v>-11345520</v>
      </c>
      <c r="BA64" s="13">
        <v>-0.19562185760691894</v>
      </c>
      <c r="BC64">
        <v>30</v>
      </c>
      <c r="BD64" s="35">
        <v>1102838.7096774192</v>
      </c>
      <c r="BE64" s="168">
        <v>715000</v>
      </c>
      <c r="BF64" s="35">
        <f t="shared" si="79"/>
        <v>387838.70967741916</v>
      </c>
      <c r="BG64" s="27">
        <f t="shared" si="80"/>
        <v>0.35167310167310156</v>
      </c>
      <c r="BH64" s="12">
        <f t="shared" si="62"/>
        <v>-671061.29032258084</v>
      </c>
      <c r="BI64" s="27">
        <f t="shared" si="63"/>
        <v>-0.23738091244261725</v>
      </c>
      <c r="BV64" s="91"/>
    </row>
    <row r="65" spans="2:73">
      <c r="B65" s="26">
        <v>72026</v>
      </c>
      <c r="C65" s="12">
        <v>66783</v>
      </c>
      <c r="D65" s="312">
        <v>197</v>
      </c>
      <c r="E65" s="16">
        <v>578352700</v>
      </c>
      <c r="F65" s="35">
        <v>149868069</v>
      </c>
      <c r="G65" s="16">
        <v>0</v>
      </c>
      <c r="H65" s="16">
        <v>40230000</v>
      </c>
      <c r="I65" s="12">
        <v>191048069</v>
      </c>
      <c r="J65" s="12">
        <v>119277440</v>
      </c>
      <c r="K65" s="12">
        <v>65867016.434999995</v>
      </c>
      <c r="L65" s="12">
        <v>185144456.435</v>
      </c>
      <c r="M65" s="12">
        <v>5903612.5650000162</v>
      </c>
      <c r="N65" s="13">
        <v>3.0901189401710289E-2</v>
      </c>
      <c r="O65" s="35">
        <v>8660.1784885375018</v>
      </c>
      <c r="P65" s="35">
        <v>265</v>
      </c>
      <c r="Q65" s="35">
        <f t="shared" si="19"/>
        <v>2182463.0188679243</v>
      </c>
      <c r="R65" s="35">
        <f t="shared" si="15"/>
        <v>252.01132075471699</v>
      </c>
      <c r="V65" s="11">
        <v>19</v>
      </c>
      <c r="W65" s="16">
        <v>102568</v>
      </c>
      <c r="X65" s="35">
        <v>897839000</v>
      </c>
      <c r="Y65" s="16">
        <v>205998460</v>
      </c>
      <c r="Z65" s="35">
        <v>40520025.903225817</v>
      </c>
      <c r="AA65" s="35">
        <v>41906000</v>
      </c>
      <c r="AB65" s="12">
        <v>289624485.90322578</v>
      </c>
      <c r="AC65" s="12">
        <v>174529400</v>
      </c>
      <c r="AD65" s="12">
        <v>87489936</v>
      </c>
      <c r="AE65" s="12">
        <v>262019336</v>
      </c>
      <c r="AF65" s="12">
        <v>27605149.903225802</v>
      </c>
      <c r="AG65" s="13">
        <v>9.5313591380701487E-2</v>
      </c>
      <c r="AH65" s="35">
        <v>8753.5976132906944</v>
      </c>
      <c r="AI65" s="35">
        <v>374</v>
      </c>
      <c r="AJ65" s="35">
        <f t="shared" si="60"/>
        <v>550798.02139037428</v>
      </c>
      <c r="AK65" s="35">
        <f t="shared" si="61"/>
        <v>8753.5976132906944</v>
      </c>
      <c r="AQ65" s="26">
        <v>2</v>
      </c>
      <c r="AR65" s="35">
        <v>683</v>
      </c>
      <c r="AS65" s="35">
        <v>5610000</v>
      </c>
      <c r="AT65" s="16">
        <v>1683000</v>
      </c>
      <c r="AU65" s="280">
        <v>0</v>
      </c>
      <c r="AV65" s="35">
        <v>0</v>
      </c>
      <c r="AW65" s="35">
        <v>1683000</v>
      </c>
      <c r="AX65" s="35">
        <v>932400</v>
      </c>
      <c r="AY65" s="35">
        <v>2265400</v>
      </c>
      <c r="AZ65" s="35">
        <v>-582400</v>
      </c>
      <c r="BA65" s="13">
        <v>-0.34604872251931074</v>
      </c>
      <c r="BC65">
        <v>31</v>
      </c>
      <c r="BD65" s="1">
        <v>300774.19354838709</v>
      </c>
      <c r="BE65" s="182">
        <v>207600</v>
      </c>
      <c r="BF65" s="35">
        <f t="shared" si="79"/>
        <v>93174.193548387091</v>
      </c>
      <c r="BG65" s="27">
        <f t="shared" si="80"/>
        <v>0.30978120978120977</v>
      </c>
      <c r="BH65" s="12">
        <f t="shared" si="62"/>
        <v>-979625.80645161285</v>
      </c>
      <c r="BI65" s="27">
        <f t="shared" si="63"/>
        <v>-0.49652236185094711</v>
      </c>
    </row>
    <row r="66" spans="2:73" ht="15" customHeight="1">
      <c r="B66" s="26">
        <v>82026</v>
      </c>
      <c r="C66" s="12">
        <v>44148</v>
      </c>
      <c r="D66" s="312">
        <v>193</v>
      </c>
      <c r="E66" s="16">
        <v>381596400</v>
      </c>
      <c r="F66" s="35">
        <v>98741508</v>
      </c>
      <c r="G66" s="16">
        <v>0</v>
      </c>
      <c r="H66" s="16">
        <v>39405000</v>
      </c>
      <c r="I66" s="12">
        <v>139171508</v>
      </c>
      <c r="J66" s="12">
        <v>76184940</v>
      </c>
      <c r="K66" s="12">
        <v>64627016.434999995</v>
      </c>
      <c r="L66" s="12">
        <v>140811956.435</v>
      </c>
      <c r="M66" s="12">
        <v>-1640448.4349999949</v>
      </c>
      <c r="N66" s="13">
        <v>-1.1787243370244971E-2</v>
      </c>
      <c r="O66" s="35">
        <v>8643.5716227235662</v>
      </c>
      <c r="P66" s="35">
        <v>262</v>
      </c>
      <c r="Q66" s="35">
        <f t="shared" si="19"/>
        <v>1456474.8091603054</v>
      </c>
      <c r="R66" s="35">
        <f t="shared" si="15"/>
        <v>168.50381679389312</v>
      </c>
      <c r="V66" s="11">
        <v>20</v>
      </c>
      <c r="W66" s="16">
        <v>98528</v>
      </c>
      <c r="X66" s="35">
        <v>861712000</v>
      </c>
      <c r="Y66" s="16">
        <v>197569820</v>
      </c>
      <c r="Z66" s="35">
        <v>40520025.903225817</v>
      </c>
      <c r="AA66" s="35">
        <v>41150000</v>
      </c>
      <c r="AB66" s="12">
        <v>279639845.90322578</v>
      </c>
      <c r="AC66" s="12">
        <v>169040600</v>
      </c>
      <c r="AD66" s="12">
        <v>85934936</v>
      </c>
      <c r="AE66" s="12">
        <v>254975536</v>
      </c>
      <c r="AF66" s="12">
        <v>24664309.903225802</v>
      </c>
      <c r="AG66" s="13">
        <v>8.8200269970686918E-2</v>
      </c>
      <c r="AH66" s="35">
        <v>8745.859045144527</v>
      </c>
      <c r="AI66" s="35">
        <v>364</v>
      </c>
      <c r="AJ66" s="35">
        <f t="shared" si="60"/>
        <v>542774.23076923075</v>
      </c>
      <c r="AK66" s="35">
        <f t="shared" si="61"/>
        <v>8745.859045144527</v>
      </c>
      <c r="AQ66" s="26">
        <v>3</v>
      </c>
      <c r="AR66" s="35">
        <v>538</v>
      </c>
      <c r="AS66" s="35">
        <v>4754000</v>
      </c>
      <c r="AT66" s="16">
        <v>1426200</v>
      </c>
      <c r="AU66" s="280"/>
      <c r="AV66" s="35"/>
      <c r="AW66" s="35">
        <v>1426200</v>
      </c>
      <c r="AX66" s="35">
        <v>699300</v>
      </c>
      <c r="AY66" s="35">
        <v>1687300</v>
      </c>
      <c r="AZ66" s="35">
        <v>-261100</v>
      </c>
      <c r="BA66" s="13">
        <v>-0.18307390267844623</v>
      </c>
      <c r="BC66">
        <v>32</v>
      </c>
      <c r="BD66" s="1">
        <v>701806.45161290315</v>
      </c>
      <c r="BE66" s="1">
        <v>484400</v>
      </c>
      <c r="BF66" s="35">
        <f t="shared" si="79"/>
        <v>217406.45161290315</v>
      </c>
      <c r="BG66" s="27">
        <f t="shared" si="80"/>
        <v>0.30978120978120971</v>
      </c>
      <c r="BH66" s="12"/>
      <c r="BI66" s="27"/>
      <c r="BO66" s="31" t="s">
        <v>113</v>
      </c>
      <c r="BP66" s="248" t="s">
        <v>119</v>
      </c>
      <c r="BQ66" s="249" t="s">
        <v>118</v>
      </c>
      <c r="BR66" s="279" t="s">
        <v>183</v>
      </c>
      <c r="BS66" s="251" t="s">
        <v>133</v>
      </c>
      <c r="BT66" s="269" t="s">
        <v>184</v>
      </c>
      <c r="BU66" s="269" t="s">
        <v>185</v>
      </c>
    </row>
    <row r="67" spans="2:73">
      <c r="B67" s="26">
        <v>92026</v>
      </c>
      <c r="C67" s="12">
        <v>32814</v>
      </c>
      <c r="D67" s="312">
        <v>186</v>
      </c>
      <c r="E67" s="16">
        <v>287426000</v>
      </c>
      <c r="F67" s="35">
        <v>74388760</v>
      </c>
      <c r="G67" s="16">
        <v>0</v>
      </c>
      <c r="H67" s="16">
        <v>33465000</v>
      </c>
      <c r="I67" s="12">
        <v>108378760</v>
      </c>
      <c r="J67" s="12">
        <v>58130620</v>
      </c>
      <c r="K67" s="12">
        <v>61523209.756175116</v>
      </c>
      <c r="L67" s="12">
        <v>119653829.75617512</v>
      </c>
      <c r="M67" s="12">
        <v>-11275069.756175114</v>
      </c>
      <c r="N67" s="13">
        <v>-0.10403394314693316</v>
      </c>
      <c r="O67" s="35">
        <v>8759.2491009934784</v>
      </c>
      <c r="P67" s="35">
        <v>242</v>
      </c>
      <c r="Q67" s="35">
        <f t="shared" ref="Q67" si="81">E67/P67</f>
        <v>1187710.7438016529</v>
      </c>
      <c r="R67" s="35">
        <f t="shared" ref="R67" si="82">C67/P67</f>
        <v>135.59504132231405</v>
      </c>
      <c r="V67" s="11">
        <v>21</v>
      </c>
      <c r="W67" s="16">
        <v>95507</v>
      </c>
      <c r="X67" s="35">
        <v>834723000</v>
      </c>
      <c r="Y67" s="16">
        <v>191339320</v>
      </c>
      <c r="Z67" s="35">
        <v>40520025.903225817</v>
      </c>
      <c r="AA67" s="35">
        <v>49516000</v>
      </c>
      <c r="AB67" s="12">
        <v>281679545.90322578</v>
      </c>
      <c r="AC67" s="12">
        <v>233454000</v>
      </c>
      <c r="AD67" s="12">
        <v>87604935.483870968</v>
      </c>
      <c r="AE67" s="12">
        <v>321058935.48387098</v>
      </c>
      <c r="AF67" s="12">
        <v>-39379389.580645144</v>
      </c>
      <c r="AG67" s="13">
        <v>-0.13980209125363466</v>
      </c>
      <c r="AH67" s="35">
        <v>8739.9143518276142</v>
      </c>
      <c r="AI67" s="35">
        <v>355</v>
      </c>
      <c r="AJ67" s="35">
        <f t="shared" si="60"/>
        <v>538984</v>
      </c>
      <c r="AK67" s="35">
        <f t="shared" si="61"/>
        <v>8739.9143518276142</v>
      </c>
      <c r="AQ67" s="26">
        <v>4</v>
      </c>
      <c r="AR67" s="35">
        <v>405</v>
      </c>
      <c r="AS67" s="35">
        <v>2756000</v>
      </c>
      <c r="AT67" s="16">
        <v>826800</v>
      </c>
      <c r="AU67" s="280"/>
      <c r="AV67" s="35"/>
      <c r="AW67" s="35">
        <v>826800</v>
      </c>
      <c r="AX67" s="35">
        <v>599400</v>
      </c>
      <c r="AY67" s="35">
        <v>1404400</v>
      </c>
      <c r="AZ67" s="35">
        <v>-577600</v>
      </c>
      <c r="BA67" s="13">
        <v>-0.69859700048379292</v>
      </c>
      <c r="BC67">
        <v>33</v>
      </c>
      <c r="BD67" s="1">
        <v>701806.45161290315</v>
      </c>
      <c r="BE67" s="1">
        <v>484400</v>
      </c>
      <c r="BF67" s="35">
        <f t="shared" si="79"/>
        <v>217406.45161290315</v>
      </c>
      <c r="BG67" s="27">
        <f t="shared" si="80"/>
        <v>0.30978120978120971</v>
      </c>
      <c r="BH67" s="12"/>
      <c r="BI67" s="27"/>
      <c r="BO67" s="11">
        <v>2024</v>
      </c>
      <c r="BP67" s="16">
        <v>664209288.71428573</v>
      </c>
      <c r="BQ67" s="16">
        <v>716927828.57142854</v>
      </c>
      <c r="BR67" s="35">
        <v>1381137117.2857141</v>
      </c>
      <c r="BS67" s="16">
        <v>1208232728.5714285</v>
      </c>
      <c r="BT67" s="35">
        <v>172904388.71428573</v>
      </c>
      <c r="BU67" s="13">
        <v>0.12518987908607282</v>
      </c>
    </row>
    <row r="68" spans="2:73">
      <c r="B68" s="26">
        <v>102026</v>
      </c>
      <c r="C68" s="12">
        <v>33697</v>
      </c>
      <c r="D68" s="312">
        <v>188</v>
      </c>
      <c r="E68" s="16">
        <v>293404880</v>
      </c>
      <c r="F68" s="35">
        <v>75794901.599999994</v>
      </c>
      <c r="G68" s="16">
        <v>0</v>
      </c>
      <c r="H68" s="16">
        <v>33980000</v>
      </c>
      <c r="I68" s="12">
        <v>110999901.59999999</v>
      </c>
      <c r="J68" s="12">
        <v>59106115</v>
      </c>
      <c r="K68" s="12">
        <v>62710369.683225811</v>
      </c>
      <c r="L68" s="12">
        <v>121816484.68322581</v>
      </c>
      <c r="M68" s="12">
        <v>-10816583.083225816</v>
      </c>
      <c r="N68" s="13">
        <v>-9.7446780828730192E-2</v>
      </c>
      <c r="O68" s="35">
        <v>8707.1513784609906</v>
      </c>
      <c r="P68" s="35">
        <v>248</v>
      </c>
      <c r="Q68" s="35">
        <f t="shared" si="19"/>
        <v>1183084.1935483871</v>
      </c>
      <c r="R68" s="35">
        <f t="shared" si="15"/>
        <v>135.875</v>
      </c>
      <c r="S68" t="s">
        <v>186</v>
      </c>
      <c r="V68" s="11">
        <v>22</v>
      </c>
      <c r="W68" s="16">
        <v>104099</v>
      </c>
      <c r="X68" s="35">
        <v>909447000</v>
      </c>
      <c r="Y68" s="16">
        <v>207965970</v>
      </c>
      <c r="Z68" s="35">
        <v>41505422.149193548</v>
      </c>
      <c r="AA68" s="35">
        <v>41452000</v>
      </c>
      <c r="AB68" s="12">
        <v>291223392.14919358</v>
      </c>
      <c r="AC68" s="12">
        <v>177061099.99999997</v>
      </c>
      <c r="AD68" s="12">
        <v>88569935.483870968</v>
      </c>
      <c r="AE68" s="12">
        <v>265631035.48387092</v>
      </c>
      <c r="AF68" s="12">
        <v>25592356.665322602</v>
      </c>
      <c r="AG68" s="13">
        <v>8.7878780878328802E-2</v>
      </c>
      <c r="AH68" s="35">
        <v>8736.3663435767867</v>
      </c>
      <c r="AI68" s="35">
        <v>353</v>
      </c>
      <c r="AJ68" s="35">
        <f t="shared" si="60"/>
        <v>589138.72521246457</v>
      </c>
      <c r="AK68" s="35">
        <f t="shared" si="61"/>
        <v>8736.3663435767867</v>
      </c>
      <c r="AQ68" s="26">
        <v>5</v>
      </c>
      <c r="AR68" s="35">
        <v>315</v>
      </c>
      <c r="AS68" s="35">
        <v>2756000</v>
      </c>
      <c r="AT68" s="16">
        <v>826800</v>
      </c>
      <c r="AU68" s="280"/>
      <c r="AV68" s="35"/>
      <c r="AW68" s="35">
        <v>826800</v>
      </c>
      <c r="AX68" s="35">
        <v>699300</v>
      </c>
      <c r="AY68" s="35">
        <v>1414300</v>
      </c>
      <c r="AZ68" s="35">
        <v>-587500</v>
      </c>
      <c r="BA68" s="13">
        <v>-0.71057087566521526</v>
      </c>
      <c r="BC68">
        <v>34</v>
      </c>
      <c r="BD68" s="1">
        <v>701806.45161290315</v>
      </c>
      <c r="BE68" s="1">
        <v>484400</v>
      </c>
      <c r="BF68" s="35">
        <f t="shared" ref="BF68:BF70" si="83">BD68-BE68</f>
        <v>217406.45161290315</v>
      </c>
      <c r="BG68" s="27">
        <f t="shared" ref="BG68:BG70" si="84">BF68/BD68</f>
        <v>0.30978120978120971</v>
      </c>
      <c r="BH68" s="12"/>
      <c r="BI68" s="27"/>
      <c r="BO68" s="11">
        <v>2025</v>
      </c>
      <c r="BP68" s="16">
        <v>2462220396.9740262</v>
      </c>
      <c r="BQ68" s="16">
        <v>945297563.99999917</v>
      </c>
      <c r="BR68" s="35">
        <v>3407517960.9740252</v>
      </c>
      <c r="BS68" s="16">
        <v>4161475781.4285717</v>
      </c>
      <c r="BT68" s="35">
        <v>-698167820.4545455</v>
      </c>
      <c r="BU68" s="13">
        <v>-0.20489043005806404</v>
      </c>
    </row>
    <row r="69" spans="2:73">
      <c r="B69" s="26">
        <v>112026</v>
      </c>
      <c r="C69" s="12">
        <v>45413</v>
      </c>
      <c r="D69" s="312">
        <v>189</v>
      </c>
      <c r="E69" s="16">
        <v>397425200</v>
      </c>
      <c r="F69" s="35">
        <v>102836704</v>
      </c>
      <c r="G69" s="16">
        <v>0</v>
      </c>
      <c r="H69" s="16">
        <v>34755000</v>
      </c>
      <c r="I69" s="12">
        <v>139016704</v>
      </c>
      <c r="J69" s="12">
        <v>81750605</v>
      </c>
      <c r="K69" s="12">
        <v>63295369.683225811</v>
      </c>
      <c r="L69" s="12">
        <v>145045974.68322581</v>
      </c>
      <c r="M69" s="12">
        <v>-6029270.683225818</v>
      </c>
      <c r="N69" s="13">
        <v>-4.3370836091940562E-2</v>
      </c>
      <c r="O69" s="35">
        <v>8751.3531367670057</v>
      </c>
      <c r="P69" s="35">
        <v>246</v>
      </c>
      <c r="Q69" s="35">
        <f t="shared" si="19"/>
        <v>1615549.593495935</v>
      </c>
      <c r="R69" s="35">
        <f t="shared" si="15"/>
        <v>184.60569105691056</v>
      </c>
      <c r="S69" t="s">
        <v>187</v>
      </c>
      <c r="V69" s="11">
        <v>23</v>
      </c>
      <c r="W69" s="16">
        <v>108456</v>
      </c>
      <c r="X69" s="35">
        <v>949727500</v>
      </c>
      <c r="Y69" s="16">
        <v>216976400</v>
      </c>
      <c r="Z69" s="35">
        <v>42942799.625</v>
      </c>
      <c r="AA69" s="35">
        <v>44086000</v>
      </c>
      <c r="AB69" s="12">
        <v>304005199.625</v>
      </c>
      <c r="AC69" s="12">
        <v>181174940</v>
      </c>
      <c r="AD69" s="12">
        <v>85084935.483870968</v>
      </c>
      <c r="AE69" s="12">
        <v>266259875.48387098</v>
      </c>
      <c r="AF69" s="12">
        <v>37745324.141129047</v>
      </c>
      <c r="AG69" s="13">
        <v>0.12416012682575527</v>
      </c>
      <c r="AH69" s="35">
        <v>8756.7999926237371</v>
      </c>
      <c r="AI69" s="35">
        <v>351</v>
      </c>
      <c r="AJ69" s="35">
        <f t="shared" si="60"/>
        <v>618166.38176638179</v>
      </c>
      <c r="AK69" s="35">
        <f t="shared" si="61"/>
        <v>8756.7999926237371</v>
      </c>
      <c r="AQ69" s="26">
        <v>6</v>
      </c>
      <c r="AR69" s="35">
        <v>756</v>
      </c>
      <c r="AS69" s="35">
        <v>7756000</v>
      </c>
      <c r="AT69" s="16">
        <v>2326800</v>
      </c>
      <c r="AU69" s="280">
        <v>0</v>
      </c>
      <c r="AV69" s="35">
        <v>240000</v>
      </c>
      <c r="AW69" s="35">
        <v>2566800</v>
      </c>
      <c r="AX69" s="35">
        <v>840000</v>
      </c>
      <c r="AY69" s="35">
        <v>2115600</v>
      </c>
      <c r="AZ69" s="35">
        <v>451200</v>
      </c>
      <c r="BA69" s="13">
        <v>0.17578307620383357</v>
      </c>
      <c r="BC69">
        <v>35</v>
      </c>
      <c r="BD69" s="1">
        <v>701806.45161290315</v>
      </c>
      <c r="BE69" s="1">
        <v>484400</v>
      </c>
      <c r="BF69" s="35">
        <f t="shared" si="83"/>
        <v>217406.45161290315</v>
      </c>
      <c r="BG69" s="27">
        <f t="shared" si="84"/>
        <v>0.30978120978120971</v>
      </c>
      <c r="BH69" s="12"/>
      <c r="BI69" s="27"/>
      <c r="BO69" s="11">
        <v>2026</v>
      </c>
      <c r="BP69" s="16">
        <v>549272142.85714281</v>
      </c>
      <c r="BQ69" s="16">
        <v>0</v>
      </c>
      <c r="BR69" s="16">
        <v>549272142.85714281</v>
      </c>
      <c r="BS69" s="16">
        <v>874300000</v>
      </c>
      <c r="BT69" s="12">
        <v>-325027857.14285713</v>
      </c>
      <c r="BU69" s="13">
        <v>-0.59174283889979085</v>
      </c>
    </row>
    <row r="70" spans="2:73">
      <c r="B70" s="26">
        <v>122026</v>
      </c>
      <c r="C70" s="12">
        <v>57747</v>
      </c>
      <c r="D70" s="312">
        <v>174</v>
      </c>
      <c r="E70" s="16">
        <v>503898120</v>
      </c>
      <c r="F70" s="35">
        <v>130207128.40000001</v>
      </c>
      <c r="G70" s="16">
        <v>0</v>
      </c>
      <c r="H70" s="16">
        <v>31795000</v>
      </c>
      <c r="I70" s="12">
        <v>163127128.40000001</v>
      </c>
      <c r="J70" s="12">
        <v>101331250</v>
      </c>
      <c r="K70" s="12">
        <v>57100369.683225811</v>
      </c>
      <c r="L70" s="12">
        <v>158431619.68322581</v>
      </c>
      <c r="M70" s="12">
        <v>4695508.7167741824</v>
      </c>
      <c r="N70" s="13">
        <v>2.8784352197143086E-2</v>
      </c>
      <c r="O70" s="35">
        <v>8725.9618681489956</v>
      </c>
      <c r="P70" s="35">
        <v>235</v>
      </c>
      <c r="Q70" s="35">
        <f t="shared" si="19"/>
        <v>2144247.3191489363</v>
      </c>
      <c r="R70" s="35">
        <f t="shared" si="15"/>
        <v>245.73191489361702</v>
      </c>
      <c r="V70" s="11">
        <v>24</v>
      </c>
      <c r="W70" s="16">
        <v>102811</v>
      </c>
      <c r="X70" s="35">
        <v>915496000</v>
      </c>
      <c r="Y70" s="16">
        <v>237881280</v>
      </c>
      <c r="Z70" s="35">
        <v>1200000</v>
      </c>
      <c r="AA70" s="35">
        <v>58310000</v>
      </c>
      <c r="AB70" s="12">
        <v>297391280</v>
      </c>
      <c r="AC70" s="12">
        <v>186909039</v>
      </c>
      <c r="AD70" s="12">
        <v>86474935.483870968</v>
      </c>
      <c r="AE70" s="12">
        <v>273383974.48387098</v>
      </c>
      <c r="AF70" s="12">
        <v>24007305.516129047</v>
      </c>
      <c r="AG70" s="13">
        <v>8.072632632715071E-2</v>
      </c>
      <c r="AH70" s="35">
        <v>8904.650280611997</v>
      </c>
      <c r="AI70" s="35">
        <v>355</v>
      </c>
      <c r="AJ70" s="35">
        <f t="shared" si="60"/>
        <v>670088.11267605633</v>
      </c>
      <c r="AK70" s="35">
        <f t="shared" si="61"/>
        <v>8904.650280611997</v>
      </c>
      <c r="AQ70" s="26">
        <v>7</v>
      </c>
      <c r="AR70" s="35">
        <v>823</v>
      </c>
      <c r="AS70" s="35">
        <v>7902000</v>
      </c>
      <c r="AT70" s="16">
        <v>2370600</v>
      </c>
      <c r="AU70" s="280">
        <v>0</v>
      </c>
      <c r="AV70" s="35">
        <v>350000</v>
      </c>
      <c r="AW70" s="35">
        <v>2720600</v>
      </c>
      <c r="AX70" s="35">
        <v>1225000</v>
      </c>
      <c r="AY70" s="35">
        <v>2623000</v>
      </c>
      <c r="AZ70" s="35">
        <v>97600</v>
      </c>
      <c r="BA70" s="13">
        <v>3.5874439461883408E-2</v>
      </c>
      <c r="BC70">
        <v>36</v>
      </c>
      <c r="BD70" s="1">
        <v>701806.45161290315</v>
      </c>
      <c r="BE70" s="1">
        <v>484400</v>
      </c>
      <c r="BF70" s="35">
        <f t="shared" si="83"/>
        <v>217406.45161290315</v>
      </c>
      <c r="BG70" s="27">
        <f t="shared" si="84"/>
        <v>0.30978120978120971</v>
      </c>
      <c r="BH70" s="12"/>
      <c r="BI70" s="27"/>
      <c r="BO70" s="26" t="s">
        <v>21</v>
      </c>
      <c r="BP70" s="16">
        <v>189658571.42857143</v>
      </c>
      <c r="BQ70" s="16">
        <v>0</v>
      </c>
      <c r="BR70" s="16">
        <v>189658571.42857143</v>
      </c>
      <c r="BS70" s="16">
        <v>297115000</v>
      </c>
      <c r="BT70" s="12">
        <v>-107456428.57142857</v>
      </c>
      <c r="BU70" s="13">
        <v>-0.56657828729822757</v>
      </c>
    </row>
    <row r="71" spans="2:73">
      <c r="B71" s="26">
        <v>132026</v>
      </c>
      <c r="C71" s="12">
        <v>73441</v>
      </c>
      <c r="D71" s="12">
        <v>177</v>
      </c>
      <c r="E71" s="16">
        <v>643260360</v>
      </c>
      <c r="F71" s="35">
        <v>166824305.19999999</v>
      </c>
      <c r="G71" s="16">
        <v>0</v>
      </c>
      <c r="H71" s="16">
        <v>31810000</v>
      </c>
      <c r="I71" s="12">
        <v>200234305.19999999</v>
      </c>
      <c r="J71" s="12">
        <v>134198640</v>
      </c>
      <c r="K71" s="12">
        <v>58930369.683225811</v>
      </c>
      <c r="L71" s="12">
        <v>193129009.68322581</v>
      </c>
      <c r="M71" s="12">
        <v>7105295.5167741822</v>
      </c>
      <c r="N71" s="13">
        <v>3.5484906093774499E-2</v>
      </c>
      <c r="O71" s="35">
        <v>8758.8725643714006</v>
      </c>
      <c r="P71" s="35">
        <v>231</v>
      </c>
      <c r="Q71" s="35">
        <f t="shared" si="19"/>
        <v>2784676.8831168832</v>
      </c>
      <c r="R71" s="35">
        <f t="shared" si="15"/>
        <v>317.92640692640691</v>
      </c>
      <c r="S71" t="s">
        <v>188</v>
      </c>
      <c r="V71" s="11">
        <v>25</v>
      </c>
      <c r="W71" s="16">
        <v>96409</v>
      </c>
      <c r="X71" s="35">
        <v>843788000</v>
      </c>
      <c r="Y71" s="16">
        <v>218775400</v>
      </c>
      <c r="Z71" s="35">
        <v>1625000</v>
      </c>
      <c r="AA71" s="35">
        <v>43245000</v>
      </c>
      <c r="AB71" s="12">
        <v>263795400</v>
      </c>
      <c r="AC71" s="12">
        <v>167689243</v>
      </c>
      <c r="AD71" s="12">
        <v>87326545</v>
      </c>
      <c r="AE71" s="12">
        <v>255015788</v>
      </c>
      <c r="AF71" s="12">
        <v>8779612</v>
      </c>
      <c r="AG71" s="13">
        <v>3.3281899532743936E-2</v>
      </c>
      <c r="AH71" s="35">
        <v>8752.1704405190394</v>
      </c>
      <c r="AI71" s="35">
        <v>353</v>
      </c>
      <c r="AJ71" s="35">
        <f t="shared" si="60"/>
        <v>619760.33994334273</v>
      </c>
      <c r="AK71" s="35">
        <f t="shared" si="61"/>
        <v>8752.1704405190394</v>
      </c>
      <c r="AQ71" s="26">
        <v>8</v>
      </c>
      <c r="AR71" s="35">
        <v>686</v>
      </c>
      <c r="AS71" s="35">
        <v>6473000</v>
      </c>
      <c r="AT71" s="16">
        <v>1941900</v>
      </c>
      <c r="AU71" s="280">
        <v>0</v>
      </c>
      <c r="AV71" s="35">
        <v>350000</v>
      </c>
      <c r="AW71" s="35">
        <v>2291900</v>
      </c>
      <c r="AX71" s="35">
        <v>1225000</v>
      </c>
      <c r="AY71" s="35">
        <v>2586000</v>
      </c>
      <c r="AZ71" s="35">
        <v>-294100</v>
      </c>
      <c r="BA71" s="13">
        <v>-0.12832147999476418</v>
      </c>
      <c r="BC71">
        <v>37</v>
      </c>
      <c r="BD71" s="1">
        <v>701806.45161290315</v>
      </c>
      <c r="BE71" s="1">
        <v>484400</v>
      </c>
      <c r="BF71" s="35">
        <f t="shared" ref="BF71:BF74" si="85">BD71-BE71</f>
        <v>217406.45161290315</v>
      </c>
      <c r="BG71" s="27">
        <f t="shared" ref="BG71:BG74" si="86">BF71/BD71</f>
        <v>0.30978120978120971</v>
      </c>
      <c r="BO71" s="278" t="s">
        <v>168</v>
      </c>
      <c r="BP71" s="16">
        <v>189658571.42857143</v>
      </c>
      <c r="BQ71" s="16">
        <v>0</v>
      </c>
      <c r="BR71" s="16">
        <v>189658571.42857143</v>
      </c>
      <c r="BS71" s="16">
        <v>297115000</v>
      </c>
      <c r="BT71" s="12">
        <v>-107456428.57142857</v>
      </c>
      <c r="BU71" s="13">
        <v>-0.56657828729822757</v>
      </c>
    </row>
    <row r="72" spans="2:73" ht="15" customHeight="1">
      <c r="B72" s="82">
        <v>142026</v>
      </c>
      <c r="C72" s="246">
        <v>74318</v>
      </c>
      <c r="D72" s="312">
        <v>181</v>
      </c>
      <c r="E72" s="81">
        <v>642194440</v>
      </c>
      <c r="F72" s="37">
        <v>166297110.80000001</v>
      </c>
      <c r="G72" s="81">
        <v>0</v>
      </c>
      <c r="H72" s="81">
        <v>33660000</v>
      </c>
      <c r="I72" s="246">
        <v>201432110.80000001</v>
      </c>
      <c r="J72" s="246">
        <v>135049065</v>
      </c>
      <c r="K72" s="246">
        <v>60749678</v>
      </c>
      <c r="L72" s="246">
        <v>195798743</v>
      </c>
      <c r="M72" s="246">
        <v>5633367.7999999933</v>
      </c>
      <c r="N72" s="244">
        <v>2.7966582773852326E-2</v>
      </c>
      <c r="O72" s="37">
        <v>8641.169568610565</v>
      </c>
      <c r="P72" s="37">
        <v>237</v>
      </c>
      <c r="Q72" s="37">
        <f t="shared" ref="Q72:Q135" si="87">E72/P72</f>
        <v>2709681.1814345992</v>
      </c>
      <c r="R72" s="37">
        <f t="shared" ref="R72:R135" si="88">C72/P72</f>
        <v>313.57805907172997</v>
      </c>
      <c r="V72" s="11">
        <v>26</v>
      </c>
      <c r="W72" s="16">
        <v>94848</v>
      </c>
      <c r="X72" s="35">
        <v>831173700</v>
      </c>
      <c r="Y72" s="16">
        <v>215412760</v>
      </c>
      <c r="Z72" s="35">
        <v>1389285.7142857143</v>
      </c>
      <c r="AA72" s="35">
        <v>44701428.571428575</v>
      </c>
      <c r="AB72" s="12">
        <v>261553474.2857143</v>
      </c>
      <c r="AC72" s="12">
        <v>206418762.85714287</v>
      </c>
      <c r="AD72" s="12">
        <v>84245545</v>
      </c>
      <c r="AE72" s="12">
        <v>290664307.85714287</v>
      </c>
      <c r="AF72" s="12">
        <v>-29110833.571428571</v>
      </c>
      <c r="AG72" s="13">
        <v>-0.11129973956923488</v>
      </c>
      <c r="AH72" s="35">
        <v>8763.2179908906874</v>
      </c>
      <c r="AI72" s="35">
        <v>338</v>
      </c>
      <c r="AJ72" s="35">
        <f t="shared" si="60"/>
        <v>637315.85798816569</v>
      </c>
      <c r="AK72" s="35">
        <f t="shared" si="61"/>
        <v>8763.2179908906874</v>
      </c>
      <c r="AQ72" s="26">
        <v>9</v>
      </c>
      <c r="AR72" s="35">
        <v>487</v>
      </c>
      <c r="AS72" s="35">
        <v>4324000</v>
      </c>
      <c r="AT72" s="16">
        <v>1297200</v>
      </c>
      <c r="AU72" s="280">
        <v>0</v>
      </c>
      <c r="AV72" s="35">
        <v>330000</v>
      </c>
      <c r="AW72" s="35">
        <v>1627200</v>
      </c>
      <c r="AX72" s="35">
        <v>1470000</v>
      </c>
      <c r="AY72" s="35">
        <v>2782000</v>
      </c>
      <c r="AZ72" s="35">
        <v>-1154800</v>
      </c>
      <c r="BA72" s="13">
        <v>-0.70968534906587999</v>
      </c>
      <c r="BC72">
        <v>38</v>
      </c>
      <c r="BD72" s="1">
        <v>701806.45161290315</v>
      </c>
      <c r="BE72" s="1">
        <v>484400</v>
      </c>
      <c r="BF72" s="35">
        <f t="shared" si="85"/>
        <v>217406.45161290315</v>
      </c>
      <c r="BG72" s="27">
        <f t="shared" si="86"/>
        <v>0.30978120978120971</v>
      </c>
      <c r="BN72" s="32"/>
      <c r="BO72" s="278" t="s">
        <v>169</v>
      </c>
      <c r="BP72" s="16">
        <v>0</v>
      </c>
      <c r="BQ72" s="16">
        <v>0</v>
      </c>
      <c r="BR72" s="16">
        <v>0</v>
      </c>
      <c r="BS72" s="16">
        <v>0</v>
      </c>
      <c r="BT72" s="12">
        <v>0</v>
      </c>
      <c r="BU72" s="13" t="e">
        <v>#DIV/0!</v>
      </c>
    </row>
    <row r="73" spans="2:73" ht="15" customHeight="1">
      <c r="B73" s="376" t="s">
        <v>181</v>
      </c>
      <c r="C73" s="85">
        <v>1.1941558529976444E-2</v>
      </c>
      <c r="D73" s="377">
        <v>2.2598870056497175E-2</v>
      </c>
      <c r="E73" s="85">
        <v>-1.6570584265444244E-3</v>
      </c>
      <c r="F73" s="85">
        <v>-3.1601774056120944E-3</v>
      </c>
      <c r="G73" s="85">
        <v>0</v>
      </c>
      <c r="H73" s="85">
        <v>5.8157812008802261E-2</v>
      </c>
      <c r="I73" s="85">
        <v>5.98201990814521E-3</v>
      </c>
      <c r="J73" s="85">
        <v>6.3370612399648758E-3</v>
      </c>
      <c r="K73" s="85">
        <v>3.0872168740051959E-2</v>
      </c>
      <c r="L73" s="85">
        <v>3.7209229980016835E-2</v>
      </c>
      <c r="M73" s="85">
        <v>-0.20715925372833008</v>
      </c>
      <c r="N73" s="85">
        <v>-34.630318338837164</v>
      </c>
      <c r="O73" s="85">
        <v>-0.13876399989036381</v>
      </c>
      <c r="P73" s="85"/>
      <c r="Q73" s="85"/>
      <c r="R73" s="85"/>
      <c r="V73" s="11">
        <v>27</v>
      </c>
      <c r="W73" s="16">
        <v>90214</v>
      </c>
      <c r="X73" s="35">
        <v>791817000</v>
      </c>
      <c r="Y73" s="16">
        <v>205353240</v>
      </c>
      <c r="Z73" s="35">
        <v>760714.28571428568</v>
      </c>
      <c r="AA73" s="35">
        <v>48623571.428571425</v>
      </c>
      <c r="AB73" s="12">
        <v>254812525.7142857</v>
      </c>
      <c r="AC73" s="12">
        <v>157617327.14285713</v>
      </c>
      <c r="AD73" s="12">
        <v>82540044.906666666</v>
      </c>
      <c r="AE73" s="12">
        <v>240157372.0495238</v>
      </c>
      <c r="AF73" s="12">
        <v>14655153.664761905</v>
      </c>
      <c r="AG73" s="13">
        <v>5.751347436190922E-2</v>
      </c>
      <c r="AH73" s="35">
        <v>8777.0966812246443</v>
      </c>
      <c r="AI73" s="35">
        <v>326</v>
      </c>
      <c r="AJ73" s="35">
        <f t="shared" si="60"/>
        <v>629917.91411042947</v>
      </c>
      <c r="AK73" s="35">
        <f t="shared" si="61"/>
        <v>8777.0966812246443</v>
      </c>
      <c r="AQ73" s="26">
        <v>10</v>
      </c>
      <c r="AR73" s="35">
        <v>488</v>
      </c>
      <c r="AS73" s="35">
        <v>4147000</v>
      </c>
      <c r="AT73" s="16">
        <v>1244100</v>
      </c>
      <c r="AU73" s="280">
        <v>0</v>
      </c>
      <c r="AV73" s="35">
        <v>480000</v>
      </c>
      <c r="AW73" s="35">
        <v>1724100</v>
      </c>
      <c r="AX73" s="35">
        <v>1470000</v>
      </c>
      <c r="AY73" s="35">
        <v>2783000</v>
      </c>
      <c r="AZ73" s="35">
        <v>-1058900</v>
      </c>
      <c r="BA73" s="13">
        <v>-0.61417551186126096</v>
      </c>
      <c r="BC73">
        <v>39</v>
      </c>
      <c r="BD73" s="1">
        <v>701806.45161290315</v>
      </c>
      <c r="BE73" s="1">
        <v>484400</v>
      </c>
      <c r="BF73" s="35">
        <f t="shared" si="85"/>
        <v>217406.45161290315</v>
      </c>
      <c r="BG73" s="27">
        <f t="shared" si="86"/>
        <v>0.30978120978120971</v>
      </c>
      <c r="BH73" s="12"/>
      <c r="BI73" s="27"/>
      <c r="BN73" s="13"/>
      <c r="BO73" s="26" t="s">
        <v>158</v>
      </c>
      <c r="BP73" s="16">
        <v>155108571.42857143</v>
      </c>
      <c r="BQ73" s="16">
        <v>0</v>
      </c>
      <c r="BR73" s="16">
        <v>155108571.42857143</v>
      </c>
      <c r="BS73" s="16">
        <v>238910000</v>
      </c>
      <c r="BT73" s="12">
        <v>-83801428.571428567</v>
      </c>
      <c r="BU73" s="13">
        <v>-0.5402759357500736</v>
      </c>
    </row>
    <row r="74" spans="2:73">
      <c r="B74" s="82">
        <v>152026</v>
      </c>
      <c r="C74" s="246">
        <v>74286</v>
      </c>
      <c r="D74" s="246">
        <v>183</v>
      </c>
      <c r="E74" s="81">
        <v>643995600</v>
      </c>
      <c r="F74" s="37">
        <v>166982552</v>
      </c>
      <c r="G74" s="81">
        <v>0</v>
      </c>
      <c r="H74" s="81">
        <v>33485000</v>
      </c>
      <c r="I74" s="246">
        <v>201842552</v>
      </c>
      <c r="J74" s="246">
        <v>135299940</v>
      </c>
      <c r="K74" s="246">
        <v>60820369.683225811</v>
      </c>
      <c r="L74" s="246">
        <v>196120309.68322581</v>
      </c>
      <c r="M74" s="246">
        <v>5722242.316774182</v>
      </c>
      <c r="N74" s="244">
        <v>2.8350029565491135E-2</v>
      </c>
      <c r="O74" s="37">
        <v>8669.1381956223249</v>
      </c>
      <c r="P74" s="37">
        <v>238</v>
      </c>
      <c r="Q74" s="37">
        <f t="shared" ref="Q74" si="89">E74/P74</f>
        <v>2705863.8655462186</v>
      </c>
      <c r="R74" s="37">
        <f t="shared" ref="R74" si="90">C74/P74</f>
        <v>312.12605042016804</v>
      </c>
      <c r="V74" s="11">
        <v>28</v>
      </c>
      <c r="W74" s="16">
        <v>100943</v>
      </c>
      <c r="X74" s="35">
        <v>885054000</v>
      </c>
      <c r="Y74" s="16">
        <v>229525700</v>
      </c>
      <c r="Z74" s="35">
        <v>850000</v>
      </c>
      <c r="AA74" s="35">
        <v>47700000</v>
      </c>
      <c r="AB74" s="12">
        <v>278125700</v>
      </c>
      <c r="AC74" s="12">
        <v>180462305</v>
      </c>
      <c r="AD74" s="12">
        <v>84720045</v>
      </c>
      <c r="AE74" s="12">
        <v>265182350</v>
      </c>
      <c r="AF74" s="12">
        <v>12943350</v>
      </c>
      <c r="AG74" s="13">
        <v>4.6537770511678712E-2</v>
      </c>
      <c r="AH74" s="35">
        <v>8767.8590887926857</v>
      </c>
      <c r="AI74" s="35">
        <v>325</v>
      </c>
      <c r="AJ74" s="35">
        <f t="shared" si="60"/>
        <v>706232.92307692312</v>
      </c>
      <c r="AK74" s="35">
        <f t="shared" si="61"/>
        <v>8767.8590887926857</v>
      </c>
      <c r="AM74" s="27"/>
      <c r="AN74" s="27"/>
      <c r="AO74" s="27"/>
      <c r="AP74" s="27"/>
      <c r="AQ74" s="26">
        <v>11</v>
      </c>
      <c r="AR74" s="35">
        <v>450</v>
      </c>
      <c r="AS74" s="35">
        <v>4174000</v>
      </c>
      <c r="AT74" s="16">
        <v>1252200</v>
      </c>
      <c r="AU74" s="280">
        <v>0</v>
      </c>
      <c r="AV74" s="35">
        <v>420000</v>
      </c>
      <c r="AW74" s="35">
        <v>1672200</v>
      </c>
      <c r="AX74" s="35">
        <v>1470000</v>
      </c>
      <c r="AY74" s="35">
        <v>2745000</v>
      </c>
      <c r="AZ74" s="35">
        <v>-1072800</v>
      </c>
      <c r="BA74" s="13">
        <v>-0.64155005382131325</v>
      </c>
      <c r="BC74">
        <v>40</v>
      </c>
      <c r="BD74" s="1">
        <v>701806.45161290315</v>
      </c>
      <c r="BE74" s="1">
        <v>484400</v>
      </c>
      <c r="BF74" s="35">
        <f t="shared" si="85"/>
        <v>217406.45161290315</v>
      </c>
      <c r="BG74" s="27">
        <f t="shared" si="86"/>
        <v>0.30978120978120971</v>
      </c>
      <c r="BN74" s="13"/>
      <c r="BO74" s="278" t="s">
        <v>168</v>
      </c>
      <c r="BP74" s="16">
        <v>155108571.42857143</v>
      </c>
      <c r="BQ74" s="16">
        <v>0</v>
      </c>
      <c r="BR74" s="16">
        <v>155108571.42857143</v>
      </c>
      <c r="BS74" s="16">
        <v>238910000</v>
      </c>
      <c r="BT74" s="12">
        <v>-83801428.571428567</v>
      </c>
      <c r="BU74" s="13">
        <v>-0.5402759357500736</v>
      </c>
    </row>
    <row r="75" spans="2:73">
      <c r="B75" s="376" t="s">
        <v>182</v>
      </c>
      <c r="C75" s="85">
        <v>-4.305820931672004E-4</v>
      </c>
      <c r="D75" s="377">
        <v>1.1049723756906077E-2</v>
      </c>
      <c r="E75" s="85">
        <v>2.8046957242420225E-3</v>
      </c>
      <c r="F75" s="85">
        <v>4.1217865824761399E-3</v>
      </c>
      <c r="G75" s="85">
        <v>0</v>
      </c>
      <c r="H75" s="85">
        <v>-5.1990493166963756E-3</v>
      </c>
      <c r="I75" s="85">
        <v>2.0376155438668422E-3</v>
      </c>
      <c r="J75" s="85">
        <v>1.857658177788939E-3</v>
      </c>
      <c r="K75" s="85">
        <v>1.1636552744495293E-3</v>
      </c>
      <c r="L75" s="85">
        <v>3.0213134522384683E-3</v>
      </c>
      <c r="M75" s="85">
        <v>1.5776444913500737E-2</v>
      </c>
      <c r="N75" s="85">
        <v>7.7426013759010299</v>
      </c>
      <c r="O75" s="85">
        <v>-6.5137305260693328</v>
      </c>
      <c r="P75" s="85">
        <f t="shared" ref="P74:P83" si="91">D75</f>
        <v>1.1049723756906077E-2</v>
      </c>
      <c r="Q75" s="85">
        <f t="shared" si="87"/>
        <v>0.25382496304390306</v>
      </c>
      <c r="R75" s="85">
        <f t="shared" si="88"/>
        <v>-3.8967679431631638E-2</v>
      </c>
      <c r="V75" s="11">
        <v>29</v>
      </c>
      <c r="W75" s="16">
        <v>99982</v>
      </c>
      <c r="X75" s="35">
        <v>877128000</v>
      </c>
      <c r="Y75" s="16">
        <v>227691960</v>
      </c>
      <c r="Z75" s="35">
        <v>750000</v>
      </c>
      <c r="AA75" s="35">
        <v>49025000</v>
      </c>
      <c r="AB75" s="12">
        <v>277816960</v>
      </c>
      <c r="AC75" s="12">
        <v>179916720</v>
      </c>
      <c r="AD75" s="12">
        <v>87925045</v>
      </c>
      <c r="AE75" s="12">
        <v>267841765</v>
      </c>
      <c r="AF75" s="12">
        <v>9975195</v>
      </c>
      <c r="AG75" s="13">
        <v>3.59056372944258E-2</v>
      </c>
      <c r="AH75" s="35">
        <v>8772.8591146406361</v>
      </c>
      <c r="AI75" s="35">
        <v>336</v>
      </c>
      <c r="AJ75" s="35">
        <f t="shared" si="60"/>
        <v>677654.64285714284</v>
      </c>
      <c r="AK75" s="35">
        <f t="shared" si="61"/>
        <v>8772.8591146406361</v>
      </c>
      <c r="AM75" s="27"/>
      <c r="AN75" s="27"/>
      <c r="AO75" s="27"/>
      <c r="AP75" s="27"/>
      <c r="AQ75" s="26">
        <v>12</v>
      </c>
      <c r="AR75" s="35">
        <v>259</v>
      </c>
      <c r="AS75" s="35">
        <v>3010000</v>
      </c>
      <c r="AT75" s="16">
        <v>903000</v>
      </c>
      <c r="AU75" s="280">
        <v>0</v>
      </c>
      <c r="AV75" s="35">
        <v>360000</v>
      </c>
      <c r="AW75" s="35">
        <v>1263000</v>
      </c>
      <c r="AX75" s="35">
        <v>1260000</v>
      </c>
      <c r="AY75" s="35">
        <v>2319000</v>
      </c>
      <c r="AZ75" s="35">
        <v>-1056000</v>
      </c>
      <c r="BA75" s="13">
        <v>-0.83610451306413303</v>
      </c>
      <c r="BC75">
        <v>41</v>
      </c>
      <c r="BD75" s="1">
        <v>701806.45161290315</v>
      </c>
      <c r="BE75" s="1">
        <v>484400</v>
      </c>
      <c r="BF75" s="35">
        <f t="shared" ref="BF75:BF77" si="92">BD75-BE75</f>
        <v>217406.45161290315</v>
      </c>
      <c r="BG75" s="27">
        <f t="shared" ref="BG75:BG77" si="93">BF75/BD75</f>
        <v>0.30978120978120971</v>
      </c>
      <c r="BN75" s="13"/>
      <c r="BO75" s="278" t="s">
        <v>169</v>
      </c>
      <c r="BP75" s="16">
        <v>0</v>
      </c>
      <c r="BQ75" s="16">
        <v>0</v>
      </c>
      <c r="BR75" s="16">
        <v>0</v>
      </c>
      <c r="BS75" s="16">
        <v>0</v>
      </c>
      <c r="BT75" s="12">
        <v>0</v>
      </c>
      <c r="BU75" s="13" t="e">
        <v>#DIV/0!</v>
      </c>
    </row>
    <row r="76" spans="2:73">
      <c r="B76" s="287" t="s">
        <v>34</v>
      </c>
      <c r="C76" s="121">
        <v>868</v>
      </c>
      <c r="D76" s="312">
        <v>7</v>
      </c>
      <c r="E76" s="288">
        <v>6943000</v>
      </c>
      <c r="F76" s="39">
        <v>2430050</v>
      </c>
      <c r="G76" s="288">
        <v>0</v>
      </c>
      <c r="H76" s="288">
        <v>480000</v>
      </c>
      <c r="I76" s="121">
        <v>2910050</v>
      </c>
      <c r="J76" s="121">
        <v>2393000</v>
      </c>
      <c r="K76" s="121">
        <v>3630100</v>
      </c>
      <c r="L76" s="121">
        <v>6023100</v>
      </c>
      <c r="M76" s="121">
        <v>-3113050</v>
      </c>
      <c r="N76" s="289">
        <v>-1.0697582515764334</v>
      </c>
      <c r="O76" s="39">
        <v>7998.8479262672809</v>
      </c>
      <c r="P76" s="39">
        <f t="shared" si="91"/>
        <v>7</v>
      </c>
      <c r="Q76" s="39">
        <f t="shared" si="87"/>
        <v>991857.14285714284</v>
      </c>
      <c r="R76" s="39">
        <f t="shared" si="88"/>
        <v>124</v>
      </c>
      <c r="V76" s="11">
        <v>30</v>
      </c>
      <c r="W76" s="16">
        <v>101715</v>
      </c>
      <c r="X76" s="35">
        <v>889281000</v>
      </c>
      <c r="Y76" s="16">
        <v>229614770</v>
      </c>
      <c r="Z76" s="35">
        <v>450000</v>
      </c>
      <c r="AA76" s="35">
        <v>51515000</v>
      </c>
      <c r="AB76" s="12">
        <v>281904770</v>
      </c>
      <c r="AC76" s="12">
        <v>188582720</v>
      </c>
      <c r="AD76" s="12">
        <v>91317606</v>
      </c>
      <c r="AE76" s="12">
        <v>279900326</v>
      </c>
      <c r="AF76" s="12">
        <v>2004444</v>
      </c>
      <c r="AG76" s="13">
        <v>7.1103585796011897E-3</v>
      </c>
      <c r="AH76" s="35">
        <v>8742.869783217815</v>
      </c>
      <c r="AI76" s="35">
        <v>357</v>
      </c>
      <c r="AJ76" s="35">
        <f t="shared" si="60"/>
        <v>643178.62745098036</v>
      </c>
      <c r="AK76" s="35">
        <f t="shared" si="61"/>
        <v>8742.869783217815</v>
      </c>
      <c r="AL76" s="85"/>
      <c r="AM76" s="27"/>
      <c r="AN76" s="27"/>
      <c r="AO76" s="27"/>
      <c r="AP76" s="27"/>
      <c r="AQ76" s="26">
        <v>13</v>
      </c>
      <c r="AR76" s="35">
        <v>140</v>
      </c>
      <c r="AS76" s="35">
        <v>1431000</v>
      </c>
      <c r="AT76" s="16">
        <v>429300</v>
      </c>
      <c r="AU76" s="280">
        <v>0</v>
      </c>
      <c r="AV76" s="35">
        <v>140000</v>
      </c>
      <c r="AW76" s="35">
        <v>569300</v>
      </c>
      <c r="AX76" s="35">
        <v>525000</v>
      </c>
      <c r="AY76" s="35">
        <v>990000</v>
      </c>
      <c r="AZ76" s="35">
        <v>-420700</v>
      </c>
      <c r="BA76" s="13">
        <v>-0.7389776919023362</v>
      </c>
      <c r="BC76">
        <v>42</v>
      </c>
      <c r="BD76" s="1">
        <v>701806.45161290315</v>
      </c>
      <c r="BE76" s="1">
        <v>484400</v>
      </c>
      <c r="BF76" s="35">
        <f t="shared" si="92"/>
        <v>217406.45161290315</v>
      </c>
      <c r="BG76" s="27">
        <f t="shared" si="93"/>
        <v>0.30978120978120971</v>
      </c>
      <c r="BN76" s="13"/>
      <c r="BO76" s="26" t="s">
        <v>159</v>
      </c>
      <c r="BP76" s="16">
        <v>146943571.4285714</v>
      </c>
      <c r="BQ76" s="16">
        <v>0</v>
      </c>
      <c r="BR76" s="16">
        <v>146943571.4285714</v>
      </c>
      <c r="BS76" s="16">
        <v>243425000</v>
      </c>
      <c r="BT76" s="12">
        <v>-96481428.571428567</v>
      </c>
      <c r="BU76" s="13">
        <v>-0.65658829190991697</v>
      </c>
    </row>
    <row r="77" spans="2:73">
      <c r="B77" s="305" t="s">
        <v>170</v>
      </c>
      <c r="C77" s="306">
        <v>5869</v>
      </c>
      <c r="D77" s="306">
        <v>9</v>
      </c>
      <c r="E77" s="307">
        <v>51655000</v>
      </c>
      <c r="F77" s="170">
        <v>15496500</v>
      </c>
      <c r="G77" s="307">
        <v>0</v>
      </c>
      <c r="H77" s="307">
        <v>7150000</v>
      </c>
      <c r="I77" s="306">
        <v>23646500</v>
      </c>
      <c r="J77" s="306">
        <v>14602800</v>
      </c>
      <c r="K77" s="306">
        <v>11970000</v>
      </c>
      <c r="L77" s="306">
        <v>26572800</v>
      </c>
      <c r="M77" s="306">
        <v>-2926300</v>
      </c>
      <c r="N77" s="308">
        <v>-0.12375192946101961</v>
      </c>
      <c r="O77" s="170">
        <v>8801.3290168682906</v>
      </c>
      <c r="P77" s="170">
        <f t="shared" si="91"/>
        <v>9</v>
      </c>
      <c r="Q77" s="170">
        <f t="shared" si="87"/>
        <v>5739444.444444444</v>
      </c>
      <c r="R77" s="170">
        <f t="shared" si="88"/>
        <v>652.11111111111109</v>
      </c>
      <c r="V77" s="11">
        <v>31</v>
      </c>
      <c r="W77" s="16">
        <v>102149</v>
      </c>
      <c r="X77" s="35">
        <v>893856000</v>
      </c>
      <c r="Y77" s="16">
        <v>230158290</v>
      </c>
      <c r="Z77" s="35">
        <v>500000</v>
      </c>
      <c r="AA77" s="35">
        <v>49275000</v>
      </c>
      <c r="AB77" s="12">
        <v>280058290</v>
      </c>
      <c r="AC77" s="12">
        <v>176235035</v>
      </c>
      <c r="AD77" s="12">
        <v>88997607</v>
      </c>
      <c r="AE77" s="12">
        <v>265232642</v>
      </c>
      <c r="AF77" s="12">
        <v>14825647.999999985</v>
      </c>
      <c r="AG77" s="13">
        <v>5.2937722357727687E-2</v>
      </c>
      <c r="AH77" s="35">
        <v>8750.5115076995371</v>
      </c>
      <c r="AI77" s="35">
        <v>351</v>
      </c>
      <c r="AJ77" s="35">
        <f t="shared" si="60"/>
        <v>655721.62393162388</v>
      </c>
      <c r="AK77" s="35">
        <f t="shared" si="61"/>
        <v>8750.5115076995371</v>
      </c>
      <c r="AM77" s="27"/>
      <c r="AN77" s="27"/>
      <c r="AO77" s="27"/>
      <c r="AP77" s="27"/>
      <c r="AQ77" s="26">
        <v>14</v>
      </c>
      <c r="AR77" s="35">
        <v>278</v>
      </c>
      <c r="AS77" s="35">
        <v>2980000</v>
      </c>
      <c r="AT77" s="16">
        <v>894000</v>
      </c>
      <c r="AU77" s="280">
        <v>0</v>
      </c>
      <c r="AV77" s="35">
        <v>300000</v>
      </c>
      <c r="AW77" s="35">
        <v>1194000</v>
      </c>
      <c r="AX77" s="35">
        <v>1925000</v>
      </c>
      <c r="AY77" s="35">
        <v>2803000</v>
      </c>
      <c r="AZ77" s="35">
        <v>-1609000</v>
      </c>
      <c r="BA77" s="13">
        <v>-1.347571189279732</v>
      </c>
      <c r="BC77">
        <v>43</v>
      </c>
      <c r="BD77" s="1">
        <v>701806.45161290315</v>
      </c>
      <c r="BE77" s="1">
        <v>484400</v>
      </c>
      <c r="BF77" s="35">
        <f t="shared" si="92"/>
        <v>217406.45161290315</v>
      </c>
      <c r="BG77" s="27">
        <f t="shared" si="93"/>
        <v>0.30978120978120971</v>
      </c>
      <c r="BJ77" s="12"/>
      <c r="BK77" s="12"/>
      <c r="BN77" s="13"/>
      <c r="BO77" s="278" t="s">
        <v>168</v>
      </c>
      <c r="BP77" s="16">
        <v>146943571.4285714</v>
      </c>
      <c r="BQ77" s="16">
        <v>0</v>
      </c>
      <c r="BR77" s="16">
        <v>146943571.4285714</v>
      </c>
      <c r="BS77" s="16">
        <v>243425000</v>
      </c>
      <c r="BT77" s="12">
        <v>-96481428.571428567</v>
      </c>
      <c r="BU77" s="13">
        <v>-0.65658829190991697</v>
      </c>
    </row>
    <row r="78" spans="2:73">
      <c r="B78" s="26">
        <v>12</v>
      </c>
      <c r="C78" s="12">
        <v>362</v>
      </c>
      <c r="D78" s="12">
        <v>6</v>
      </c>
      <c r="E78" s="16">
        <v>3555500</v>
      </c>
      <c r="F78" s="35">
        <v>1066650</v>
      </c>
      <c r="G78" s="16">
        <v>0</v>
      </c>
      <c r="H78" s="16">
        <v>1025000</v>
      </c>
      <c r="I78" s="12">
        <v>2191650</v>
      </c>
      <c r="J78" s="12">
        <v>2339600</v>
      </c>
      <c r="K78" s="12">
        <v>1435000</v>
      </c>
      <c r="L78" s="12">
        <v>3774600</v>
      </c>
      <c r="M78" s="12">
        <v>-1582950</v>
      </c>
      <c r="N78" s="13">
        <v>-0.72226404763534324</v>
      </c>
      <c r="O78" s="35">
        <v>9821.8232044198903</v>
      </c>
      <c r="P78" s="39">
        <f t="shared" si="91"/>
        <v>6</v>
      </c>
      <c r="Q78" s="39">
        <f t="shared" si="87"/>
        <v>592583.33333333337</v>
      </c>
      <c r="R78" s="39">
        <f t="shared" si="88"/>
        <v>60.333333333333336</v>
      </c>
      <c r="V78" s="11">
        <v>32</v>
      </c>
      <c r="W78" s="16">
        <v>96888</v>
      </c>
      <c r="X78" s="35">
        <v>853044000</v>
      </c>
      <c r="Y78" s="16">
        <v>220020180</v>
      </c>
      <c r="Z78" s="35">
        <v>0</v>
      </c>
      <c r="AA78" s="35">
        <v>49150000</v>
      </c>
      <c r="AB78" s="12">
        <v>269170180</v>
      </c>
      <c r="AC78" s="12">
        <v>173129775</v>
      </c>
      <c r="AD78" s="12">
        <v>86002606.166666672</v>
      </c>
      <c r="AE78" s="12">
        <v>259132381.16666669</v>
      </c>
      <c r="AF78" s="12">
        <v>10037798.833333313</v>
      </c>
      <c r="AG78" s="13">
        <v>3.7291645134439902E-2</v>
      </c>
      <c r="AH78" s="35">
        <v>8804.4339856328952</v>
      </c>
      <c r="AI78" s="35">
        <v>353</v>
      </c>
      <c r="AJ78" s="35">
        <f t="shared" si="60"/>
        <v>623286.62889518414</v>
      </c>
      <c r="AK78" s="35">
        <f t="shared" si="61"/>
        <v>8804.4339856328952</v>
      </c>
      <c r="AL78" s="109">
        <f t="shared" ref="AL78:AL106" si="94">AC78/AB78</f>
        <v>0.64319819899812081</v>
      </c>
      <c r="AM78" s="27"/>
      <c r="AN78" s="27"/>
      <c r="AO78" s="27"/>
      <c r="AP78" s="27"/>
      <c r="AQ78" s="26">
        <v>15</v>
      </c>
      <c r="AR78" s="35">
        <v>339</v>
      </c>
      <c r="AS78" s="35">
        <v>3692000</v>
      </c>
      <c r="AT78" s="16">
        <v>1107600</v>
      </c>
      <c r="AU78" s="280">
        <v>0</v>
      </c>
      <c r="AV78" s="35">
        <v>210000</v>
      </c>
      <c r="AW78" s="35">
        <v>1317600</v>
      </c>
      <c r="AX78" s="35">
        <v>735000</v>
      </c>
      <c r="AY78" s="35">
        <v>1449000</v>
      </c>
      <c r="AZ78" s="35">
        <v>-131400</v>
      </c>
      <c r="BA78" s="13">
        <v>-9.9726775956284153E-2</v>
      </c>
      <c r="BC78">
        <v>44</v>
      </c>
      <c r="BD78" s="1">
        <v>701806.45161290315</v>
      </c>
      <c r="BE78" s="1">
        <v>484400</v>
      </c>
      <c r="BF78" s="35">
        <f t="shared" ref="BF78" si="95">BD78-BE78</f>
        <v>217406.45161290315</v>
      </c>
      <c r="BG78" s="27">
        <f t="shared" ref="BG78" si="96">BF78/BD78</f>
        <v>0.30978120978120971</v>
      </c>
      <c r="BN78" s="13"/>
      <c r="BO78" s="26" t="s">
        <v>160</v>
      </c>
      <c r="BP78" s="16">
        <v>57561428.571428575</v>
      </c>
      <c r="BQ78" s="16">
        <v>0</v>
      </c>
      <c r="BR78" s="16">
        <v>57561428.571428575</v>
      </c>
      <c r="BS78" s="16">
        <v>94850000</v>
      </c>
      <c r="BT78" s="12">
        <v>-37288571.428571425</v>
      </c>
      <c r="BU78" s="13">
        <v>-0.64780482962301134</v>
      </c>
    </row>
    <row r="79" spans="2:73">
      <c r="B79" s="26">
        <v>13</v>
      </c>
      <c r="C79" s="12">
        <v>489</v>
      </c>
      <c r="D79" s="12">
        <v>7</v>
      </c>
      <c r="E79" s="16">
        <v>4576000</v>
      </c>
      <c r="F79" s="35">
        <v>1372800</v>
      </c>
      <c r="G79" s="16">
        <v>0</v>
      </c>
      <c r="H79" s="16">
        <v>975000</v>
      </c>
      <c r="I79" s="12">
        <v>2347800</v>
      </c>
      <c r="J79" s="12">
        <v>2338800</v>
      </c>
      <c r="K79" s="12">
        <v>1365000</v>
      </c>
      <c r="L79" s="12">
        <v>3703800</v>
      </c>
      <c r="M79" s="12">
        <v>-1356000</v>
      </c>
      <c r="N79" s="13">
        <v>-0.57756197291081013</v>
      </c>
      <c r="O79" s="35">
        <v>9357.8732106339467</v>
      </c>
      <c r="P79" s="128">
        <f t="shared" si="91"/>
        <v>7</v>
      </c>
      <c r="Q79" s="128">
        <f t="shared" si="87"/>
        <v>653714.28571428568</v>
      </c>
      <c r="R79" s="128">
        <f t="shared" si="88"/>
        <v>69.857142857142861</v>
      </c>
      <c r="V79" s="11">
        <v>33</v>
      </c>
      <c r="W79" s="16">
        <v>93451</v>
      </c>
      <c r="X79" s="35">
        <v>821511000</v>
      </c>
      <c r="Y79" s="16">
        <v>212142980</v>
      </c>
      <c r="Z79" s="35">
        <v>0</v>
      </c>
      <c r="AA79" s="35">
        <v>50900000</v>
      </c>
      <c r="AB79" s="12">
        <v>263117980</v>
      </c>
      <c r="AC79" s="12">
        <v>168264595</v>
      </c>
      <c r="AD79" s="12">
        <v>83782606.166666657</v>
      </c>
      <c r="AE79" s="12">
        <v>252047201.16666666</v>
      </c>
      <c r="AF79" s="12">
        <v>11070778.833333343</v>
      </c>
      <c r="AG79" s="13">
        <v>4.207534138614679E-2</v>
      </c>
      <c r="AH79" s="35">
        <v>8790.8208579897491</v>
      </c>
      <c r="AI79" s="35">
        <v>345</v>
      </c>
      <c r="AJ79" s="35">
        <f>Y79/AI78</f>
        <v>600971.61473087815</v>
      </c>
      <c r="AK79" s="35">
        <f t="shared" ref="AK79:AK106" si="97">X79/W79</f>
        <v>8790.8208579897491</v>
      </c>
      <c r="AL79" s="109">
        <f t="shared" si="94"/>
        <v>0.63950245817484608</v>
      </c>
      <c r="AM79" s="27"/>
      <c r="AN79" s="27"/>
      <c r="AO79" s="27"/>
      <c r="AP79" s="27"/>
      <c r="AQ79" s="26">
        <v>16</v>
      </c>
      <c r="AR79" s="35">
        <v>450</v>
      </c>
      <c r="AS79" s="35">
        <v>4843000</v>
      </c>
      <c r="AT79" s="16">
        <v>1452900</v>
      </c>
      <c r="AU79" s="280">
        <v>0</v>
      </c>
      <c r="AV79" s="35">
        <v>280000</v>
      </c>
      <c r="AW79" s="35">
        <v>1732900</v>
      </c>
      <c r="AX79" s="35">
        <v>980000</v>
      </c>
      <c r="AY79" s="35">
        <v>1880000</v>
      </c>
      <c r="AZ79" s="35">
        <v>-147100</v>
      </c>
      <c r="BA79" s="13">
        <v>-8.4886606266951353E-2</v>
      </c>
      <c r="BC79" s="35">
        <v>45</v>
      </c>
      <c r="BN79" s="13"/>
      <c r="BO79" s="278" t="s">
        <v>168</v>
      </c>
      <c r="BP79" s="16">
        <v>57561428.571428575</v>
      </c>
      <c r="BQ79" s="16">
        <v>0</v>
      </c>
      <c r="BR79" s="16">
        <v>57561428.571428575</v>
      </c>
      <c r="BS79" s="16">
        <v>94850000</v>
      </c>
      <c r="BT79" s="12">
        <v>-37288571.428571425</v>
      </c>
      <c r="BU79" s="13">
        <v>-0.64780482962301134</v>
      </c>
    </row>
    <row r="80" spans="2:73">
      <c r="B80" s="26">
        <v>14</v>
      </c>
      <c r="C80" s="12">
        <v>615</v>
      </c>
      <c r="D80" s="12">
        <v>7</v>
      </c>
      <c r="E80" s="16">
        <v>5698000</v>
      </c>
      <c r="F80" s="35">
        <v>1709400</v>
      </c>
      <c r="G80" s="16">
        <v>0</v>
      </c>
      <c r="H80" s="16">
        <v>550000</v>
      </c>
      <c r="I80" s="12">
        <v>2259400</v>
      </c>
      <c r="J80" s="12">
        <v>1742000</v>
      </c>
      <c r="K80" s="12">
        <v>875000</v>
      </c>
      <c r="L80" s="12">
        <v>2617000</v>
      </c>
      <c r="M80" s="12">
        <v>-357600</v>
      </c>
      <c r="N80" s="13">
        <v>-0.15827210763919625</v>
      </c>
      <c r="O80" s="35">
        <v>9265.0406504065049</v>
      </c>
      <c r="P80" s="171">
        <f t="shared" si="91"/>
        <v>7</v>
      </c>
      <c r="Q80" s="171">
        <f t="shared" si="87"/>
        <v>814000</v>
      </c>
      <c r="R80" s="171">
        <f t="shared" si="88"/>
        <v>87.857142857142861</v>
      </c>
      <c r="V80" s="11">
        <v>34</v>
      </c>
      <c r="W80" s="16">
        <v>87976</v>
      </c>
      <c r="X80" s="35">
        <v>773581000</v>
      </c>
      <c r="Y80" s="16">
        <v>199802640</v>
      </c>
      <c r="Z80" s="35">
        <v>0</v>
      </c>
      <c r="AA80" s="35">
        <v>51170000</v>
      </c>
      <c r="AB80" s="12">
        <v>251097640</v>
      </c>
      <c r="AC80" s="12">
        <v>157519660</v>
      </c>
      <c r="AD80" s="12">
        <v>83357606.166666657</v>
      </c>
      <c r="AE80" s="12">
        <v>240877266.16666666</v>
      </c>
      <c r="AF80" s="12">
        <v>10220373.833333343</v>
      </c>
      <c r="AG80" s="13">
        <v>4.0702787303510075E-2</v>
      </c>
      <c r="AH80" s="35">
        <v>8793.0912976266263</v>
      </c>
      <c r="AI80" s="35">
        <v>349</v>
      </c>
      <c r="AJ80" s="35">
        <f t="shared" ref="AJ80:AJ107" si="98">Y80/AI80</f>
        <v>572500.4011461318</v>
      </c>
      <c r="AK80" s="35">
        <f t="shared" si="97"/>
        <v>8793.0912976266263</v>
      </c>
      <c r="AL80" s="109">
        <f t="shared" si="94"/>
        <v>0.62732433486830064</v>
      </c>
      <c r="AM80" s="27"/>
      <c r="AN80" s="27"/>
      <c r="AO80" s="27"/>
      <c r="AP80" s="27"/>
      <c r="AQ80" s="26">
        <v>17</v>
      </c>
      <c r="AR80" s="35">
        <v>558</v>
      </c>
      <c r="AS80" s="35">
        <v>4772000</v>
      </c>
      <c r="AT80" s="16">
        <v>1431600</v>
      </c>
      <c r="AU80" s="280">
        <v>0</v>
      </c>
      <c r="AV80" s="35">
        <v>280000</v>
      </c>
      <c r="AW80" s="35">
        <v>1711600</v>
      </c>
      <c r="AX80" s="35">
        <v>980000</v>
      </c>
      <c r="AY80" s="35">
        <v>2038000</v>
      </c>
      <c r="AZ80" s="35">
        <v>-326400</v>
      </c>
      <c r="BA80" s="13">
        <v>-0.1906987613928488</v>
      </c>
      <c r="BN80" s="84"/>
      <c r="BO80" s="11" t="s">
        <v>167</v>
      </c>
      <c r="BP80" s="16">
        <v>3675701828.5454545</v>
      </c>
      <c r="BQ80" s="16">
        <v>1662225392.5714278</v>
      </c>
      <c r="BR80" s="16">
        <v>5337927221.1168852</v>
      </c>
      <c r="BS80" s="16">
        <v>6244008510</v>
      </c>
      <c r="BT80" s="35">
        <v>-850291288.88311684</v>
      </c>
      <c r="BU80" s="13">
        <v>-0.15929240951794121</v>
      </c>
    </row>
    <row r="81" spans="2:66">
      <c r="B81" s="26">
        <v>15</v>
      </c>
      <c r="C81" s="12">
        <v>668</v>
      </c>
      <c r="D81" s="12">
        <v>7</v>
      </c>
      <c r="E81" s="16">
        <v>6095000</v>
      </c>
      <c r="F81" s="35">
        <v>1828500</v>
      </c>
      <c r="G81" s="16">
        <v>0</v>
      </c>
      <c r="H81" s="16">
        <v>825000</v>
      </c>
      <c r="I81" s="12">
        <v>2853500</v>
      </c>
      <c r="J81" s="12">
        <v>2284400</v>
      </c>
      <c r="K81" s="12">
        <v>1225000</v>
      </c>
      <c r="L81" s="12">
        <v>3509400</v>
      </c>
      <c r="M81" s="12">
        <v>-655900</v>
      </c>
      <c r="N81" s="13">
        <v>-0.22985806903802347</v>
      </c>
      <c r="O81" s="35">
        <v>9124.2514970059874</v>
      </c>
      <c r="P81" s="39">
        <f t="shared" si="91"/>
        <v>7</v>
      </c>
      <c r="Q81" s="39">
        <f t="shared" si="87"/>
        <v>870714.28571428568</v>
      </c>
      <c r="R81" s="39">
        <f t="shared" si="88"/>
        <v>95.428571428571431</v>
      </c>
      <c r="V81" s="11">
        <v>35</v>
      </c>
      <c r="W81" s="16">
        <v>95852</v>
      </c>
      <c r="X81" s="35">
        <v>844030000</v>
      </c>
      <c r="Y81" s="16">
        <v>217306020</v>
      </c>
      <c r="Z81" s="35">
        <v>0</v>
      </c>
      <c r="AA81" s="35">
        <v>54220000</v>
      </c>
      <c r="AB81" s="12">
        <v>271701020</v>
      </c>
      <c r="AC81" s="12">
        <v>195347330</v>
      </c>
      <c r="AD81" s="12">
        <v>90025106.166666687</v>
      </c>
      <c r="AE81" s="12">
        <v>285372436.16666669</v>
      </c>
      <c r="AF81" s="12">
        <v>-13671416.166666675</v>
      </c>
      <c r="AG81" s="13">
        <v>-5.0317868393231192E-2</v>
      </c>
      <c r="AH81" s="35">
        <v>8805.5543963610562</v>
      </c>
      <c r="AI81" s="35">
        <v>361</v>
      </c>
      <c r="AJ81" s="35">
        <f t="shared" si="98"/>
        <v>601955.73407202214</v>
      </c>
      <c r="AK81" s="35">
        <f t="shared" si="97"/>
        <v>8805.5543963610562</v>
      </c>
      <c r="AL81" s="109">
        <f t="shared" si="94"/>
        <v>0.7189790086176342</v>
      </c>
      <c r="AQ81" s="26">
        <v>18</v>
      </c>
      <c r="AR81" s="35">
        <v>563</v>
      </c>
      <c r="AS81" s="35">
        <v>4829000</v>
      </c>
      <c r="AT81" s="16">
        <v>1448700</v>
      </c>
      <c r="AU81" s="280">
        <v>0</v>
      </c>
      <c r="AV81" s="35">
        <v>250000</v>
      </c>
      <c r="AW81" s="35">
        <v>1698700</v>
      </c>
      <c r="AX81" s="35">
        <v>1120000</v>
      </c>
      <c r="AY81" s="35">
        <v>2133000</v>
      </c>
      <c r="AZ81" s="35">
        <v>-434300</v>
      </c>
      <c r="BA81" s="13">
        <v>-0.25566609760405018</v>
      </c>
      <c r="BN81" s="84"/>
    </row>
    <row r="82" spans="2:66">
      <c r="B82" s="26">
        <v>16</v>
      </c>
      <c r="C82" s="12">
        <v>803</v>
      </c>
      <c r="D82" s="12">
        <v>9</v>
      </c>
      <c r="E82" s="16">
        <v>6900000</v>
      </c>
      <c r="F82" s="35">
        <v>2070000</v>
      </c>
      <c r="G82" s="16">
        <v>0</v>
      </c>
      <c r="H82" s="16">
        <v>1075000</v>
      </c>
      <c r="I82" s="12">
        <v>3445000</v>
      </c>
      <c r="J82" s="12">
        <v>2942400</v>
      </c>
      <c r="K82" s="12">
        <v>1610000</v>
      </c>
      <c r="L82" s="12">
        <v>4552400</v>
      </c>
      <c r="M82" s="12">
        <v>-1107400</v>
      </c>
      <c r="N82" s="13">
        <v>-0.3214513788098694</v>
      </c>
      <c r="O82" s="35">
        <v>8592.7770859277716</v>
      </c>
      <c r="P82" s="36">
        <f t="shared" si="91"/>
        <v>9</v>
      </c>
      <c r="Q82" s="36">
        <f t="shared" si="87"/>
        <v>766666.66666666663</v>
      </c>
      <c r="R82" s="36">
        <f t="shared" si="88"/>
        <v>89.222222222222229</v>
      </c>
      <c r="V82" s="11">
        <v>36</v>
      </c>
      <c r="W82" s="16">
        <v>102935</v>
      </c>
      <c r="X82" s="35">
        <v>907644000</v>
      </c>
      <c r="Y82" s="16">
        <v>234356930</v>
      </c>
      <c r="Z82" s="35">
        <v>0</v>
      </c>
      <c r="AA82" s="35">
        <v>51600000</v>
      </c>
      <c r="AB82" s="12">
        <v>286876930</v>
      </c>
      <c r="AC82" s="12">
        <v>199635740</v>
      </c>
      <c r="AD82" s="12">
        <v>84991048.074444443</v>
      </c>
      <c r="AE82" s="12">
        <v>284626788.07444441</v>
      </c>
      <c r="AF82" s="12">
        <v>2250141.925555557</v>
      </c>
      <c r="AG82" s="13">
        <v>7.8435792155038646E-3</v>
      </c>
      <c r="AH82" s="35">
        <v>8817.6422013892261</v>
      </c>
      <c r="AI82" s="35">
        <v>361</v>
      </c>
      <c r="AJ82" s="35">
        <f t="shared" si="98"/>
        <v>649188.17174515233</v>
      </c>
      <c r="AK82" s="35">
        <f t="shared" si="97"/>
        <v>8817.6422013892261</v>
      </c>
      <c r="AL82" s="109">
        <f t="shared" si="94"/>
        <v>0.69589332261747228</v>
      </c>
      <c r="AQ82" s="26">
        <v>19</v>
      </c>
      <c r="AR82" s="35">
        <v>694</v>
      </c>
      <c r="AS82" s="35">
        <v>6689000</v>
      </c>
      <c r="AT82" s="16">
        <v>2006700</v>
      </c>
      <c r="AU82" s="280">
        <v>0</v>
      </c>
      <c r="AV82" s="35">
        <v>400000</v>
      </c>
      <c r="AW82" s="35">
        <v>2406700</v>
      </c>
      <c r="AX82" s="35">
        <v>1400000</v>
      </c>
      <c r="AY82" s="35">
        <v>3094000</v>
      </c>
      <c r="AZ82" s="35">
        <v>-687300</v>
      </c>
      <c r="BA82" s="13">
        <v>-0.28557776208085761</v>
      </c>
      <c r="BN82" s="84"/>
    </row>
    <row r="83" spans="2:66">
      <c r="B83" s="26">
        <v>17</v>
      </c>
      <c r="C83" s="12">
        <v>490</v>
      </c>
      <c r="D83" s="12">
        <v>6</v>
      </c>
      <c r="E83" s="16">
        <v>4245000</v>
      </c>
      <c r="F83" s="35">
        <v>1273500</v>
      </c>
      <c r="G83" s="16">
        <v>0</v>
      </c>
      <c r="H83" s="16">
        <v>396000</v>
      </c>
      <c r="I83" s="12">
        <v>2069500</v>
      </c>
      <c r="J83" s="12">
        <v>892000</v>
      </c>
      <c r="K83" s="12">
        <v>1155000</v>
      </c>
      <c r="L83" s="12">
        <v>2047000</v>
      </c>
      <c r="M83" s="12">
        <v>22500</v>
      </c>
      <c r="N83" s="13">
        <v>1.0872191350567771E-2</v>
      </c>
      <c r="O83" s="35">
        <v>8663.2653061224482</v>
      </c>
      <c r="P83" s="38">
        <f t="shared" si="91"/>
        <v>6</v>
      </c>
      <c r="Q83" s="38">
        <f t="shared" si="87"/>
        <v>707500</v>
      </c>
      <c r="R83" s="38">
        <f t="shared" si="88"/>
        <v>81.666666666666671</v>
      </c>
      <c r="V83" s="11">
        <v>37</v>
      </c>
      <c r="W83" s="16">
        <v>90217</v>
      </c>
      <c r="X83" s="35">
        <v>803779000</v>
      </c>
      <c r="Y83" s="16">
        <v>207499850</v>
      </c>
      <c r="Z83" s="35">
        <v>0</v>
      </c>
      <c r="AA83" s="35">
        <v>53750000</v>
      </c>
      <c r="AB83" s="12">
        <v>262259850</v>
      </c>
      <c r="AC83" s="12">
        <v>175775160</v>
      </c>
      <c r="AD83" s="12">
        <v>86686048.074444443</v>
      </c>
      <c r="AE83" s="12">
        <v>262461208.07444444</v>
      </c>
      <c r="AF83" s="12">
        <v>-201358.07444444287</v>
      </c>
      <c r="AG83" s="13">
        <v>-7.6778078857454878E-4</v>
      </c>
      <c r="AH83" s="35">
        <v>8909.3962335258329</v>
      </c>
      <c r="AI83" s="35">
        <v>359</v>
      </c>
      <c r="AJ83" s="35">
        <f t="shared" si="98"/>
        <v>577994.01114206132</v>
      </c>
      <c r="AK83" s="35">
        <f t="shared" si="97"/>
        <v>8909.3962335258329</v>
      </c>
      <c r="AL83" s="109">
        <f t="shared" si="94"/>
        <v>0.67023282442966392</v>
      </c>
      <c r="AQ83" s="26">
        <v>20</v>
      </c>
      <c r="AR83" s="35">
        <v>808</v>
      </c>
      <c r="AS83" s="35">
        <v>6728000</v>
      </c>
      <c r="AT83" s="16">
        <v>2018400</v>
      </c>
      <c r="AU83" s="280">
        <v>0</v>
      </c>
      <c r="AV83" s="35">
        <v>340000</v>
      </c>
      <c r="AW83" s="35">
        <v>2358400</v>
      </c>
      <c r="AX83" s="35">
        <v>1190000</v>
      </c>
      <c r="AY83" s="35">
        <v>2898000</v>
      </c>
      <c r="AZ83" s="35">
        <v>-539600</v>
      </c>
      <c r="BA83" s="13">
        <v>-0.22879918588873813</v>
      </c>
      <c r="BN83" s="78"/>
    </row>
    <row r="84" spans="2:66">
      <c r="B84" s="26">
        <v>18</v>
      </c>
      <c r="C84" s="12">
        <v>456</v>
      </c>
      <c r="D84" s="12">
        <v>5</v>
      </c>
      <c r="E84" s="16">
        <v>3882000</v>
      </c>
      <c r="F84" s="35">
        <v>1164600</v>
      </c>
      <c r="G84" s="16">
        <v>0</v>
      </c>
      <c r="H84" s="16">
        <v>306000</v>
      </c>
      <c r="I84" s="12">
        <v>1470600</v>
      </c>
      <c r="J84" s="12">
        <v>0</v>
      </c>
      <c r="K84" s="12">
        <v>595000</v>
      </c>
      <c r="L84" s="12">
        <v>595000</v>
      </c>
      <c r="M84" s="12">
        <v>875600</v>
      </c>
      <c r="N84" s="13">
        <v>0.59540323677410578</v>
      </c>
      <c r="O84" s="35">
        <v>8513.1578947368416</v>
      </c>
      <c r="P84" s="169">
        <f t="shared" ref="P84:P105" si="99">D84</f>
        <v>5</v>
      </c>
      <c r="Q84" s="169">
        <f t="shared" si="87"/>
        <v>776400</v>
      </c>
      <c r="R84" s="169">
        <f t="shared" si="88"/>
        <v>91.2</v>
      </c>
      <c r="V84" s="11">
        <v>38</v>
      </c>
      <c r="W84" s="16">
        <v>89115</v>
      </c>
      <c r="X84" s="35">
        <v>785115000</v>
      </c>
      <c r="Y84" s="16">
        <v>202883100</v>
      </c>
      <c r="Z84" s="35">
        <v>0</v>
      </c>
      <c r="AA84" s="35">
        <v>51200000</v>
      </c>
      <c r="AB84" s="12">
        <v>255383100</v>
      </c>
      <c r="AC84" s="12">
        <v>179171410</v>
      </c>
      <c r="AD84" s="12">
        <v>84696048</v>
      </c>
      <c r="AE84" s="12">
        <v>263867458</v>
      </c>
      <c r="AF84" s="12">
        <v>-8484358</v>
      </c>
      <c r="AG84" s="13">
        <v>-3.3222080865961762E-2</v>
      </c>
      <c r="AH84" s="35">
        <v>8810.1329742467606</v>
      </c>
      <c r="AI84" s="35">
        <v>353</v>
      </c>
      <c r="AJ84" s="35">
        <f t="shared" si="98"/>
        <v>574739.66005665727</v>
      </c>
      <c r="AK84" s="35">
        <f t="shared" si="97"/>
        <v>8810.1329742467606</v>
      </c>
      <c r="AL84" s="109">
        <f t="shared" si="94"/>
        <v>0.70157896117636598</v>
      </c>
      <c r="AQ84" s="26">
        <v>21</v>
      </c>
      <c r="AR84" s="35">
        <v>847</v>
      </c>
      <c r="AS84" s="35">
        <v>7082000</v>
      </c>
      <c r="AT84" s="16">
        <v>2124600</v>
      </c>
      <c r="AU84" s="280">
        <v>0</v>
      </c>
      <c r="AV84" s="35">
        <v>350000</v>
      </c>
      <c r="AW84" s="35">
        <v>2474600</v>
      </c>
      <c r="AX84" s="35">
        <v>1225000</v>
      </c>
      <c r="AY84" s="35">
        <v>3122000</v>
      </c>
      <c r="AZ84" s="35">
        <v>-647400</v>
      </c>
      <c r="BA84" s="13">
        <v>-0.2616180392790754</v>
      </c>
      <c r="BN84" s="78"/>
    </row>
    <row r="85" spans="2:66">
      <c r="B85" s="26">
        <v>19</v>
      </c>
      <c r="C85" s="12">
        <v>560</v>
      </c>
      <c r="D85" s="12">
        <v>6</v>
      </c>
      <c r="E85" s="16">
        <v>4564000</v>
      </c>
      <c r="F85" s="35">
        <v>1369200</v>
      </c>
      <c r="G85" s="16">
        <v>0</v>
      </c>
      <c r="H85" s="16">
        <v>468000</v>
      </c>
      <c r="I85" s="12">
        <v>1837200</v>
      </c>
      <c r="J85" s="12">
        <v>639000</v>
      </c>
      <c r="K85" s="12">
        <v>945000</v>
      </c>
      <c r="L85" s="12">
        <v>1584000</v>
      </c>
      <c r="M85" s="12">
        <v>253200</v>
      </c>
      <c r="N85" s="13">
        <v>0.13781841933376879</v>
      </c>
      <c r="O85" s="35">
        <v>8150</v>
      </c>
      <c r="P85" s="169">
        <f t="shared" si="99"/>
        <v>6</v>
      </c>
      <c r="Q85" s="169">
        <f t="shared" si="87"/>
        <v>760666.66666666663</v>
      </c>
      <c r="R85" s="169">
        <f t="shared" si="88"/>
        <v>93.333333333333329</v>
      </c>
      <c r="V85" s="11">
        <v>39</v>
      </c>
      <c r="W85" s="16">
        <v>97877</v>
      </c>
      <c r="X85" s="35">
        <v>860435000</v>
      </c>
      <c r="Y85" s="16">
        <v>222365430</v>
      </c>
      <c r="Z85" s="35">
        <v>632700</v>
      </c>
      <c r="AA85" s="35">
        <v>53300000</v>
      </c>
      <c r="AB85" s="12">
        <v>278298130</v>
      </c>
      <c r="AC85" s="12">
        <v>193793675</v>
      </c>
      <c r="AD85" s="12">
        <v>88596048</v>
      </c>
      <c r="AE85" s="12">
        <v>282389723</v>
      </c>
      <c r="AF85" s="12">
        <v>-4091593</v>
      </c>
      <c r="AG85" s="13">
        <v>-1.4702193651103585E-2</v>
      </c>
      <c r="AH85" s="35">
        <v>8790.9825597433519</v>
      </c>
      <c r="AI85" s="35">
        <v>366</v>
      </c>
      <c r="AJ85" s="35">
        <f t="shared" si="98"/>
        <v>607555.8196721311</v>
      </c>
      <c r="AK85" s="35">
        <f t="shared" si="97"/>
        <v>8790.9825597433519</v>
      </c>
      <c r="AL85" s="109">
        <f t="shared" si="94"/>
        <v>0.69635277463057332</v>
      </c>
      <c r="AQ85" s="26">
        <v>22</v>
      </c>
      <c r="AR85" s="35">
        <v>710</v>
      </c>
      <c r="AS85" s="35">
        <v>5808000</v>
      </c>
      <c r="AT85" s="16">
        <v>1161600</v>
      </c>
      <c r="AU85" s="280">
        <v>650000</v>
      </c>
      <c r="AV85" s="35">
        <v>350000</v>
      </c>
      <c r="AW85" s="35">
        <v>2161600</v>
      </c>
      <c r="AX85" s="35">
        <v>1120000</v>
      </c>
      <c r="AY85" s="35">
        <v>2655000</v>
      </c>
      <c r="AZ85" s="35">
        <v>-493400</v>
      </c>
      <c r="BA85" s="13">
        <v>-0.22825684678016284</v>
      </c>
      <c r="BC85" t="s">
        <v>189</v>
      </c>
      <c r="BD85" s="16"/>
      <c r="BE85" s="16"/>
      <c r="BF85" s="35"/>
      <c r="BG85" s="27"/>
      <c r="BH85" s="12"/>
      <c r="BI85" s="27"/>
      <c r="BN85" s="78"/>
    </row>
    <row r="86" spans="2:66">
      <c r="B86" s="26">
        <v>20</v>
      </c>
      <c r="C86" s="12">
        <v>356</v>
      </c>
      <c r="D86" s="12">
        <v>5</v>
      </c>
      <c r="E86" s="16">
        <v>2956000</v>
      </c>
      <c r="F86" s="35">
        <v>886800</v>
      </c>
      <c r="G86" s="16">
        <v>0</v>
      </c>
      <c r="H86" s="16">
        <v>324000</v>
      </c>
      <c r="I86" s="12">
        <v>1210800</v>
      </c>
      <c r="J86" s="12">
        <v>380400</v>
      </c>
      <c r="K86" s="12">
        <v>630000</v>
      </c>
      <c r="L86" s="12">
        <v>1010400</v>
      </c>
      <c r="M86" s="12">
        <v>200400</v>
      </c>
      <c r="N86" s="13">
        <v>0.16551040634291378</v>
      </c>
      <c r="O86" s="35">
        <v>8303.3707865168544</v>
      </c>
      <c r="P86" s="169">
        <f t="shared" si="99"/>
        <v>5</v>
      </c>
      <c r="Q86" s="169">
        <f t="shared" si="87"/>
        <v>591200</v>
      </c>
      <c r="R86" s="169">
        <f t="shared" si="88"/>
        <v>71.2</v>
      </c>
      <c r="V86" s="11">
        <v>40</v>
      </c>
      <c r="W86" s="16">
        <v>93191</v>
      </c>
      <c r="X86" s="35">
        <v>819246002</v>
      </c>
      <c r="Y86" s="16">
        <v>210941910.44</v>
      </c>
      <c r="Z86" s="35">
        <v>466200</v>
      </c>
      <c r="AA86" s="35">
        <v>53125000</v>
      </c>
      <c r="AB86" s="12">
        <v>266583110.44</v>
      </c>
      <c r="AC86" s="12">
        <v>171937550</v>
      </c>
      <c r="AD86" s="12">
        <v>85532681.826523304</v>
      </c>
      <c r="AE86" s="12">
        <v>257470231.8265233</v>
      </c>
      <c r="AF86" s="12">
        <v>9112878.6134766638</v>
      </c>
      <c r="AG86" s="13">
        <v>3.4184005875074759E-2</v>
      </c>
      <c r="AH86" s="35">
        <v>8791.0420748784745</v>
      </c>
      <c r="AI86" s="35">
        <v>351</v>
      </c>
      <c r="AJ86" s="35">
        <f t="shared" si="98"/>
        <v>600974.10381766385</v>
      </c>
      <c r="AK86" s="35">
        <f t="shared" si="97"/>
        <v>8791.0420748784745</v>
      </c>
      <c r="AL86" s="109">
        <f t="shared" si="94"/>
        <v>0.64496790406644333</v>
      </c>
      <c r="AQ86" s="26">
        <v>23</v>
      </c>
      <c r="AR86" s="35">
        <v>838</v>
      </c>
      <c r="AS86" s="35">
        <v>6764000</v>
      </c>
      <c r="AT86" s="16">
        <v>1352800</v>
      </c>
      <c r="AU86" s="280">
        <v>575000</v>
      </c>
      <c r="AV86" s="35">
        <v>280000</v>
      </c>
      <c r="AW86" s="35">
        <v>2207800</v>
      </c>
      <c r="AX86" s="35">
        <v>980000</v>
      </c>
      <c r="AY86" s="35">
        <v>2568000</v>
      </c>
      <c r="AZ86" s="35">
        <v>-360200</v>
      </c>
      <c r="BA86" s="13">
        <v>-0.1631488359452849</v>
      </c>
      <c r="BN86" s="13"/>
    </row>
    <row r="87" spans="2:66">
      <c r="B87" s="26">
        <v>21</v>
      </c>
      <c r="C87" s="12">
        <v>356</v>
      </c>
      <c r="D87" s="12">
        <v>4</v>
      </c>
      <c r="E87" s="16">
        <v>3052000</v>
      </c>
      <c r="F87" s="35">
        <v>915600</v>
      </c>
      <c r="G87" s="16">
        <v>0</v>
      </c>
      <c r="H87" s="16">
        <v>342000</v>
      </c>
      <c r="I87" s="12">
        <v>1257600</v>
      </c>
      <c r="J87" s="12">
        <v>380400</v>
      </c>
      <c r="K87" s="12">
        <v>700000</v>
      </c>
      <c r="L87" s="12">
        <v>1080400</v>
      </c>
      <c r="M87" s="12">
        <v>177200</v>
      </c>
      <c r="N87" s="13">
        <v>0.1409033078880407</v>
      </c>
      <c r="O87" s="35">
        <v>8573.0337078651683</v>
      </c>
      <c r="P87" s="134">
        <f t="shared" si="99"/>
        <v>4</v>
      </c>
      <c r="Q87" s="134">
        <f t="shared" si="87"/>
        <v>763000</v>
      </c>
      <c r="R87" s="134">
        <f t="shared" si="88"/>
        <v>89</v>
      </c>
      <c r="V87" s="11">
        <v>41</v>
      </c>
      <c r="W87" s="16">
        <v>95442</v>
      </c>
      <c r="X87" s="35">
        <v>840651002</v>
      </c>
      <c r="Y87" s="16">
        <v>216647940.44</v>
      </c>
      <c r="Z87" s="35">
        <v>499500</v>
      </c>
      <c r="AA87" s="35">
        <v>51050000</v>
      </c>
      <c r="AB87" s="12">
        <v>268847440.44</v>
      </c>
      <c r="AC87" s="12">
        <v>180625325</v>
      </c>
      <c r="AD87" s="12">
        <v>84936052.752688169</v>
      </c>
      <c r="AE87" s="12">
        <v>265561377.75268817</v>
      </c>
      <c r="AF87" s="12">
        <v>3286062.6873118305</v>
      </c>
      <c r="AG87" s="13">
        <v>1.2222778397792473E-2</v>
      </c>
      <c r="AH87" s="35">
        <v>8807.9776408708949</v>
      </c>
      <c r="AI87" s="35">
        <v>355</v>
      </c>
      <c r="AJ87" s="35">
        <f t="shared" si="98"/>
        <v>610275.88856338023</v>
      </c>
      <c r="AK87" s="35">
        <f t="shared" si="97"/>
        <v>8807.9776408708949</v>
      </c>
      <c r="AL87" s="109">
        <f t="shared" si="94"/>
        <v>0.67185064029021713</v>
      </c>
      <c r="AQ87" s="26">
        <v>24</v>
      </c>
      <c r="AR87" s="35">
        <v>744</v>
      </c>
      <c r="AS87" s="35">
        <v>6432000</v>
      </c>
      <c r="AT87" s="16">
        <v>1286400</v>
      </c>
      <c r="AU87" s="280">
        <v>575000</v>
      </c>
      <c r="AV87" s="35">
        <v>280000</v>
      </c>
      <c r="AW87" s="35">
        <v>2141400</v>
      </c>
      <c r="AX87" s="35">
        <v>980000</v>
      </c>
      <c r="AY87" s="35">
        <v>2449000</v>
      </c>
      <c r="AZ87" s="35">
        <v>-307600</v>
      </c>
      <c r="BA87" s="13">
        <v>-0.14364434482114505</v>
      </c>
    </row>
    <row r="88" spans="2:66">
      <c r="B88" s="26">
        <v>22</v>
      </c>
      <c r="C88" s="12">
        <v>342</v>
      </c>
      <c r="D88" s="12">
        <v>4</v>
      </c>
      <c r="E88" s="16">
        <v>2954000</v>
      </c>
      <c r="F88" s="35">
        <v>886200</v>
      </c>
      <c r="G88" s="16">
        <v>0</v>
      </c>
      <c r="H88" s="16">
        <v>414000</v>
      </c>
      <c r="I88" s="12">
        <v>1300200</v>
      </c>
      <c r="J88" s="12">
        <v>367800</v>
      </c>
      <c r="K88" s="12">
        <v>805000</v>
      </c>
      <c r="L88" s="12">
        <v>1172800</v>
      </c>
      <c r="M88" s="12">
        <v>127400</v>
      </c>
      <c r="N88" s="13">
        <v>9.7984925396092909E-2</v>
      </c>
      <c r="O88" s="35">
        <v>8637.4269005847946</v>
      </c>
      <c r="P88" s="35">
        <f t="shared" si="99"/>
        <v>4</v>
      </c>
      <c r="Q88" s="35">
        <f t="shared" si="87"/>
        <v>738500</v>
      </c>
      <c r="R88" s="35">
        <f t="shared" si="88"/>
        <v>85.5</v>
      </c>
      <c r="V88" s="11">
        <v>42</v>
      </c>
      <c r="W88" s="16">
        <v>90222</v>
      </c>
      <c r="X88" s="35">
        <v>791698300</v>
      </c>
      <c r="Y88" s="16">
        <v>203767331</v>
      </c>
      <c r="Z88" s="35">
        <v>666000</v>
      </c>
      <c r="AA88" s="35">
        <v>49800000</v>
      </c>
      <c r="AB88" s="12">
        <v>256358331</v>
      </c>
      <c r="AC88" s="12">
        <v>169357490</v>
      </c>
      <c r="AD88" s="12">
        <v>80970203.290322572</v>
      </c>
      <c r="AE88" s="12">
        <v>250327693.29032257</v>
      </c>
      <c r="AF88" s="12">
        <v>6030637.7096774206</v>
      </c>
      <c r="AG88" s="13">
        <v>2.3524250942628507E-2</v>
      </c>
      <c r="AH88" s="35">
        <v>8775.002770942785</v>
      </c>
      <c r="AI88" s="35">
        <v>334</v>
      </c>
      <c r="AJ88" s="35">
        <f t="shared" si="98"/>
        <v>610081.82934131741</v>
      </c>
      <c r="AK88" s="35">
        <f t="shared" si="97"/>
        <v>8775.002770942785</v>
      </c>
      <c r="AL88" s="109">
        <f t="shared" si="94"/>
        <v>0.6606279941805363</v>
      </c>
      <c r="AQ88" s="26">
        <v>25</v>
      </c>
      <c r="AR88" s="35">
        <v>816</v>
      </c>
      <c r="AS88" s="35">
        <v>6921000</v>
      </c>
      <c r="AT88" s="16">
        <v>1384200</v>
      </c>
      <c r="AU88" s="280">
        <v>650000</v>
      </c>
      <c r="AV88" s="35">
        <v>350000</v>
      </c>
      <c r="AW88" s="35">
        <v>2384200</v>
      </c>
      <c r="AX88" s="35">
        <v>1225000</v>
      </c>
      <c r="AY88" s="35">
        <v>2816000</v>
      </c>
      <c r="AZ88" s="35">
        <v>-431800</v>
      </c>
      <c r="BA88" s="13">
        <v>-0.18110896736850934</v>
      </c>
    </row>
    <row r="89" spans="2:66">
      <c r="B89" s="26">
        <v>23</v>
      </c>
      <c r="C89" s="12">
        <v>216</v>
      </c>
      <c r="D89" s="12">
        <v>3</v>
      </c>
      <c r="E89" s="16">
        <v>1841500</v>
      </c>
      <c r="F89" s="35">
        <v>552450</v>
      </c>
      <c r="G89" s="16">
        <v>0</v>
      </c>
      <c r="H89" s="16">
        <v>275000</v>
      </c>
      <c r="I89" s="12">
        <v>827450</v>
      </c>
      <c r="J89" s="12">
        <v>156000</v>
      </c>
      <c r="K89" s="12">
        <v>385000</v>
      </c>
      <c r="L89" s="12">
        <v>541000</v>
      </c>
      <c r="M89" s="12">
        <v>286450</v>
      </c>
      <c r="N89" s="13">
        <v>0.34618405945978609</v>
      </c>
      <c r="O89" s="35">
        <v>8525.4629629629635</v>
      </c>
      <c r="P89" s="35">
        <f t="shared" si="99"/>
        <v>3</v>
      </c>
      <c r="Q89" s="35">
        <f t="shared" si="87"/>
        <v>613833.33333333337</v>
      </c>
      <c r="R89" s="35">
        <f t="shared" si="88"/>
        <v>72</v>
      </c>
      <c r="V89" s="11">
        <v>43</v>
      </c>
      <c r="W89" s="16">
        <v>77407</v>
      </c>
      <c r="X89" s="35">
        <v>684462900</v>
      </c>
      <c r="Y89" s="16">
        <v>176441153</v>
      </c>
      <c r="Z89" s="35">
        <v>799200</v>
      </c>
      <c r="AA89" s="35">
        <v>49525000</v>
      </c>
      <c r="AB89" s="12">
        <v>228840353</v>
      </c>
      <c r="AC89" s="12">
        <v>157453100</v>
      </c>
      <c r="AD89" s="12">
        <v>82610214</v>
      </c>
      <c r="AE89" s="12">
        <v>240063314</v>
      </c>
      <c r="AF89" s="12">
        <v>-11222961</v>
      </c>
      <c r="AG89" s="13">
        <v>-4.9042753399353475E-2</v>
      </c>
      <c r="AH89" s="35">
        <v>8842.3902231064367</v>
      </c>
      <c r="AI89" s="35">
        <v>339</v>
      </c>
      <c r="AJ89" s="35">
        <f t="shared" si="98"/>
        <v>520475.37758112093</v>
      </c>
      <c r="AK89" s="35">
        <f t="shared" si="97"/>
        <v>8842.3902231064367</v>
      </c>
      <c r="AL89" s="109">
        <f t="shared" si="94"/>
        <v>0.68804779373854574</v>
      </c>
      <c r="AQ89" s="26">
        <v>26</v>
      </c>
      <c r="AR89" s="35">
        <v>855</v>
      </c>
      <c r="AS89" s="35">
        <v>7362000</v>
      </c>
      <c r="AT89" s="16">
        <v>1472400</v>
      </c>
      <c r="AU89" s="280">
        <v>714285.71428571432</v>
      </c>
      <c r="AV89" s="35">
        <v>446428.57142857142</v>
      </c>
      <c r="AW89" s="35">
        <v>2633114.2857142854</v>
      </c>
      <c r="AX89" s="35">
        <v>1380000</v>
      </c>
      <c r="AY89" s="35">
        <v>3074602.8571428573</v>
      </c>
      <c r="AZ89" s="35">
        <v>-441488.57142857148</v>
      </c>
      <c r="BA89" s="13">
        <v>-0.16766783493744511</v>
      </c>
      <c r="BC89" s="35">
        <v>9</v>
      </c>
      <c r="BD89" s="16">
        <v>2320258</v>
      </c>
      <c r="BE89" s="16">
        <v>1960200</v>
      </c>
      <c r="BF89" s="35">
        <f t="shared" ref="BF89:BF99" si="100">BD89-BE89</f>
        <v>360058</v>
      </c>
      <c r="BG89" s="27">
        <f t="shared" ref="BG89:BG99" si="101">BF89/BD89</f>
        <v>0.1551801566894716</v>
      </c>
      <c r="BH89" s="12">
        <f t="shared" ref="BH89:BH103" si="102">AZ89+BF89</f>
        <v>-81430.571428571478</v>
      </c>
      <c r="BI89" s="27">
        <f t="shared" ref="BI89:BI103" si="103">(BF89+AZ89)/(AW89+BD89)</f>
        <v>-1.6439420809015375E-2</v>
      </c>
    </row>
    <row r="90" spans="2:66">
      <c r="B90" s="26">
        <v>24</v>
      </c>
      <c r="C90" s="12">
        <v>156</v>
      </c>
      <c r="D90" s="12">
        <v>2</v>
      </c>
      <c r="E90" s="16">
        <v>1336000</v>
      </c>
      <c r="F90" s="35">
        <v>400800</v>
      </c>
      <c r="G90" s="16">
        <v>0</v>
      </c>
      <c r="H90" s="16">
        <v>175000</v>
      </c>
      <c r="I90" s="12">
        <v>575800</v>
      </c>
      <c r="J90" s="12">
        <v>140000</v>
      </c>
      <c r="K90" s="12">
        <v>245000</v>
      </c>
      <c r="L90" s="12">
        <v>385000</v>
      </c>
      <c r="M90" s="12">
        <v>190800</v>
      </c>
      <c r="N90" s="13">
        <v>0.33136505731156651</v>
      </c>
      <c r="O90" s="35">
        <v>8564.1025641025644</v>
      </c>
      <c r="P90" s="35">
        <f t="shared" si="99"/>
        <v>2</v>
      </c>
      <c r="Q90" s="35">
        <f t="shared" si="87"/>
        <v>668000</v>
      </c>
      <c r="R90" s="35">
        <f t="shared" si="88"/>
        <v>78</v>
      </c>
      <c r="V90" s="11">
        <v>44</v>
      </c>
      <c r="W90" s="16">
        <v>78066</v>
      </c>
      <c r="X90" s="35">
        <v>679274800</v>
      </c>
      <c r="Y90" s="16">
        <v>174904116</v>
      </c>
      <c r="Z90" s="35">
        <v>632700</v>
      </c>
      <c r="AA90" s="35">
        <v>47200000</v>
      </c>
      <c r="AB90" s="12">
        <v>225111815.99999997</v>
      </c>
      <c r="AC90" s="12">
        <v>150107385</v>
      </c>
      <c r="AD90" s="12">
        <v>79914835.26451613</v>
      </c>
      <c r="AE90" s="12">
        <v>230022220.26451612</v>
      </c>
      <c r="AF90" s="12">
        <v>-4910404.2645161254</v>
      </c>
      <c r="AG90" s="13">
        <v>-2.1813178676130116E-2</v>
      </c>
      <c r="AH90" s="35">
        <v>8701.2886531908898</v>
      </c>
      <c r="AI90" s="35">
        <v>322</v>
      </c>
      <c r="AJ90" s="35">
        <f t="shared" si="98"/>
        <v>543180.48447204963</v>
      </c>
      <c r="AK90" s="35">
        <f t="shared" si="97"/>
        <v>8701.2886531908898</v>
      </c>
      <c r="AL90" s="109">
        <f t="shared" si="94"/>
        <v>0.66681255416641483</v>
      </c>
      <c r="AQ90" s="26">
        <v>27</v>
      </c>
      <c r="AR90" s="35">
        <v>747</v>
      </c>
      <c r="AS90" s="35">
        <v>6527000</v>
      </c>
      <c r="AT90" s="16">
        <v>1305400</v>
      </c>
      <c r="AU90" s="280">
        <v>535714.28571428568</v>
      </c>
      <c r="AV90" s="35">
        <v>578571.42857142852</v>
      </c>
      <c r="AW90" s="35">
        <v>2419685.7142857146</v>
      </c>
      <c r="AX90" s="35">
        <v>930000</v>
      </c>
      <c r="AY90" s="35">
        <v>2061617.1428571427</v>
      </c>
      <c r="AZ90" s="35">
        <v>358068.57142857183</v>
      </c>
      <c r="BA90" s="13">
        <v>0.14798143796715055</v>
      </c>
      <c r="BC90" s="35">
        <v>9</v>
      </c>
      <c r="BD90" s="16">
        <v>2706968</v>
      </c>
      <c r="BE90" s="16">
        <v>3067000</v>
      </c>
      <c r="BF90" s="35">
        <f t="shared" si="100"/>
        <v>-360032</v>
      </c>
      <c r="BG90" s="27">
        <f t="shared" si="101"/>
        <v>-0.13300194165575654</v>
      </c>
      <c r="BH90" s="12">
        <f t="shared" si="102"/>
        <v>-1963.4285714281723</v>
      </c>
      <c r="BI90" s="27">
        <f t="shared" si="103"/>
        <v>-3.8298443406797032E-4</v>
      </c>
    </row>
    <row r="91" spans="2:66">
      <c r="B91" s="376" t="s">
        <v>181</v>
      </c>
      <c r="C91" s="85">
        <v>0</v>
      </c>
      <c r="D91" s="85">
        <v>0</v>
      </c>
      <c r="E91" s="85">
        <v>0</v>
      </c>
      <c r="F91" s="85">
        <v>0</v>
      </c>
      <c r="G91" s="85">
        <v>0</v>
      </c>
      <c r="H91" s="85">
        <v>0</v>
      </c>
      <c r="I91" s="85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35">
        <f t="shared" si="99"/>
        <v>0</v>
      </c>
      <c r="Q91" s="35" t="e">
        <f t="shared" si="87"/>
        <v>#DIV/0!</v>
      </c>
      <c r="R91" s="35" t="e">
        <f t="shared" si="88"/>
        <v>#DIV/0!</v>
      </c>
      <c r="V91" s="11">
        <v>45</v>
      </c>
      <c r="W91" s="16">
        <v>85995</v>
      </c>
      <c r="X91" s="35">
        <v>748525006</v>
      </c>
      <c r="Y91" s="16">
        <v>192745901.31999999</v>
      </c>
      <c r="Z91" s="35">
        <v>566100</v>
      </c>
      <c r="AA91" s="35">
        <v>49000000</v>
      </c>
      <c r="AB91" s="12">
        <v>245037001.31999999</v>
      </c>
      <c r="AC91" s="12">
        <v>162917050</v>
      </c>
      <c r="AD91" s="12">
        <v>79558392.699999988</v>
      </c>
      <c r="AE91" s="12">
        <v>242475442.69999999</v>
      </c>
      <c r="AF91" s="12">
        <v>2561558.6200000085</v>
      </c>
      <c r="AG91" s="13">
        <v>1.0453762518317814E-2</v>
      </c>
      <c r="AH91" s="35">
        <v>8704.2852026280598</v>
      </c>
      <c r="AI91" s="35">
        <v>337</v>
      </c>
      <c r="AJ91" s="35">
        <f t="shared" si="98"/>
        <v>571946.29471810092</v>
      </c>
      <c r="AK91" s="35">
        <f t="shared" si="97"/>
        <v>8704.2852026280598</v>
      </c>
      <c r="AL91" s="109">
        <f t="shared" si="94"/>
        <v>0.66486713893157112</v>
      </c>
      <c r="AQ91" s="26">
        <v>28</v>
      </c>
      <c r="AR91" s="35">
        <v>871</v>
      </c>
      <c r="AS91" s="35">
        <v>7933000</v>
      </c>
      <c r="AT91" s="16">
        <v>1586600</v>
      </c>
      <c r="AU91" s="280">
        <v>725000</v>
      </c>
      <c r="AV91" s="35">
        <v>750000</v>
      </c>
      <c r="AW91" s="35">
        <v>3061600</v>
      </c>
      <c r="AX91" s="35">
        <v>1225000</v>
      </c>
      <c r="AY91" s="35">
        <v>2704160</v>
      </c>
      <c r="AZ91" s="35">
        <v>357440</v>
      </c>
      <c r="BA91" s="13">
        <v>0.11674941207211915</v>
      </c>
      <c r="BC91" s="35">
        <v>9</v>
      </c>
      <c r="BD91" s="16">
        <v>2706968</v>
      </c>
      <c r="BE91" s="16">
        <v>2179800</v>
      </c>
      <c r="BF91" s="35">
        <f t="shared" si="100"/>
        <v>527168</v>
      </c>
      <c r="BG91" s="27">
        <f t="shared" si="101"/>
        <v>0.19474482151248187</v>
      </c>
      <c r="BH91" s="12">
        <f t="shared" si="102"/>
        <v>884608</v>
      </c>
      <c r="BI91" s="27">
        <f t="shared" si="103"/>
        <v>0.15334967014343942</v>
      </c>
    </row>
    <row r="92" spans="2:66">
      <c r="B92" s="376" t="s">
        <v>182</v>
      </c>
      <c r="C92" s="85">
        <v>0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0</v>
      </c>
      <c r="M92" s="85">
        <v>0</v>
      </c>
      <c r="N92" s="85">
        <v>0</v>
      </c>
      <c r="O92" s="85">
        <v>0</v>
      </c>
      <c r="P92" s="35">
        <f t="shared" si="99"/>
        <v>0</v>
      </c>
      <c r="Q92" s="35" t="e">
        <f t="shared" si="87"/>
        <v>#DIV/0!</v>
      </c>
      <c r="R92" s="35" t="e">
        <f t="shared" si="88"/>
        <v>#DIV/0!</v>
      </c>
      <c r="V92" s="11">
        <v>46</v>
      </c>
      <c r="W92" s="16">
        <v>83795</v>
      </c>
      <c r="X92" s="35">
        <v>729546204</v>
      </c>
      <c r="Y92" s="16">
        <v>188081224.88</v>
      </c>
      <c r="Z92" s="35">
        <v>532800</v>
      </c>
      <c r="AA92" s="35">
        <v>47825000</v>
      </c>
      <c r="AB92" s="12">
        <v>239289024.88</v>
      </c>
      <c r="AC92" s="12">
        <v>159664755</v>
      </c>
      <c r="AD92" s="12">
        <v>79643392.700000003</v>
      </c>
      <c r="AE92" s="12">
        <v>239308147.69999999</v>
      </c>
      <c r="AF92" s="12">
        <v>-19122.819999993168</v>
      </c>
      <c r="AG92" s="13">
        <v>-7.9915157034815893E-5</v>
      </c>
      <c r="AH92" s="35">
        <v>8706.321427292798</v>
      </c>
      <c r="AI92" s="35">
        <v>327</v>
      </c>
      <c r="AJ92" s="35">
        <f t="shared" si="98"/>
        <v>575171.94152905198</v>
      </c>
      <c r="AK92" s="35">
        <f t="shared" si="97"/>
        <v>8706.321427292798</v>
      </c>
      <c r="AL92" s="109">
        <f t="shared" si="94"/>
        <v>0.66724646096940543</v>
      </c>
      <c r="AQ92" s="26">
        <v>29</v>
      </c>
      <c r="AR92" s="35">
        <v>658</v>
      </c>
      <c r="AS92" s="35">
        <v>5534000</v>
      </c>
      <c r="AT92" s="16">
        <v>1106800</v>
      </c>
      <c r="AU92" s="280">
        <v>750000</v>
      </c>
      <c r="AV92" s="35">
        <v>750000</v>
      </c>
      <c r="AW92" s="35">
        <v>2606800</v>
      </c>
      <c r="AX92" s="35">
        <v>1225000</v>
      </c>
      <c r="AY92" s="35">
        <v>2216070</v>
      </c>
      <c r="AZ92" s="35">
        <v>390730</v>
      </c>
      <c r="BA92" s="13">
        <v>0.14988875249347861</v>
      </c>
      <c r="BC92" s="35">
        <v>15</v>
      </c>
      <c r="BD92" s="183">
        <v>4511613</v>
      </c>
      <c r="BE92" s="1">
        <v>3633000</v>
      </c>
      <c r="BF92" s="35">
        <f t="shared" si="100"/>
        <v>878613</v>
      </c>
      <c r="BG92" s="27">
        <f t="shared" si="101"/>
        <v>0.19474476201748686</v>
      </c>
      <c r="BH92" s="12">
        <f t="shared" si="102"/>
        <v>1269343</v>
      </c>
      <c r="BI92" s="27">
        <f t="shared" si="103"/>
        <v>0.17831825717333344</v>
      </c>
    </row>
    <row r="93" spans="2:66">
      <c r="B93" s="287" t="s">
        <v>27</v>
      </c>
      <c r="C93" s="121">
        <v>18019</v>
      </c>
      <c r="D93" s="121">
        <v>6</v>
      </c>
      <c r="E93" s="288">
        <v>160682000</v>
      </c>
      <c r="F93" s="39">
        <v>41807200</v>
      </c>
      <c r="G93" s="288">
        <v>6125000</v>
      </c>
      <c r="H93" s="288">
        <v>10065000</v>
      </c>
      <c r="I93" s="121">
        <v>57997200</v>
      </c>
      <c r="J93" s="121">
        <v>36347320</v>
      </c>
      <c r="K93" s="121">
        <v>32995400</v>
      </c>
      <c r="L93" s="121">
        <v>69342720</v>
      </c>
      <c r="M93" s="121">
        <v>-11345520</v>
      </c>
      <c r="N93" s="289">
        <v>-0.19562185760691894</v>
      </c>
      <c r="O93" s="39">
        <v>8917.3650036073032</v>
      </c>
      <c r="P93" s="35">
        <f t="shared" si="99"/>
        <v>6</v>
      </c>
      <c r="Q93" s="35">
        <f t="shared" si="87"/>
        <v>26780333.333333332</v>
      </c>
      <c r="R93" s="35">
        <f t="shared" si="88"/>
        <v>3003.1666666666665</v>
      </c>
      <c r="U93">
        <v>7</v>
      </c>
      <c r="V93" s="11">
        <v>47</v>
      </c>
      <c r="W93" s="16">
        <v>74556</v>
      </c>
      <c r="X93" s="35">
        <v>648515400</v>
      </c>
      <c r="Y93" s="16">
        <v>167070378</v>
      </c>
      <c r="Z93" s="35">
        <v>99900</v>
      </c>
      <c r="AA93" s="35">
        <v>46950000</v>
      </c>
      <c r="AB93" s="12">
        <v>217125278</v>
      </c>
      <c r="AC93" s="12">
        <v>146163980</v>
      </c>
      <c r="AD93" s="12">
        <v>76903393</v>
      </c>
      <c r="AE93" s="12">
        <v>223067373</v>
      </c>
      <c r="AF93" s="12">
        <v>-5942095.0000000009</v>
      </c>
      <c r="AG93" s="13">
        <v>-2.7367126733166467E-2</v>
      </c>
      <c r="AH93" s="35">
        <v>8698.3663286657011</v>
      </c>
      <c r="AI93" s="35">
        <v>328</v>
      </c>
      <c r="AJ93" s="35">
        <f t="shared" si="98"/>
        <v>509360.90853658534</v>
      </c>
      <c r="AK93" s="35">
        <f t="shared" si="97"/>
        <v>8698.3663286657011</v>
      </c>
      <c r="AL93" s="109">
        <f t="shared" si="94"/>
        <v>0.67317809030047626</v>
      </c>
      <c r="AQ93" s="26">
        <v>30</v>
      </c>
      <c r="AR93" s="35">
        <v>597</v>
      </c>
      <c r="AS93" s="35">
        <v>5373000</v>
      </c>
      <c r="AT93" s="16">
        <v>1074600</v>
      </c>
      <c r="AU93" s="280">
        <v>450000</v>
      </c>
      <c r="AV93" s="35">
        <v>600000</v>
      </c>
      <c r="AW93" s="35">
        <v>2124600</v>
      </c>
      <c r="AX93" s="35">
        <v>980000</v>
      </c>
      <c r="AY93" s="35">
        <v>1804530</v>
      </c>
      <c r="AZ93" s="35">
        <v>320070</v>
      </c>
      <c r="BA93" s="13">
        <v>0.15064953402993506</v>
      </c>
      <c r="BC93" s="35">
        <v>13</v>
      </c>
      <c r="BD93" s="16">
        <v>3910065</v>
      </c>
      <c r="BE93" s="16">
        <v>3148600</v>
      </c>
      <c r="BF93" s="35">
        <f t="shared" si="100"/>
        <v>761465</v>
      </c>
      <c r="BG93" s="27">
        <f t="shared" si="101"/>
        <v>0.1947448443951699</v>
      </c>
      <c r="BH93" s="12">
        <f t="shared" si="102"/>
        <v>1081535</v>
      </c>
      <c r="BI93" s="27">
        <f t="shared" si="103"/>
        <v>0.17922038754429617</v>
      </c>
    </row>
    <row r="94" spans="2:66">
      <c r="B94" s="243" t="s">
        <v>171</v>
      </c>
      <c r="C94" s="299">
        <v>5998</v>
      </c>
      <c r="D94" s="299">
        <v>7</v>
      </c>
      <c r="E94" s="300">
        <v>28459000</v>
      </c>
      <c r="F94" s="128">
        <v>11232250</v>
      </c>
      <c r="G94" s="300">
        <v>0</v>
      </c>
      <c r="H94" s="300">
        <v>4305000</v>
      </c>
      <c r="I94" s="299">
        <v>15537250</v>
      </c>
      <c r="J94" s="299">
        <v>13891600</v>
      </c>
      <c r="K94" s="299">
        <v>20834108</v>
      </c>
      <c r="L94" s="299">
        <v>34725708</v>
      </c>
      <c r="M94" s="299">
        <v>-19188458</v>
      </c>
      <c r="N94" s="245">
        <v>-1.2349970554634828</v>
      </c>
      <c r="O94" s="128">
        <v>4744.7482494164724</v>
      </c>
      <c r="P94" s="35">
        <f t="shared" si="99"/>
        <v>7</v>
      </c>
      <c r="Q94" s="35">
        <f t="shared" si="87"/>
        <v>4065571.4285714286</v>
      </c>
      <c r="R94" s="35">
        <f t="shared" si="88"/>
        <v>856.85714285714289</v>
      </c>
      <c r="U94">
        <f>223*U93</f>
        <v>1561</v>
      </c>
      <c r="V94" s="11">
        <v>48</v>
      </c>
      <c r="W94" s="16">
        <v>88478</v>
      </c>
      <c r="X94" s="35">
        <v>769982100</v>
      </c>
      <c r="Y94" s="16">
        <v>198327657</v>
      </c>
      <c r="Z94" s="35">
        <v>0</v>
      </c>
      <c r="AA94" s="35">
        <v>45995000</v>
      </c>
      <c r="AB94" s="12">
        <v>247297657</v>
      </c>
      <c r="AC94" s="12">
        <v>174976740</v>
      </c>
      <c r="AD94" s="12">
        <v>77588392.700000003</v>
      </c>
      <c r="AE94" s="12">
        <v>252565132.69999999</v>
      </c>
      <c r="AF94" s="12">
        <v>-5267475.6999999927</v>
      </c>
      <c r="AG94" s="13">
        <v>-2.1300143979932622E-2</v>
      </c>
      <c r="AH94" s="35">
        <v>8702.5260516738617</v>
      </c>
      <c r="AI94" s="35">
        <v>322</v>
      </c>
      <c r="AJ94" s="35">
        <f t="shared" si="98"/>
        <v>615924.40062111802</v>
      </c>
      <c r="AK94" s="35">
        <f t="shared" si="97"/>
        <v>8702.5260516738617</v>
      </c>
      <c r="AL94" s="109">
        <f t="shared" si="94"/>
        <v>0.707555187229291</v>
      </c>
      <c r="AQ94" s="26">
        <v>31</v>
      </c>
      <c r="AR94" s="35">
        <v>616</v>
      </c>
      <c r="AS94" s="35">
        <v>5320000</v>
      </c>
      <c r="AT94" s="16">
        <v>1064000</v>
      </c>
      <c r="AU94" s="280">
        <v>500000</v>
      </c>
      <c r="AV94" s="35">
        <v>600000</v>
      </c>
      <c r="AW94" s="35">
        <v>2164000</v>
      </c>
      <c r="AX94" s="35">
        <v>980000</v>
      </c>
      <c r="AY94" s="35">
        <v>1861740</v>
      </c>
      <c r="AZ94" s="35">
        <v>302260.00000000012</v>
      </c>
      <c r="BA94" s="13">
        <v>0.13967652495378932</v>
      </c>
      <c r="BC94" s="35">
        <v>13</v>
      </c>
      <c r="BD94" s="16">
        <v>3910065</v>
      </c>
      <c r="BE94" s="16">
        <v>3148600</v>
      </c>
      <c r="BF94" s="35">
        <f t="shared" si="100"/>
        <v>761465</v>
      </c>
      <c r="BG94" s="27">
        <f t="shared" si="101"/>
        <v>0.1947448443951699</v>
      </c>
      <c r="BH94" s="12">
        <f t="shared" si="102"/>
        <v>1063725</v>
      </c>
      <c r="BI94" s="27">
        <f t="shared" si="103"/>
        <v>0.17512571893781181</v>
      </c>
    </row>
    <row r="95" spans="2:66">
      <c r="B95" s="26">
        <v>5</v>
      </c>
      <c r="C95" s="12">
        <v>52</v>
      </c>
      <c r="D95" s="12">
        <v>1</v>
      </c>
      <c r="E95" s="16">
        <v>479000</v>
      </c>
      <c r="F95" s="35">
        <v>143700</v>
      </c>
      <c r="G95" s="16">
        <v>0</v>
      </c>
      <c r="H95" s="16">
        <v>0</v>
      </c>
      <c r="I95" s="12">
        <v>143700</v>
      </c>
      <c r="J95" s="12">
        <v>67100</v>
      </c>
      <c r="K95" s="12">
        <v>233100</v>
      </c>
      <c r="L95" s="12">
        <v>300200</v>
      </c>
      <c r="M95" s="12">
        <v>-156500</v>
      </c>
      <c r="N95" s="13">
        <v>-1.0890744606819764</v>
      </c>
      <c r="O95" s="35">
        <v>9211.538461538461</v>
      </c>
      <c r="P95" s="35">
        <f t="shared" si="99"/>
        <v>1</v>
      </c>
      <c r="Q95" s="35">
        <f t="shared" si="87"/>
        <v>479000</v>
      </c>
      <c r="R95" s="35">
        <f t="shared" si="88"/>
        <v>52</v>
      </c>
      <c r="V95" s="11">
        <v>49</v>
      </c>
      <c r="W95" s="16">
        <v>77739</v>
      </c>
      <c r="X95" s="35">
        <v>676680180</v>
      </c>
      <c r="Y95" s="16">
        <v>173829752.59999999</v>
      </c>
      <c r="Z95" s="35">
        <v>0</v>
      </c>
      <c r="AA95" s="35">
        <v>47075000</v>
      </c>
      <c r="AB95" s="12">
        <v>223679752.59999999</v>
      </c>
      <c r="AC95" s="12">
        <v>148856505</v>
      </c>
      <c r="AD95" s="12">
        <v>78110369.683225811</v>
      </c>
      <c r="AE95" s="12">
        <v>226966874.68322581</v>
      </c>
      <c r="AF95" s="12">
        <v>-3287122.0832258193</v>
      </c>
      <c r="AG95" s="13">
        <v>-1.4695662191222486E-2</v>
      </c>
      <c r="AH95" s="35">
        <v>8704.5135646200742</v>
      </c>
      <c r="AI95" s="35">
        <v>316</v>
      </c>
      <c r="AJ95" s="35">
        <f t="shared" si="98"/>
        <v>550094.15379746829</v>
      </c>
      <c r="AK95" s="35">
        <f t="shared" si="97"/>
        <v>8704.5135646200742</v>
      </c>
      <c r="AL95" s="109">
        <f t="shared" si="94"/>
        <v>0.665489402906287</v>
      </c>
      <c r="AQ95" s="26" t="s">
        <v>180</v>
      </c>
      <c r="AR95" s="35">
        <v>0</v>
      </c>
      <c r="AS95" s="35">
        <v>0</v>
      </c>
      <c r="AT95" s="16">
        <v>0</v>
      </c>
      <c r="AU95" s="280">
        <v>0</v>
      </c>
      <c r="AV95" s="35">
        <v>0</v>
      </c>
      <c r="AW95" s="35">
        <v>0</v>
      </c>
      <c r="AX95" s="35">
        <v>0</v>
      </c>
      <c r="AY95" s="35">
        <v>0</v>
      </c>
      <c r="AZ95" s="35">
        <v>0</v>
      </c>
      <c r="BA95" s="13">
        <v>0</v>
      </c>
      <c r="BC95" s="35">
        <v>16</v>
      </c>
      <c r="BD95" s="16">
        <v>4812387</v>
      </c>
      <c r="BE95" s="16">
        <v>3875200</v>
      </c>
      <c r="BF95" s="35">
        <f t="shared" si="100"/>
        <v>937187</v>
      </c>
      <c r="BG95" s="27">
        <f t="shared" si="101"/>
        <v>0.19474472855154834</v>
      </c>
      <c r="BH95" s="12">
        <f t="shared" si="102"/>
        <v>937187</v>
      </c>
      <c r="BI95" s="27">
        <f t="shared" si="103"/>
        <v>0.19474472855154834</v>
      </c>
    </row>
    <row r="96" spans="2:66">
      <c r="B96" s="26">
        <v>6</v>
      </c>
      <c r="C96" s="12">
        <v>140</v>
      </c>
      <c r="D96" s="12">
        <v>1</v>
      </c>
      <c r="E96" s="16">
        <v>504000</v>
      </c>
      <c r="F96" s="35">
        <v>151200</v>
      </c>
      <c r="G96" s="16">
        <v>0</v>
      </c>
      <c r="H96" s="16">
        <v>60000</v>
      </c>
      <c r="I96" s="12">
        <v>211200</v>
      </c>
      <c r="J96" s="12">
        <v>290000</v>
      </c>
      <c r="K96" s="12">
        <v>210000</v>
      </c>
      <c r="L96" s="12">
        <v>500000</v>
      </c>
      <c r="M96" s="12">
        <v>-288800</v>
      </c>
      <c r="N96" s="13">
        <v>-1.3674242424242424</v>
      </c>
      <c r="O96" s="35">
        <v>3600</v>
      </c>
      <c r="P96" s="35">
        <f t="shared" si="99"/>
        <v>1</v>
      </c>
      <c r="Q96" s="35">
        <f t="shared" si="87"/>
        <v>504000</v>
      </c>
      <c r="R96" s="35">
        <f t="shared" si="88"/>
        <v>140</v>
      </c>
      <c r="V96" s="11">
        <v>50</v>
      </c>
      <c r="W96" s="16">
        <v>81538</v>
      </c>
      <c r="X96" s="35">
        <v>709651200</v>
      </c>
      <c r="Y96" s="16">
        <v>182586784</v>
      </c>
      <c r="Z96" s="35">
        <v>0</v>
      </c>
      <c r="AA96" s="35">
        <v>45825000</v>
      </c>
      <c r="AB96" s="12">
        <v>230661784</v>
      </c>
      <c r="AC96" s="12">
        <v>155245785</v>
      </c>
      <c r="AD96" s="12">
        <v>74055369.683225811</v>
      </c>
      <c r="AE96" s="12">
        <v>229301154.68322581</v>
      </c>
      <c r="AF96" s="12">
        <v>1360629.3167741809</v>
      </c>
      <c r="AG96" s="13">
        <v>5.8988068728982905E-3</v>
      </c>
      <c r="AH96" s="35">
        <v>8703.3186980303653</v>
      </c>
      <c r="AI96" s="35">
        <v>307</v>
      </c>
      <c r="AJ96" s="35">
        <f t="shared" si="98"/>
        <v>594745.22475570033</v>
      </c>
      <c r="AK96" s="35">
        <f t="shared" si="97"/>
        <v>8703.3186980303653</v>
      </c>
      <c r="AL96" s="109">
        <f t="shared" si="94"/>
        <v>0.67304510659641825</v>
      </c>
      <c r="AQ96" s="26" t="s">
        <v>181</v>
      </c>
      <c r="AR96" s="35">
        <v>0</v>
      </c>
      <c r="AS96" s="35">
        <v>0</v>
      </c>
      <c r="AT96" s="16">
        <v>0</v>
      </c>
      <c r="AU96" s="280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13">
        <v>0</v>
      </c>
      <c r="BC96" s="35">
        <v>14</v>
      </c>
      <c r="BD96" s="16">
        <v>4210839</v>
      </c>
      <c r="BE96" s="16">
        <v>3390800</v>
      </c>
      <c r="BF96" s="35">
        <f t="shared" si="100"/>
        <v>820039</v>
      </c>
      <c r="BG96" s="27">
        <f t="shared" si="101"/>
        <v>0.19474480026427038</v>
      </c>
      <c r="BH96" s="12">
        <f t="shared" si="102"/>
        <v>820039</v>
      </c>
      <c r="BI96" s="27">
        <f t="shared" si="103"/>
        <v>0.19474480026427038</v>
      </c>
    </row>
    <row r="97" spans="2:66">
      <c r="B97" s="26">
        <v>7</v>
      </c>
      <c r="C97" s="12">
        <v>358</v>
      </c>
      <c r="D97" s="12">
        <v>3</v>
      </c>
      <c r="E97" s="16">
        <v>1128000</v>
      </c>
      <c r="F97" s="35">
        <v>338400</v>
      </c>
      <c r="G97" s="16">
        <v>0</v>
      </c>
      <c r="H97" s="16">
        <v>210000</v>
      </c>
      <c r="I97" s="12">
        <v>548400</v>
      </c>
      <c r="J97" s="12">
        <v>311300</v>
      </c>
      <c r="K97" s="12">
        <v>735000</v>
      </c>
      <c r="L97" s="12">
        <v>1046300</v>
      </c>
      <c r="M97" s="12">
        <v>-497900</v>
      </c>
      <c r="N97" s="13">
        <v>-0.90791393143690735</v>
      </c>
      <c r="O97" s="35">
        <v>3150.8379888268155</v>
      </c>
      <c r="P97" s="35">
        <f t="shared" si="99"/>
        <v>3</v>
      </c>
      <c r="Q97" s="35">
        <f t="shared" si="87"/>
        <v>376000</v>
      </c>
      <c r="R97" s="35">
        <f t="shared" si="88"/>
        <v>119.33333333333333</v>
      </c>
      <c r="V97" s="11">
        <v>51</v>
      </c>
      <c r="W97" s="16">
        <v>69746</v>
      </c>
      <c r="X97" s="35">
        <v>606090200</v>
      </c>
      <c r="Y97" s="16">
        <v>156080790</v>
      </c>
      <c r="Z97" s="35">
        <v>0</v>
      </c>
      <c r="AA97" s="35">
        <v>42120000</v>
      </c>
      <c r="AB97" s="12">
        <v>200325790</v>
      </c>
      <c r="AC97" s="12">
        <v>135628540</v>
      </c>
      <c r="AD97" s="12">
        <v>73025369.683225811</v>
      </c>
      <c r="AE97" s="12">
        <v>208653909.68322581</v>
      </c>
      <c r="AF97" s="12">
        <v>-8328119.683225818</v>
      </c>
      <c r="AG97" s="13">
        <v>-4.1572878276061299E-2</v>
      </c>
      <c r="AH97" s="35">
        <v>8689.963582140912</v>
      </c>
      <c r="AI97" s="35">
        <v>306</v>
      </c>
      <c r="AJ97" s="35">
        <f t="shared" si="98"/>
        <v>510067.9411764706</v>
      </c>
      <c r="AK97" s="35">
        <f t="shared" si="97"/>
        <v>8689.963582140912</v>
      </c>
      <c r="AL97" s="109">
        <f t="shared" si="94"/>
        <v>0.67703983595921424</v>
      </c>
      <c r="AM97" s="109">
        <f>AD103/AC103</f>
        <v>0.58156119337887435</v>
      </c>
      <c r="AQ97" s="26" t="s">
        <v>182</v>
      </c>
      <c r="AR97" s="35">
        <v>0</v>
      </c>
      <c r="AS97" s="35">
        <v>0</v>
      </c>
      <c r="AT97" s="16">
        <v>0</v>
      </c>
      <c r="AU97" s="280">
        <v>0</v>
      </c>
      <c r="AV97" s="35">
        <v>0</v>
      </c>
      <c r="AW97" s="35">
        <v>0</v>
      </c>
      <c r="AX97" s="35">
        <v>0</v>
      </c>
      <c r="AY97" s="35">
        <v>0</v>
      </c>
      <c r="AZ97" s="35">
        <v>0</v>
      </c>
      <c r="BA97" s="13">
        <v>0</v>
      </c>
      <c r="BC97" s="35">
        <v>13</v>
      </c>
      <c r="BD97" s="16">
        <v>4210839</v>
      </c>
      <c r="BE97" s="16">
        <v>3148600</v>
      </c>
      <c r="BF97" s="35">
        <f t="shared" si="100"/>
        <v>1062239</v>
      </c>
      <c r="BG97" s="27">
        <f t="shared" si="101"/>
        <v>0.2522630288168225</v>
      </c>
      <c r="BH97" s="12">
        <f t="shared" si="102"/>
        <v>1062239</v>
      </c>
      <c r="BI97" s="27">
        <f t="shared" si="103"/>
        <v>0.2522630288168225</v>
      </c>
    </row>
    <row r="98" spans="2:66">
      <c r="B98" s="26">
        <v>8</v>
      </c>
      <c r="C98" s="12">
        <v>640</v>
      </c>
      <c r="D98" s="12">
        <v>5</v>
      </c>
      <c r="E98" s="16">
        <v>1806000</v>
      </c>
      <c r="F98" s="35">
        <v>541800</v>
      </c>
      <c r="G98" s="16">
        <v>0</v>
      </c>
      <c r="H98" s="16">
        <v>230000</v>
      </c>
      <c r="I98" s="12">
        <v>771800</v>
      </c>
      <c r="J98" s="12">
        <v>713500</v>
      </c>
      <c r="K98" s="12">
        <v>805000</v>
      </c>
      <c r="L98" s="12">
        <v>1518500</v>
      </c>
      <c r="M98" s="12">
        <v>-746700</v>
      </c>
      <c r="N98" s="13">
        <v>-0.96747862140450891</v>
      </c>
      <c r="O98" s="35">
        <v>2821.875</v>
      </c>
      <c r="P98" s="35">
        <f t="shared" ref="P98" si="104">D98</f>
        <v>5</v>
      </c>
      <c r="Q98" s="35">
        <f t="shared" si="87"/>
        <v>361200</v>
      </c>
      <c r="R98" s="35">
        <f t="shared" si="88"/>
        <v>128</v>
      </c>
      <c r="V98" s="11">
        <v>52</v>
      </c>
      <c r="W98" s="16">
        <v>76965</v>
      </c>
      <c r="X98" s="35">
        <v>668358600</v>
      </c>
      <c r="Y98" s="16">
        <v>172139722</v>
      </c>
      <c r="Z98" s="35">
        <v>0</v>
      </c>
      <c r="AA98" s="35">
        <v>43055000</v>
      </c>
      <c r="AB98" s="12">
        <v>217369722</v>
      </c>
      <c r="AC98" s="12">
        <v>151840280</v>
      </c>
      <c r="AD98" s="12">
        <v>73655369.683225811</v>
      </c>
      <c r="AE98" s="12">
        <v>225495649.68322581</v>
      </c>
      <c r="AF98" s="12">
        <v>-8125927.6832258189</v>
      </c>
      <c r="AG98" s="13">
        <v>-3.7382978680102555E-2</v>
      </c>
      <c r="AH98" s="35">
        <v>8683.9290586630286</v>
      </c>
      <c r="AI98" s="35">
        <v>308</v>
      </c>
      <c r="AJ98" s="35">
        <f t="shared" si="98"/>
        <v>558895.20129870134</v>
      </c>
      <c r="AK98" s="35">
        <f t="shared" si="97"/>
        <v>8683.9290586630286</v>
      </c>
      <c r="AL98" s="109">
        <f t="shared" si="94"/>
        <v>0.69853463768058732</v>
      </c>
      <c r="AQ98" s="11" t="s">
        <v>176</v>
      </c>
      <c r="AR98" s="35">
        <v>24711</v>
      </c>
      <c r="AS98" s="35">
        <v>236436000</v>
      </c>
      <c r="AT98" s="16">
        <v>21872670</v>
      </c>
      <c r="AU98" s="280">
        <v>0</v>
      </c>
      <c r="AV98" s="35">
        <v>4375000</v>
      </c>
      <c r="AW98" s="35">
        <v>26247670</v>
      </c>
      <c r="AX98" s="35">
        <v>8575000</v>
      </c>
      <c r="AY98" s="35">
        <v>14955247.822995614</v>
      </c>
      <c r="AZ98" s="35">
        <v>11292422.177004386</v>
      </c>
      <c r="BA98" s="13">
        <v>0.43022569915746373</v>
      </c>
      <c r="BC98" s="35">
        <v>11</v>
      </c>
      <c r="BD98" s="16">
        <v>3308516</v>
      </c>
      <c r="BE98" s="16">
        <v>2664200</v>
      </c>
      <c r="BF98" s="35">
        <f t="shared" si="100"/>
        <v>644316</v>
      </c>
      <c r="BG98" s="27">
        <f t="shared" si="101"/>
        <v>0.19474471333975715</v>
      </c>
      <c r="BH98" s="12">
        <f t="shared" si="102"/>
        <v>11936738.177004386</v>
      </c>
      <c r="BI98" s="27">
        <f t="shared" si="103"/>
        <v>0.40386598517834427</v>
      </c>
    </row>
    <row r="99" spans="2:66">
      <c r="B99" s="26">
        <v>9</v>
      </c>
      <c r="C99" s="12">
        <v>517</v>
      </c>
      <c r="D99" s="12">
        <v>5</v>
      </c>
      <c r="E99" s="16">
        <v>1633000</v>
      </c>
      <c r="F99" s="35">
        <v>489900</v>
      </c>
      <c r="G99" s="16">
        <v>0</v>
      </c>
      <c r="H99" s="16">
        <v>350000</v>
      </c>
      <c r="I99" s="12">
        <v>839900</v>
      </c>
      <c r="J99" s="12">
        <v>979400</v>
      </c>
      <c r="K99" s="12">
        <v>1225000</v>
      </c>
      <c r="L99" s="12">
        <v>2204400</v>
      </c>
      <c r="M99" s="12">
        <v>-1364500</v>
      </c>
      <c r="N99" s="13">
        <v>-1.6245981664483866</v>
      </c>
      <c r="O99" s="35">
        <v>3158.6073500967118</v>
      </c>
      <c r="P99" s="35">
        <f t="shared" si="99"/>
        <v>5</v>
      </c>
      <c r="Q99" s="35">
        <f t="shared" si="87"/>
        <v>326600</v>
      </c>
      <c r="R99" s="35">
        <f t="shared" si="88"/>
        <v>103.4</v>
      </c>
      <c r="V99" s="11">
        <v>12026</v>
      </c>
      <c r="W99" s="16">
        <v>76008</v>
      </c>
      <c r="X99" s="35">
        <v>660887100</v>
      </c>
      <c r="Y99" s="16">
        <v>170543700</v>
      </c>
      <c r="Z99" s="35">
        <v>0</v>
      </c>
      <c r="AA99" s="35">
        <v>43439999.999999993</v>
      </c>
      <c r="AB99" s="12">
        <v>215883700</v>
      </c>
      <c r="AC99" s="12">
        <v>144251340</v>
      </c>
      <c r="AD99" s="12">
        <v>72235369.683225811</v>
      </c>
      <c r="AE99" s="12">
        <v>216486709.68322581</v>
      </c>
      <c r="AF99" s="12">
        <v>-603009.68322581612</v>
      </c>
      <c r="AG99" s="13">
        <v>-2.7932154360232669E-3</v>
      </c>
      <c r="AH99" s="35">
        <v>8694.9676349857909</v>
      </c>
      <c r="AI99" s="35">
        <v>289</v>
      </c>
      <c r="AJ99" s="35">
        <f t="shared" si="98"/>
        <v>590116.60899653984</v>
      </c>
      <c r="AK99" s="35">
        <f t="shared" si="97"/>
        <v>8694.9676349857909</v>
      </c>
      <c r="AL99" s="109">
        <f t="shared" si="94"/>
        <v>0.66819004862340237</v>
      </c>
      <c r="AQ99" s="26">
        <v>24</v>
      </c>
      <c r="AR99" s="35">
        <v>774</v>
      </c>
      <c r="AS99" s="35">
        <v>7320000</v>
      </c>
      <c r="AT99" s="16">
        <v>2196000</v>
      </c>
      <c r="AU99" s="280">
        <v>0</v>
      </c>
      <c r="AV99" s="35">
        <v>390000</v>
      </c>
      <c r="AW99" s="35">
        <v>2586000</v>
      </c>
      <c r="AX99" s="35">
        <v>1365000</v>
      </c>
      <c r="AY99" s="35">
        <v>2989000</v>
      </c>
      <c r="AZ99" s="35">
        <v>-403000</v>
      </c>
      <c r="BA99" s="13">
        <v>-0.15583913379737047</v>
      </c>
      <c r="BC99" s="35">
        <v>13</v>
      </c>
      <c r="BD99" s="16">
        <v>3738194</v>
      </c>
      <c r="BE99" s="16">
        <v>3010200</v>
      </c>
      <c r="BF99" s="35">
        <f t="shared" si="100"/>
        <v>727994</v>
      </c>
      <c r="BG99" s="27">
        <f t="shared" si="101"/>
        <v>0.19474484202799533</v>
      </c>
      <c r="BH99" s="12">
        <f t="shared" si="102"/>
        <v>324994</v>
      </c>
      <c r="BI99" s="27">
        <f t="shared" si="103"/>
        <v>5.1388999135700136E-2</v>
      </c>
    </row>
    <row r="100" spans="2:66">
      <c r="B100" s="26">
        <v>10</v>
      </c>
      <c r="C100" s="12">
        <v>189</v>
      </c>
      <c r="D100" s="12">
        <v>7</v>
      </c>
      <c r="E100" s="16">
        <v>793000</v>
      </c>
      <c r="F100" s="35">
        <v>237900</v>
      </c>
      <c r="G100" s="16">
        <v>0</v>
      </c>
      <c r="H100" s="16">
        <v>460000</v>
      </c>
      <c r="I100" s="12">
        <v>697900</v>
      </c>
      <c r="J100" s="12">
        <v>790600</v>
      </c>
      <c r="K100" s="12">
        <v>1541000</v>
      </c>
      <c r="L100" s="12">
        <v>2331600</v>
      </c>
      <c r="M100" s="12">
        <v>-1633700</v>
      </c>
      <c r="N100" s="13">
        <v>-2.3408797822037539</v>
      </c>
      <c r="O100" s="35">
        <v>4195.7671957671955</v>
      </c>
      <c r="P100" s="35">
        <f t="shared" ref="P100" si="105">D100</f>
        <v>7</v>
      </c>
      <c r="Q100" s="35">
        <f t="shared" si="87"/>
        <v>113285.71428571429</v>
      </c>
      <c r="R100" s="35">
        <f t="shared" si="88"/>
        <v>27</v>
      </c>
      <c r="S100" t="s">
        <v>190</v>
      </c>
      <c r="V100" s="11">
        <v>22026</v>
      </c>
      <c r="W100" s="16">
        <v>76380</v>
      </c>
      <c r="X100" s="35">
        <v>661893320</v>
      </c>
      <c r="Y100" s="16">
        <v>170763832</v>
      </c>
      <c r="Z100" s="35">
        <v>0</v>
      </c>
      <c r="AA100" s="35">
        <v>42270000</v>
      </c>
      <c r="AB100" s="12">
        <v>215108832</v>
      </c>
      <c r="AC100" s="12">
        <v>145008375</v>
      </c>
      <c r="AD100" s="12">
        <v>73215369.683225811</v>
      </c>
      <c r="AE100" s="12">
        <v>218223744.68322581</v>
      </c>
      <c r="AF100" s="12">
        <v>-3114912.683225818</v>
      </c>
      <c r="AG100" s="13">
        <v>-1.4480635937932191E-2</v>
      </c>
      <c r="AH100" s="35">
        <v>8665.7936632626333</v>
      </c>
      <c r="AI100" s="35">
        <v>301</v>
      </c>
      <c r="AJ100" s="35">
        <f t="shared" si="98"/>
        <v>567321.70099667774</v>
      </c>
      <c r="AK100" s="35">
        <f t="shared" si="97"/>
        <v>8665.7936632626333</v>
      </c>
      <c r="AL100" s="109">
        <f t="shared" si="94"/>
        <v>0.67411632359195739</v>
      </c>
      <c r="AQ100" s="26">
        <v>25</v>
      </c>
      <c r="AR100" s="35">
        <v>107</v>
      </c>
      <c r="AS100" s="35">
        <v>912000</v>
      </c>
      <c r="AT100" s="16">
        <v>228000</v>
      </c>
      <c r="AU100" s="280">
        <v>0</v>
      </c>
      <c r="AV100" s="35">
        <v>140000</v>
      </c>
      <c r="AW100" s="35">
        <v>368000</v>
      </c>
      <c r="AX100" s="35">
        <v>490000</v>
      </c>
      <c r="AY100" s="35">
        <v>1108500</v>
      </c>
      <c r="AZ100" s="35">
        <v>-740500</v>
      </c>
      <c r="BA100" s="13">
        <v>-2.0122282608695654</v>
      </c>
      <c r="BC100" s="35">
        <v>15</v>
      </c>
      <c r="BD100" s="16">
        <v>4812387</v>
      </c>
      <c r="BE100" s="16">
        <v>3875200</v>
      </c>
      <c r="BF100" s="35">
        <f t="shared" ref="BF100:BF105" si="106">BD100-BE100</f>
        <v>937187</v>
      </c>
      <c r="BG100" s="27">
        <f t="shared" ref="BG100:BG105" si="107">BF100/BD100</f>
        <v>0.19474472855154834</v>
      </c>
      <c r="BH100" s="12">
        <f t="shared" si="102"/>
        <v>196687</v>
      </c>
      <c r="BI100" s="27">
        <f t="shared" si="103"/>
        <v>3.7967626742944106E-2</v>
      </c>
    </row>
    <row r="101" spans="2:66">
      <c r="B101" s="26">
        <v>11</v>
      </c>
      <c r="C101" s="12">
        <v>288</v>
      </c>
      <c r="D101" s="12">
        <v>7</v>
      </c>
      <c r="E101" s="16">
        <v>1010000</v>
      </c>
      <c r="F101" s="35">
        <v>303000</v>
      </c>
      <c r="G101" s="16">
        <v>0</v>
      </c>
      <c r="H101" s="16">
        <v>490000</v>
      </c>
      <c r="I101" s="12">
        <v>793000</v>
      </c>
      <c r="J101" s="12">
        <v>1158600</v>
      </c>
      <c r="K101" s="12">
        <v>1715000</v>
      </c>
      <c r="L101" s="12">
        <v>2873600</v>
      </c>
      <c r="M101" s="12">
        <v>-2080600</v>
      </c>
      <c r="N101" s="13">
        <v>-2.6237074401008829</v>
      </c>
      <c r="O101" s="35">
        <v>3506.9444444444443</v>
      </c>
      <c r="P101" s="35">
        <f t="shared" si="99"/>
        <v>7</v>
      </c>
      <c r="Q101" s="35">
        <f t="shared" si="87"/>
        <v>144285.71428571429</v>
      </c>
      <c r="R101" s="35">
        <f t="shared" si="88"/>
        <v>41.142857142857146</v>
      </c>
      <c r="V101" s="11">
        <v>32026</v>
      </c>
      <c r="W101" s="16">
        <v>62315</v>
      </c>
      <c r="X101" s="35">
        <v>542936320</v>
      </c>
      <c r="Y101" s="16">
        <v>139967192</v>
      </c>
      <c r="Z101" s="35">
        <v>0</v>
      </c>
      <c r="AA101" s="35">
        <v>43265000</v>
      </c>
      <c r="AB101" s="12">
        <v>185107192</v>
      </c>
      <c r="AC101" s="12">
        <v>122658335</v>
      </c>
      <c r="AD101" s="12">
        <v>75835369.683225811</v>
      </c>
      <c r="AE101" s="12">
        <v>198493704.68322581</v>
      </c>
      <c r="AF101" s="12">
        <v>-13386512.683225818</v>
      </c>
      <c r="AG101" s="13">
        <v>-7.231762601220712E-2</v>
      </c>
      <c r="AH101" s="35">
        <v>8712.77092192891</v>
      </c>
      <c r="AI101" s="35">
        <v>306</v>
      </c>
      <c r="AJ101" s="35">
        <f t="shared" si="98"/>
        <v>457409.12418300653</v>
      </c>
      <c r="AK101" s="35">
        <f t="shared" si="97"/>
        <v>8712.77092192891</v>
      </c>
      <c r="AL101" s="109">
        <f t="shared" si="94"/>
        <v>0.66263408609212759</v>
      </c>
      <c r="AQ101" s="26">
        <v>26</v>
      </c>
      <c r="AR101" s="35">
        <v>931</v>
      </c>
      <c r="AS101" s="35">
        <v>8954000</v>
      </c>
      <c r="AT101" s="16">
        <v>2238500</v>
      </c>
      <c r="AU101" s="280">
        <v>0</v>
      </c>
      <c r="AV101" s="35">
        <v>630000</v>
      </c>
      <c r="AW101" s="35">
        <v>2868500</v>
      </c>
      <c r="AX101" s="35">
        <v>2205000</v>
      </c>
      <c r="AY101" s="35">
        <v>4311000</v>
      </c>
      <c r="AZ101" s="35">
        <v>-1442500</v>
      </c>
      <c r="BA101" s="13">
        <v>-0.5028760676311661</v>
      </c>
      <c r="BC101" s="35">
        <v>12</v>
      </c>
      <c r="BD101" s="1">
        <v>3609290</v>
      </c>
      <c r="BE101" s="1">
        <v>2906400</v>
      </c>
      <c r="BF101" s="35">
        <f t="shared" si="106"/>
        <v>702890</v>
      </c>
      <c r="BG101" s="27">
        <f t="shared" si="107"/>
        <v>0.19474467277497789</v>
      </c>
      <c r="BH101" s="12">
        <f t="shared" si="102"/>
        <v>-739610</v>
      </c>
      <c r="BI101" s="27">
        <f t="shared" si="103"/>
        <v>-0.11417628543067929</v>
      </c>
      <c r="BN101" s="80"/>
    </row>
    <row r="102" spans="2:66">
      <c r="B102" s="26">
        <v>12</v>
      </c>
      <c r="C102" s="12">
        <v>370</v>
      </c>
      <c r="D102" s="12">
        <v>3</v>
      </c>
      <c r="E102" s="16">
        <v>1284000</v>
      </c>
      <c r="F102" s="35">
        <v>385200</v>
      </c>
      <c r="G102" s="16">
        <v>0</v>
      </c>
      <c r="H102" s="16">
        <v>490000</v>
      </c>
      <c r="I102" s="12">
        <v>875200</v>
      </c>
      <c r="J102" s="12">
        <v>1148300</v>
      </c>
      <c r="K102" s="12">
        <v>1715000</v>
      </c>
      <c r="L102" s="12">
        <v>2863300</v>
      </c>
      <c r="M102" s="12">
        <v>-1988100</v>
      </c>
      <c r="N102" s="13">
        <v>-2.2715950639853748</v>
      </c>
      <c r="O102" s="35">
        <v>3470.2702702702704</v>
      </c>
      <c r="P102" s="35">
        <f t="shared" si="99"/>
        <v>3</v>
      </c>
      <c r="Q102" s="35">
        <f t="shared" si="87"/>
        <v>428000</v>
      </c>
      <c r="R102" s="35">
        <f t="shared" si="88"/>
        <v>123.33333333333333</v>
      </c>
      <c r="V102" s="11">
        <v>42026</v>
      </c>
      <c r="W102" s="16">
        <v>58061</v>
      </c>
      <c r="X102" s="35">
        <v>499498800</v>
      </c>
      <c r="Y102" s="16">
        <v>128678086</v>
      </c>
      <c r="Z102" s="35">
        <v>0</v>
      </c>
      <c r="AA102" s="35">
        <v>43740000</v>
      </c>
      <c r="AB102" s="12">
        <v>173968086</v>
      </c>
      <c r="AC102" s="12">
        <v>117001560</v>
      </c>
      <c r="AD102" s="12">
        <v>74080369.683225811</v>
      </c>
      <c r="AE102" s="12">
        <v>191081929.68322581</v>
      </c>
      <c r="AF102" s="12">
        <v>-17113843.683225818</v>
      </c>
      <c r="AG102" s="13">
        <v>-9.8373466517449742E-2</v>
      </c>
      <c r="AH102" s="35">
        <v>8603.0002927955084</v>
      </c>
      <c r="AI102" s="35">
        <v>306</v>
      </c>
      <c r="AJ102" s="35">
        <f t="shared" si="98"/>
        <v>420516.62091503269</v>
      </c>
      <c r="AK102" s="35">
        <f t="shared" si="97"/>
        <v>8603.0002927955084</v>
      </c>
      <c r="AL102" s="109">
        <f t="shared" si="94"/>
        <v>0.67254611285428523</v>
      </c>
      <c r="AQ102" s="26">
        <v>27</v>
      </c>
      <c r="AR102" s="35">
        <v>672</v>
      </c>
      <c r="AS102" s="35">
        <v>6396000</v>
      </c>
      <c r="AT102" s="16">
        <v>1599000</v>
      </c>
      <c r="AU102" s="280">
        <v>0</v>
      </c>
      <c r="AV102" s="35">
        <v>1350000</v>
      </c>
      <c r="AW102" s="35">
        <v>2949000</v>
      </c>
      <c r="AX102" s="35">
        <v>2205000</v>
      </c>
      <c r="AY102" s="35">
        <v>3499800</v>
      </c>
      <c r="AZ102" s="35">
        <v>-550800</v>
      </c>
      <c r="BA102" s="13">
        <v>-0.18677517802644963</v>
      </c>
      <c r="BC102" s="35">
        <v>12</v>
      </c>
      <c r="BD102" s="149">
        <v>3609290</v>
      </c>
      <c r="BE102" s="149">
        <v>2906400</v>
      </c>
      <c r="BF102" s="35">
        <f t="shared" si="106"/>
        <v>702890</v>
      </c>
      <c r="BG102" s="27">
        <f t="shared" si="107"/>
        <v>0.19474467277497789</v>
      </c>
      <c r="BH102" s="12">
        <f t="shared" si="102"/>
        <v>152090</v>
      </c>
      <c r="BI102" s="27">
        <f t="shared" si="103"/>
        <v>2.3190496303152192E-2</v>
      </c>
      <c r="BN102" s="80"/>
    </row>
    <row r="103" spans="2:66">
      <c r="B103" s="26">
        <v>13</v>
      </c>
      <c r="C103" s="12">
        <v>109</v>
      </c>
      <c r="D103" s="12">
        <v>7</v>
      </c>
      <c r="E103" s="16">
        <v>399000</v>
      </c>
      <c r="F103" s="35">
        <v>119700</v>
      </c>
      <c r="G103" s="16">
        <v>0</v>
      </c>
      <c r="H103" s="16">
        <v>120000</v>
      </c>
      <c r="I103" s="12">
        <v>239700</v>
      </c>
      <c r="J103" s="12">
        <v>325400</v>
      </c>
      <c r="K103" s="12">
        <v>735000</v>
      </c>
      <c r="L103" s="12">
        <v>1060400</v>
      </c>
      <c r="M103" s="12">
        <v>-820700</v>
      </c>
      <c r="N103" s="13">
        <v>-3.423863162286191</v>
      </c>
      <c r="O103" s="35">
        <v>3660.5504587155965</v>
      </c>
      <c r="P103" s="35">
        <f t="shared" si="99"/>
        <v>7</v>
      </c>
      <c r="Q103" s="35">
        <f t="shared" si="87"/>
        <v>57000</v>
      </c>
      <c r="R103" s="35">
        <f t="shared" si="88"/>
        <v>15.571428571428571</v>
      </c>
      <c r="V103" s="11">
        <v>52026</v>
      </c>
      <c r="W103" s="16">
        <v>65595</v>
      </c>
      <c r="X103" s="35">
        <v>563884119</v>
      </c>
      <c r="Y103" s="16">
        <v>142716245.10000002</v>
      </c>
      <c r="Z103" s="35">
        <v>0</v>
      </c>
      <c r="AA103" s="35">
        <v>41620000</v>
      </c>
      <c r="AB103" s="12">
        <v>185736245.09999999</v>
      </c>
      <c r="AC103" s="12">
        <v>125496985</v>
      </c>
      <c r="AD103" s="12">
        <v>72984176.362050697</v>
      </c>
      <c r="AE103" s="12">
        <v>198481161.36205071</v>
      </c>
      <c r="AF103" s="12">
        <v>-12744916.262050709</v>
      </c>
      <c r="AG103" s="13">
        <v>-6.8618358550259662E-2</v>
      </c>
      <c r="AH103" s="35">
        <v>8596.4497141550419</v>
      </c>
      <c r="AI103" s="35">
        <v>285</v>
      </c>
      <c r="AJ103" s="35">
        <f t="shared" si="98"/>
        <v>500758.75473684218</v>
      </c>
      <c r="AK103" s="35">
        <f t="shared" si="97"/>
        <v>8596.4497141550419</v>
      </c>
      <c r="AL103" s="109">
        <f t="shared" si="94"/>
        <v>0.67567310264312008</v>
      </c>
      <c r="AQ103" s="26">
        <v>28</v>
      </c>
      <c r="AR103" s="35">
        <v>418</v>
      </c>
      <c r="AS103" s="35">
        <v>3952000</v>
      </c>
      <c r="AT103" s="16">
        <v>988000</v>
      </c>
      <c r="AU103" s="280">
        <v>0</v>
      </c>
      <c r="AV103" s="35">
        <v>625000</v>
      </c>
      <c r="AW103" s="35">
        <v>1613000</v>
      </c>
      <c r="AX103" s="35">
        <v>1225000</v>
      </c>
      <c r="AY103" s="35">
        <v>1947000</v>
      </c>
      <c r="AZ103" s="35">
        <v>-334000</v>
      </c>
      <c r="BA103" s="13">
        <v>-0.20706757594544328</v>
      </c>
      <c r="BC103" s="35">
        <v>12</v>
      </c>
      <c r="BD103" s="149">
        <v>3643665</v>
      </c>
      <c r="BE103" s="149">
        <v>2906400</v>
      </c>
      <c r="BF103" s="35">
        <f t="shared" si="106"/>
        <v>737265</v>
      </c>
      <c r="BG103" s="43">
        <f t="shared" si="107"/>
        <v>0.20234159836318652</v>
      </c>
      <c r="BH103" s="12">
        <f t="shared" si="102"/>
        <v>403265</v>
      </c>
      <c r="BI103" s="27">
        <f t="shared" si="103"/>
        <v>7.6714989446730955E-2</v>
      </c>
      <c r="BN103" s="80"/>
    </row>
    <row r="104" spans="2:66">
      <c r="B104" s="26">
        <v>14</v>
      </c>
      <c r="C104" s="12">
        <v>151</v>
      </c>
      <c r="D104" s="12">
        <v>7</v>
      </c>
      <c r="E104" s="16">
        <v>767000</v>
      </c>
      <c r="F104" s="35">
        <v>230100</v>
      </c>
      <c r="G104" s="16">
        <v>0</v>
      </c>
      <c r="H104" s="16">
        <v>110000</v>
      </c>
      <c r="I104" s="12">
        <v>340100</v>
      </c>
      <c r="J104" s="12">
        <v>348900</v>
      </c>
      <c r="K104" s="12">
        <v>770000</v>
      </c>
      <c r="L104" s="12">
        <v>1118900</v>
      </c>
      <c r="M104" s="12">
        <v>-778800</v>
      </c>
      <c r="N104" s="13">
        <v>-2.289914730961482</v>
      </c>
      <c r="O104" s="35">
        <v>5079.4701986754962</v>
      </c>
      <c r="P104" s="35">
        <f t="shared" si="99"/>
        <v>7</v>
      </c>
      <c r="Q104" s="35">
        <f t="shared" si="87"/>
        <v>109571.42857142857</v>
      </c>
      <c r="R104" s="35">
        <f t="shared" si="88"/>
        <v>21.571428571428573</v>
      </c>
      <c r="V104" s="11">
        <v>62026</v>
      </c>
      <c r="W104" s="16">
        <v>67843</v>
      </c>
      <c r="X104" s="35">
        <v>584194720</v>
      </c>
      <c r="Y104" s="16">
        <v>150888102</v>
      </c>
      <c r="Z104" s="35">
        <v>0</v>
      </c>
      <c r="AA104" s="35">
        <v>41060000</v>
      </c>
      <c r="AB104" s="12">
        <v>193048102</v>
      </c>
      <c r="AC104" s="12">
        <v>131336970</v>
      </c>
      <c r="AD104" s="12">
        <v>67992016.435000002</v>
      </c>
      <c r="AE104" s="12">
        <v>199328986.435</v>
      </c>
      <c r="AF104" s="12">
        <v>-6280884.43499998</v>
      </c>
      <c r="AG104" s="13">
        <v>-3.2535333784322731E-2</v>
      </c>
      <c r="AH104" s="35">
        <v>8610.9800568960691</v>
      </c>
      <c r="AI104" s="35">
        <v>279</v>
      </c>
      <c r="AJ104" s="35">
        <f t="shared" si="98"/>
        <v>540817.56989247317</v>
      </c>
      <c r="AK104" s="35">
        <f t="shared" si="97"/>
        <v>8610.9800568960691</v>
      </c>
      <c r="AL104" s="109">
        <f t="shared" si="94"/>
        <v>0.68033287372076834</v>
      </c>
      <c r="AQ104" s="26">
        <v>30</v>
      </c>
      <c r="AR104" s="35">
        <v>650</v>
      </c>
      <c r="AS104" s="35">
        <v>6190000</v>
      </c>
      <c r="AT104" s="16">
        <v>433330</v>
      </c>
      <c r="AU104" s="280">
        <v>0</v>
      </c>
      <c r="AV104" s="35">
        <v>1240000</v>
      </c>
      <c r="AW104" s="35">
        <v>1673330</v>
      </c>
      <c r="AX104" s="35">
        <v>1085000</v>
      </c>
      <c r="AY104" s="35">
        <v>1085000</v>
      </c>
      <c r="AZ104" s="35">
        <v>588330</v>
      </c>
      <c r="BA104" s="13">
        <v>0.35159233384927063</v>
      </c>
      <c r="BC104" s="35">
        <v>14</v>
      </c>
      <c r="BD104" s="16">
        <v>4210839</v>
      </c>
      <c r="BE104" s="16">
        <v>3390800</v>
      </c>
      <c r="BF104" s="35">
        <f t="shared" si="106"/>
        <v>820039</v>
      </c>
      <c r="BG104" s="43">
        <f t="shared" si="107"/>
        <v>0.19474480026427038</v>
      </c>
      <c r="BH104" s="12">
        <f>AZ104+BF104</f>
        <v>1408369</v>
      </c>
      <c r="BI104" s="27">
        <f>(BF104+AZ104)/(AW104+BD104)</f>
        <v>0.239348835833913</v>
      </c>
      <c r="BN104" s="51"/>
    </row>
    <row r="105" spans="2:66">
      <c r="B105" s="26">
        <v>15</v>
      </c>
      <c r="C105" s="12">
        <v>666</v>
      </c>
      <c r="D105" s="12">
        <v>4</v>
      </c>
      <c r="E105" s="16">
        <v>3210000</v>
      </c>
      <c r="F105" s="35">
        <v>963000</v>
      </c>
      <c r="G105" s="16">
        <v>0</v>
      </c>
      <c r="H105" s="16">
        <v>220000</v>
      </c>
      <c r="I105" s="12">
        <v>1183000</v>
      </c>
      <c r="J105" s="12">
        <v>750800</v>
      </c>
      <c r="K105" s="12">
        <v>770000</v>
      </c>
      <c r="L105" s="12">
        <v>1520800</v>
      </c>
      <c r="M105" s="12">
        <v>-337800</v>
      </c>
      <c r="N105" s="13">
        <v>-0.28554522400676247</v>
      </c>
      <c r="O105" s="35">
        <v>4819.8198198198197</v>
      </c>
      <c r="P105" s="35">
        <f t="shared" si="99"/>
        <v>4</v>
      </c>
      <c r="Q105" s="35">
        <f t="shared" si="87"/>
        <v>802500</v>
      </c>
      <c r="R105" s="35">
        <f t="shared" si="88"/>
        <v>166.5</v>
      </c>
      <c r="V105" s="11">
        <v>72026</v>
      </c>
      <c r="W105" s="16">
        <v>67109</v>
      </c>
      <c r="X105" s="35">
        <v>581504700</v>
      </c>
      <c r="Y105" s="16">
        <v>150093539</v>
      </c>
      <c r="Z105" s="35">
        <v>0</v>
      </c>
      <c r="AA105" s="35">
        <v>40230000</v>
      </c>
      <c r="AB105" s="12">
        <v>191273539</v>
      </c>
      <c r="AC105" s="12">
        <v>119277440</v>
      </c>
      <c r="AD105" s="12">
        <v>65867016.434999995</v>
      </c>
      <c r="AE105" s="12">
        <v>185144456.435</v>
      </c>
      <c r="AF105" s="12">
        <v>6129082.5650000162</v>
      </c>
      <c r="AG105" s="13">
        <v>3.2043546624606636E-2</v>
      </c>
      <c r="AH105" s="35">
        <v>8665.0777093981433</v>
      </c>
      <c r="AI105" s="35">
        <v>272</v>
      </c>
      <c r="AJ105" s="35">
        <f t="shared" si="98"/>
        <v>551814.48161764711</v>
      </c>
      <c r="AK105" s="35">
        <f t="shared" si="97"/>
        <v>8665.0777093981433</v>
      </c>
      <c r="AL105" s="109">
        <f t="shared" si="94"/>
        <v>0.62359613683939841</v>
      </c>
      <c r="AQ105" s="26">
        <v>31</v>
      </c>
      <c r="AR105" s="35">
        <v>1074</v>
      </c>
      <c r="AS105" s="35">
        <v>10260000</v>
      </c>
      <c r="AT105" s="16">
        <v>718200.00000000012</v>
      </c>
      <c r="AU105" s="280">
        <v>0</v>
      </c>
      <c r="AV105" s="35">
        <v>0</v>
      </c>
      <c r="AW105" s="35">
        <v>718200.00000000012</v>
      </c>
      <c r="AX105" s="35">
        <v>0</v>
      </c>
      <c r="AY105" s="35">
        <v>0</v>
      </c>
      <c r="AZ105" s="35">
        <v>718200.00000000012</v>
      </c>
      <c r="BA105" s="13">
        <v>1</v>
      </c>
      <c r="BC105" s="35">
        <v>14</v>
      </c>
      <c r="BD105" s="214">
        <v>4210839</v>
      </c>
      <c r="BE105" s="16">
        <v>3390800</v>
      </c>
      <c r="BF105" s="35">
        <f t="shared" si="106"/>
        <v>820039</v>
      </c>
      <c r="BG105" s="27">
        <f t="shared" si="107"/>
        <v>0.19474480026427038</v>
      </c>
      <c r="BH105" s="12">
        <f>AZ105+BF105</f>
        <v>1538239</v>
      </c>
      <c r="BI105" s="27">
        <f>(BF105+AZ105)/(AW105+BD105)</f>
        <v>0.31207685717236161</v>
      </c>
      <c r="BN105" s="51"/>
    </row>
    <row r="106" spans="2:66">
      <c r="B106" s="26">
        <v>16</v>
      </c>
      <c r="C106" s="12">
        <v>384</v>
      </c>
      <c r="D106" s="12">
        <v>5</v>
      </c>
      <c r="E106" s="16">
        <v>2298000</v>
      </c>
      <c r="F106" s="35">
        <v>689400</v>
      </c>
      <c r="G106" s="16">
        <v>0</v>
      </c>
      <c r="H106" s="16">
        <v>350000</v>
      </c>
      <c r="I106" s="12">
        <v>1039400</v>
      </c>
      <c r="J106" s="12">
        <v>752200</v>
      </c>
      <c r="K106" s="12">
        <v>1225008</v>
      </c>
      <c r="L106" s="12">
        <v>1977208</v>
      </c>
      <c r="M106" s="12">
        <v>-937808</v>
      </c>
      <c r="N106" s="13">
        <v>-0.90225899557436984</v>
      </c>
      <c r="O106" s="35">
        <v>5984.375</v>
      </c>
      <c r="P106" s="35">
        <f t="shared" ref="P106" si="108">D106</f>
        <v>5</v>
      </c>
      <c r="Q106" s="35">
        <f t="shared" si="87"/>
        <v>459600</v>
      </c>
      <c r="R106" s="35">
        <f t="shared" si="88"/>
        <v>76.8</v>
      </c>
      <c r="V106" s="11">
        <v>82026</v>
      </c>
      <c r="W106" s="16">
        <v>44221</v>
      </c>
      <c r="X106" s="35">
        <v>382537400</v>
      </c>
      <c r="Y106" s="16">
        <v>98807378</v>
      </c>
      <c r="Z106" s="35">
        <v>0</v>
      </c>
      <c r="AA106" s="35">
        <v>39405000</v>
      </c>
      <c r="AB106" s="12">
        <v>139237378</v>
      </c>
      <c r="AC106" s="12">
        <v>76184940</v>
      </c>
      <c r="AD106" s="12">
        <v>64627016.434999995</v>
      </c>
      <c r="AE106" s="12">
        <v>140811956.435</v>
      </c>
      <c r="AF106" s="12">
        <v>-1574578.4349999949</v>
      </c>
      <c r="AG106" s="13">
        <v>-1.1308590104303708E-2</v>
      </c>
      <c r="AH106" s="35">
        <v>8650.5823025259488</v>
      </c>
      <c r="AI106" s="35">
        <v>266</v>
      </c>
      <c r="AJ106" s="35">
        <f t="shared" si="98"/>
        <v>371456.3082706767</v>
      </c>
      <c r="AK106" s="35">
        <f t="shared" si="97"/>
        <v>8650.5823025259488</v>
      </c>
      <c r="AL106" s="109">
        <f t="shared" si="94"/>
        <v>0.54715868033654014</v>
      </c>
      <c r="AQ106" s="26">
        <v>32</v>
      </c>
      <c r="AR106" s="35">
        <v>1058</v>
      </c>
      <c r="AS106" s="35">
        <v>9906000</v>
      </c>
      <c r="AT106" s="16">
        <v>693420.00000000012</v>
      </c>
      <c r="AU106" s="280">
        <v>0</v>
      </c>
      <c r="AV106" s="35">
        <v>0</v>
      </c>
      <c r="AW106" s="35">
        <v>693420.00000000012</v>
      </c>
      <c r="AX106" s="35">
        <v>0</v>
      </c>
      <c r="AY106" s="35">
        <v>0</v>
      </c>
      <c r="AZ106" s="35">
        <v>693420.00000000012</v>
      </c>
      <c r="BA106" s="13">
        <v>1</v>
      </c>
      <c r="BJ106" s="16"/>
      <c r="BK106" s="16"/>
      <c r="BN106" s="13"/>
    </row>
    <row r="107" spans="2:66">
      <c r="B107" s="26">
        <v>17</v>
      </c>
      <c r="C107" s="12">
        <v>205</v>
      </c>
      <c r="D107" s="12">
        <v>2</v>
      </c>
      <c r="E107" s="16">
        <v>1414000</v>
      </c>
      <c r="F107" s="35">
        <v>424200</v>
      </c>
      <c r="G107" s="16">
        <v>0</v>
      </c>
      <c r="H107" s="16">
        <v>140000</v>
      </c>
      <c r="I107" s="12">
        <v>564200</v>
      </c>
      <c r="J107" s="12">
        <v>339600</v>
      </c>
      <c r="K107" s="12">
        <v>490000</v>
      </c>
      <c r="L107" s="12">
        <v>829600</v>
      </c>
      <c r="M107" s="12">
        <v>-265400</v>
      </c>
      <c r="N107" s="13">
        <v>-0.4704005671747607</v>
      </c>
      <c r="O107" s="35">
        <v>6897.5609756097565</v>
      </c>
      <c r="P107" s="35">
        <f t="shared" ref="P107:P109" si="109">D107</f>
        <v>2</v>
      </c>
      <c r="Q107" s="35">
        <f t="shared" si="87"/>
        <v>707000</v>
      </c>
      <c r="R107" s="35">
        <f t="shared" si="88"/>
        <v>102.5</v>
      </c>
      <c r="V107" s="11">
        <v>92026</v>
      </c>
      <c r="W107" s="16">
        <v>32857</v>
      </c>
      <c r="X107" s="35">
        <v>287835000</v>
      </c>
      <c r="Y107" s="16">
        <v>74417390</v>
      </c>
      <c r="Z107" s="35">
        <v>0</v>
      </c>
      <c r="AA107" s="35">
        <v>33465000</v>
      </c>
      <c r="AB107" s="12">
        <v>108407390</v>
      </c>
      <c r="AC107" s="12">
        <v>58130620</v>
      </c>
      <c r="AD107" s="12">
        <v>61523209.756175116</v>
      </c>
      <c r="AE107" s="12">
        <v>119653829.75617512</v>
      </c>
      <c r="AF107" s="12">
        <v>-11246439.756175114</v>
      </c>
      <c r="AG107" s="13">
        <v>-0.10374237177165795</v>
      </c>
      <c r="AH107" s="35">
        <v>8760.2337401466957</v>
      </c>
      <c r="AI107" s="35">
        <v>242</v>
      </c>
      <c r="AJ107" s="35">
        <f t="shared" si="98"/>
        <v>307509.87603305787</v>
      </c>
      <c r="AK107" s="35">
        <f t="shared" ref="AK107" si="110">X107/W107</f>
        <v>8760.2337401466957</v>
      </c>
      <c r="AL107" s="109">
        <f t="shared" ref="AL107" si="111">AC107/AB107</f>
        <v>0.53622377588834114</v>
      </c>
      <c r="AQ107" s="26">
        <v>33</v>
      </c>
      <c r="AR107" s="35">
        <v>1092</v>
      </c>
      <c r="AS107" s="35">
        <v>10382000</v>
      </c>
      <c r="AT107" s="16">
        <v>726740.00000000012</v>
      </c>
      <c r="AU107" s="280">
        <v>0</v>
      </c>
      <c r="AV107" s="35">
        <v>0</v>
      </c>
      <c r="AW107" s="35">
        <v>726740.00000000012</v>
      </c>
      <c r="AX107" s="35">
        <v>0</v>
      </c>
      <c r="AY107" s="35">
        <v>0</v>
      </c>
      <c r="AZ107" s="35">
        <v>726740.00000000012</v>
      </c>
      <c r="BA107" s="13">
        <v>1</v>
      </c>
      <c r="BN107" s="13"/>
    </row>
    <row r="108" spans="2:66">
      <c r="B108" s="26">
        <v>18</v>
      </c>
      <c r="C108" s="12">
        <v>278</v>
      </c>
      <c r="D108" s="12">
        <v>2</v>
      </c>
      <c r="E108" s="16">
        <v>1877000</v>
      </c>
      <c r="F108" s="35">
        <v>563100</v>
      </c>
      <c r="G108" s="16">
        <v>0</v>
      </c>
      <c r="H108" s="16">
        <v>140000</v>
      </c>
      <c r="I108" s="12">
        <v>703100</v>
      </c>
      <c r="J108" s="12">
        <v>535400</v>
      </c>
      <c r="K108" s="12">
        <v>490000</v>
      </c>
      <c r="L108" s="12">
        <v>1025400</v>
      </c>
      <c r="M108" s="12">
        <v>-322300</v>
      </c>
      <c r="N108" s="13">
        <v>-0.4583985208362964</v>
      </c>
      <c r="O108" s="35">
        <v>6751.7985611510794</v>
      </c>
      <c r="P108" s="35">
        <f t="shared" si="109"/>
        <v>2</v>
      </c>
      <c r="Q108" s="35">
        <f t="shared" si="87"/>
        <v>938500</v>
      </c>
      <c r="R108" s="35">
        <f t="shared" si="88"/>
        <v>139</v>
      </c>
      <c r="V108" s="11">
        <v>102026</v>
      </c>
      <c r="W108" s="16">
        <v>33697</v>
      </c>
      <c r="X108" s="35">
        <v>293404880</v>
      </c>
      <c r="Y108" s="16">
        <v>75794901.599999994</v>
      </c>
      <c r="Z108" s="35">
        <v>0</v>
      </c>
      <c r="AA108" s="35">
        <v>33980000</v>
      </c>
      <c r="AB108" s="12">
        <v>110999901.59999999</v>
      </c>
      <c r="AC108" s="12">
        <v>59106115</v>
      </c>
      <c r="AD108" s="12">
        <v>62710369.683225811</v>
      </c>
      <c r="AE108" s="12">
        <v>121816484.68322581</v>
      </c>
      <c r="AF108" s="12">
        <v>-10816583.083225816</v>
      </c>
      <c r="AG108" s="13">
        <v>-9.7446780828730192E-2</v>
      </c>
      <c r="AH108" s="35">
        <v>8707.1513784609906</v>
      </c>
      <c r="AI108" s="35">
        <v>248</v>
      </c>
      <c r="AJ108" s="35">
        <f t="shared" ref="AJ108" si="112">Y108/AI108</f>
        <v>305624.60322580644</v>
      </c>
      <c r="AK108" s="35">
        <f t="shared" ref="AK108" si="113">X108/W108</f>
        <v>8707.1513784609906</v>
      </c>
      <c r="AL108" s="109">
        <f t="shared" ref="AL108" si="114">AC108/AB108</f>
        <v>0.53248799456593399</v>
      </c>
      <c r="AQ108" s="26">
        <v>34</v>
      </c>
      <c r="AR108" s="35">
        <v>1005</v>
      </c>
      <c r="AS108" s="35">
        <v>9666000</v>
      </c>
      <c r="AT108" s="16">
        <v>676620.00000000012</v>
      </c>
      <c r="AU108" s="280">
        <v>0</v>
      </c>
      <c r="AV108" s="35">
        <v>0</v>
      </c>
      <c r="AW108" s="35">
        <v>676620.00000000012</v>
      </c>
      <c r="AX108" s="35">
        <v>0</v>
      </c>
      <c r="AY108" s="35">
        <v>0</v>
      </c>
      <c r="AZ108" s="35">
        <v>676620.00000000012</v>
      </c>
      <c r="BA108" s="13">
        <v>1</v>
      </c>
      <c r="BN108" s="13"/>
    </row>
    <row r="109" spans="2:66">
      <c r="B109" s="26">
        <v>19</v>
      </c>
      <c r="C109" s="12">
        <v>289</v>
      </c>
      <c r="D109" s="12">
        <v>2</v>
      </c>
      <c r="E109" s="16">
        <v>2217000</v>
      </c>
      <c r="F109" s="35">
        <v>665100</v>
      </c>
      <c r="G109" s="16">
        <v>0</v>
      </c>
      <c r="H109" s="16">
        <v>160000</v>
      </c>
      <c r="I109" s="12">
        <v>825100</v>
      </c>
      <c r="J109" s="12">
        <v>585700</v>
      </c>
      <c r="K109" s="12">
        <v>560000</v>
      </c>
      <c r="L109" s="12">
        <v>1145700</v>
      </c>
      <c r="M109" s="12">
        <v>-320600</v>
      </c>
      <c r="N109" s="13">
        <v>-0.38855896254999395</v>
      </c>
      <c r="O109" s="35">
        <v>7671.2802768166093</v>
      </c>
      <c r="P109" s="35">
        <f t="shared" si="109"/>
        <v>2</v>
      </c>
      <c r="Q109" s="35">
        <f t="shared" si="87"/>
        <v>1108500</v>
      </c>
      <c r="R109" s="35">
        <f t="shared" si="88"/>
        <v>144.5</v>
      </c>
      <c r="V109" s="242">
        <v>112026</v>
      </c>
      <c r="W109" s="81">
        <v>45413</v>
      </c>
      <c r="X109" s="37">
        <v>397425200</v>
      </c>
      <c r="Y109" s="81">
        <v>102836704</v>
      </c>
      <c r="Z109" s="37">
        <v>0</v>
      </c>
      <c r="AA109" s="37">
        <v>34755000</v>
      </c>
      <c r="AB109" s="246">
        <v>139016704</v>
      </c>
      <c r="AC109" s="246">
        <v>81750605</v>
      </c>
      <c r="AD109" s="246">
        <v>63295369.683225811</v>
      </c>
      <c r="AE109" s="246">
        <v>145045974.68322581</v>
      </c>
      <c r="AF109" s="246">
        <v>-6029270.683225818</v>
      </c>
      <c r="AG109" s="244">
        <v>-4.3370836091940562E-2</v>
      </c>
      <c r="AH109" s="37">
        <v>8751.3531367670057</v>
      </c>
      <c r="AQ109" s="26">
        <v>35</v>
      </c>
      <c r="AR109" s="35">
        <v>1408</v>
      </c>
      <c r="AS109" s="35">
        <v>13350000</v>
      </c>
      <c r="AT109" s="16">
        <v>934500.00000000012</v>
      </c>
      <c r="AU109" s="280">
        <v>0</v>
      </c>
      <c r="AV109" s="35">
        <v>0</v>
      </c>
      <c r="AW109" s="35">
        <v>934500.00000000012</v>
      </c>
      <c r="AX109" s="35">
        <v>0</v>
      </c>
      <c r="AY109" s="35">
        <v>14947.822995614701</v>
      </c>
      <c r="AZ109" s="35">
        <v>919552.17700438539</v>
      </c>
      <c r="BA109" s="13">
        <v>0.98400446977462308</v>
      </c>
    </row>
    <row r="110" spans="2:66">
      <c r="B110" s="26">
        <v>20</v>
      </c>
      <c r="C110" s="12">
        <v>123</v>
      </c>
      <c r="D110" s="12">
        <v>2</v>
      </c>
      <c r="E110" s="16">
        <v>870000</v>
      </c>
      <c r="F110" s="35">
        <v>261000</v>
      </c>
      <c r="G110" s="16">
        <v>0</v>
      </c>
      <c r="H110" s="16">
        <v>140000</v>
      </c>
      <c r="I110" s="12">
        <v>401000</v>
      </c>
      <c r="J110" s="12">
        <v>336200</v>
      </c>
      <c r="K110" s="12">
        <v>490000</v>
      </c>
      <c r="L110" s="12">
        <v>826200</v>
      </c>
      <c r="M110" s="12">
        <v>-425200</v>
      </c>
      <c r="N110" s="13">
        <v>-1.0603491271820449</v>
      </c>
      <c r="O110" s="35">
        <v>7073.1707317073169</v>
      </c>
      <c r="P110" s="35">
        <f t="shared" ref="P110:P111" si="115">D110</f>
        <v>2</v>
      </c>
      <c r="Q110" s="35">
        <f t="shared" si="87"/>
        <v>435000</v>
      </c>
      <c r="R110" s="35">
        <f t="shared" si="88"/>
        <v>61.5</v>
      </c>
      <c r="V110" s="242">
        <v>122026</v>
      </c>
      <c r="W110" s="81">
        <v>57747</v>
      </c>
      <c r="X110" s="37">
        <v>503898120</v>
      </c>
      <c r="Y110" s="81">
        <v>130207128.40000001</v>
      </c>
      <c r="Z110" s="37">
        <v>0</v>
      </c>
      <c r="AA110" s="37">
        <v>31795000</v>
      </c>
      <c r="AB110" s="246">
        <v>163127128.40000001</v>
      </c>
      <c r="AC110" s="246">
        <v>101331250</v>
      </c>
      <c r="AD110" s="246">
        <v>57100369.683225811</v>
      </c>
      <c r="AE110" s="246">
        <v>158431619.68322581</v>
      </c>
      <c r="AF110" s="246">
        <v>4695508.7167741824</v>
      </c>
      <c r="AG110" s="244">
        <v>2.8784352197143086E-2</v>
      </c>
      <c r="AH110" s="37">
        <v>8725.9618681489956</v>
      </c>
      <c r="AQ110" s="26">
        <v>36</v>
      </c>
      <c r="AR110" s="35">
        <v>1154</v>
      </c>
      <c r="AS110" s="35">
        <v>11041000</v>
      </c>
      <c r="AT110" s="16">
        <v>772870.00000000012</v>
      </c>
      <c r="AU110" s="280">
        <v>0</v>
      </c>
      <c r="AV110" s="35">
        <v>0</v>
      </c>
      <c r="AW110" s="35">
        <v>772870.00000000012</v>
      </c>
      <c r="AX110" s="35">
        <v>0</v>
      </c>
      <c r="AY110" s="35">
        <v>0</v>
      </c>
      <c r="AZ110" s="35">
        <v>772870.00000000012</v>
      </c>
      <c r="BA110" s="13">
        <v>1</v>
      </c>
    </row>
    <row r="111" spans="2:66">
      <c r="B111" s="26">
        <v>21</v>
      </c>
      <c r="C111" s="12">
        <v>87</v>
      </c>
      <c r="D111" s="12">
        <v>1</v>
      </c>
      <c r="E111" s="16">
        <v>741000</v>
      </c>
      <c r="F111" s="35">
        <v>222300</v>
      </c>
      <c r="G111" s="16">
        <v>0</v>
      </c>
      <c r="H111" s="16">
        <v>70000</v>
      </c>
      <c r="I111" s="12">
        <v>292300</v>
      </c>
      <c r="J111" s="12">
        <v>248000</v>
      </c>
      <c r="K111" s="12">
        <v>245000</v>
      </c>
      <c r="L111" s="12">
        <v>493000</v>
      </c>
      <c r="M111" s="12">
        <v>-200700</v>
      </c>
      <c r="N111" s="13">
        <v>-0.68662333219295246</v>
      </c>
      <c r="O111" s="35">
        <v>8517.2413793103442</v>
      </c>
      <c r="P111" s="35">
        <f t="shared" si="115"/>
        <v>1</v>
      </c>
      <c r="Q111" s="35">
        <f t="shared" si="87"/>
        <v>741000</v>
      </c>
      <c r="R111" s="35">
        <f t="shared" si="88"/>
        <v>87</v>
      </c>
      <c r="V111" s="11" t="s">
        <v>180</v>
      </c>
      <c r="W111" s="16">
        <v>0.2717716937676416</v>
      </c>
      <c r="X111" s="35">
        <v>0.276568287256162</v>
      </c>
      <c r="Y111" s="16">
        <v>0.2812225202257051</v>
      </c>
      <c r="Z111" s="35">
        <v>0</v>
      </c>
      <c r="AA111" s="35">
        <v>4.7177229124076113E-4</v>
      </c>
      <c r="AB111" s="12">
        <v>0.22747397789661564</v>
      </c>
      <c r="AC111" s="12">
        <v>0.32435591192253133</v>
      </c>
      <c r="AD111" s="12">
        <v>3.2048829283457217E-2</v>
      </c>
      <c r="AE111" s="12">
        <v>0.35640474120598853</v>
      </c>
      <c r="AF111" s="12">
        <v>0.51321101617622489</v>
      </c>
      <c r="AG111" s="13">
        <v>2.2561306612815004</v>
      </c>
      <c r="AH111" s="35">
        <v>1.0176493490621632</v>
      </c>
      <c r="AQ111" s="26">
        <v>37</v>
      </c>
      <c r="AR111" s="35">
        <v>1067</v>
      </c>
      <c r="AS111" s="35">
        <v>10313000</v>
      </c>
      <c r="AT111" s="16">
        <v>721910.00000000012</v>
      </c>
      <c r="AU111" s="280"/>
      <c r="AV111" s="35"/>
      <c r="AW111" s="35">
        <v>721910.00000000012</v>
      </c>
      <c r="AX111" s="35">
        <v>0</v>
      </c>
      <c r="AY111" s="35">
        <v>0</v>
      </c>
      <c r="AZ111" s="35">
        <v>721910.00000000012</v>
      </c>
      <c r="BA111" s="13">
        <v>1</v>
      </c>
    </row>
    <row r="112" spans="2:66">
      <c r="B112" s="26">
        <v>22</v>
      </c>
      <c r="C112" s="12">
        <v>55</v>
      </c>
      <c r="D112" s="12">
        <v>1</v>
      </c>
      <c r="E112" s="16">
        <v>477000</v>
      </c>
      <c r="F112" s="35">
        <v>143100</v>
      </c>
      <c r="G112" s="16">
        <v>0</v>
      </c>
      <c r="H112" s="16">
        <v>70000</v>
      </c>
      <c r="I112" s="12">
        <v>213100</v>
      </c>
      <c r="J112" s="12">
        <v>222000</v>
      </c>
      <c r="K112" s="12">
        <v>245000</v>
      </c>
      <c r="L112" s="12">
        <v>467000</v>
      </c>
      <c r="M112" s="12">
        <v>-253900</v>
      </c>
      <c r="N112" s="13">
        <v>-1.1914594087282966</v>
      </c>
      <c r="O112" s="35">
        <v>8672.7272727272721</v>
      </c>
      <c r="P112" s="35">
        <f t="shared" ref="P112" si="116">D112</f>
        <v>1</v>
      </c>
      <c r="Q112" s="35">
        <f t="shared" si="87"/>
        <v>477000</v>
      </c>
      <c r="R112" s="35">
        <f t="shared" si="88"/>
        <v>55</v>
      </c>
      <c r="V112" s="11" t="s">
        <v>181</v>
      </c>
      <c r="W112" s="16">
        <v>1.1941558529976444E-2</v>
      </c>
      <c r="X112" s="35">
        <v>-1.6570584265444244E-3</v>
      </c>
      <c r="Y112" s="16">
        <v>-3.1601774056120944E-3</v>
      </c>
      <c r="Z112" s="35">
        <v>0</v>
      </c>
      <c r="AA112" s="35">
        <v>5.8157812008802261E-2</v>
      </c>
      <c r="AB112" s="12">
        <v>5.98201990814521E-3</v>
      </c>
      <c r="AC112" s="12">
        <v>6.3370612399648758E-3</v>
      </c>
      <c r="AD112" s="12">
        <v>3.0872168740051959E-2</v>
      </c>
      <c r="AE112" s="12">
        <v>3.7209229980016835E-2</v>
      </c>
      <c r="AF112" s="12">
        <v>-0.20715925372833008</v>
      </c>
      <c r="AG112" s="13">
        <v>-34.630318338837164</v>
      </c>
      <c r="AH112" s="35">
        <v>-0.13876399989036381</v>
      </c>
      <c r="AQ112" s="26">
        <v>38</v>
      </c>
      <c r="AR112" s="35">
        <v>952</v>
      </c>
      <c r="AS112" s="35">
        <v>9238000</v>
      </c>
      <c r="AT112" s="16">
        <v>646660.00000000012</v>
      </c>
      <c r="AU112" s="280">
        <v>0</v>
      </c>
      <c r="AV112" s="35">
        <v>0</v>
      </c>
      <c r="AW112" s="35">
        <v>646660.00000000012</v>
      </c>
      <c r="AX112" s="35">
        <v>0</v>
      </c>
      <c r="AY112" s="35">
        <v>0</v>
      </c>
      <c r="AZ112" s="35">
        <v>646660.00000000012</v>
      </c>
      <c r="BA112" s="13">
        <v>1</v>
      </c>
    </row>
    <row r="113" spans="2:84">
      <c r="B113" s="26">
        <v>23</v>
      </c>
      <c r="C113" s="12">
        <v>135</v>
      </c>
      <c r="D113" s="12">
        <v>2</v>
      </c>
      <c r="E113" s="16">
        <v>1044000</v>
      </c>
      <c r="F113" s="35">
        <v>355250</v>
      </c>
      <c r="G113" s="16">
        <v>0</v>
      </c>
      <c r="H113" s="16">
        <v>170000</v>
      </c>
      <c r="I113" s="12">
        <v>525250</v>
      </c>
      <c r="J113" s="12">
        <v>134000</v>
      </c>
      <c r="K113" s="12">
        <v>385000</v>
      </c>
      <c r="L113" s="12">
        <v>519000</v>
      </c>
      <c r="M113" s="12">
        <v>6250</v>
      </c>
      <c r="N113" s="13">
        <v>1.1899095668729176E-2</v>
      </c>
      <c r="O113" s="35">
        <v>7733.333333333333</v>
      </c>
      <c r="P113" s="35">
        <f t="shared" ref="P113:P114" si="117">D113</f>
        <v>2</v>
      </c>
      <c r="Q113" s="35">
        <f t="shared" si="87"/>
        <v>522000</v>
      </c>
      <c r="R113" s="35">
        <f t="shared" si="88"/>
        <v>67.5</v>
      </c>
      <c r="V113" s="11" t="s">
        <v>182</v>
      </c>
      <c r="W113" s="16">
        <v>-4.305820931672004E-4</v>
      </c>
      <c r="X113" s="35">
        <v>2.8046957242420225E-3</v>
      </c>
      <c r="Y113" s="16">
        <v>4.1217865824761399E-3</v>
      </c>
      <c r="Z113" s="35">
        <v>0</v>
      </c>
      <c r="AA113" s="35">
        <v>-5.1990493166963756E-3</v>
      </c>
      <c r="AB113" s="12">
        <v>2.0376155438668422E-3</v>
      </c>
      <c r="AC113" s="12">
        <v>1.857658177788939E-3</v>
      </c>
      <c r="AD113" s="12">
        <v>1.1636552744495293E-3</v>
      </c>
      <c r="AE113" s="12">
        <v>3.0213134522384683E-3</v>
      </c>
      <c r="AF113" s="12">
        <v>1.5776444913500737E-2</v>
      </c>
      <c r="AG113" s="13">
        <v>7.7426013759010299</v>
      </c>
      <c r="AH113" s="35">
        <v>-6.5137305260693328</v>
      </c>
      <c r="AQ113" s="26">
        <v>39</v>
      </c>
      <c r="AR113" s="35">
        <v>1103</v>
      </c>
      <c r="AS113" s="35">
        <v>10843000</v>
      </c>
      <c r="AT113" s="16">
        <v>759010.00000000012</v>
      </c>
      <c r="AU113" s="280">
        <v>0</v>
      </c>
      <c r="AV113" s="35">
        <v>0</v>
      </c>
      <c r="AW113" s="35">
        <v>759010.00000000012</v>
      </c>
      <c r="AX113" s="35">
        <v>0</v>
      </c>
      <c r="AY113" s="35">
        <v>0</v>
      </c>
      <c r="AZ113" s="35">
        <v>759010.00000000012</v>
      </c>
      <c r="BA113" s="13">
        <v>1</v>
      </c>
    </row>
    <row r="114" spans="2:84">
      <c r="B114" s="26">
        <v>24</v>
      </c>
      <c r="C114" s="12">
        <v>96</v>
      </c>
      <c r="D114" s="12">
        <v>2</v>
      </c>
      <c r="E114" s="16">
        <v>774000</v>
      </c>
      <c r="F114" s="35">
        <v>270900</v>
      </c>
      <c r="G114" s="16">
        <v>0</v>
      </c>
      <c r="H114" s="16">
        <v>275000</v>
      </c>
      <c r="I114" s="12">
        <v>545900</v>
      </c>
      <c r="J114" s="12">
        <v>136000</v>
      </c>
      <c r="K114" s="12">
        <v>385000</v>
      </c>
      <c r="L114" s="12">
        <v>521000</v>
      </c>
      <c r="M114" s="12">
        <v>24900</v>
      </c>
      <c r="N114" s="13">
        <v>4.56127495878366E-2</v>
      </c>
      <c r="O114" s="35">
        <v>8062.5</v>
      </c>
      <c r="P114" s="35">
        <f t="shared" si="117"/>
        <v>2</v>
      </c>
      <c r="Q114" s="35">
        <f t="shared" si="87"/>
        <v>387000</v>
      </c>
      <c r="R114" s="35">
        <f t="shared" si="88"/>
        <v>48</v>
      </c>
      <c r="V114" s="11" t="s">
        <v>167</v>
      </c>
      <c r="W114" s="16">
        <v>5466505.2832826702</v>
      </c>
      <c r="X114" s="35">
        <v>48043576273.277718</v>
      </c>
      <c r="Y114" s="16">
        <v>11818793179.062183</v>
      </c>
      <c r="Z114" s="35">
        <v>945297563.99999976</v>
      </c>
      <c r="AA114" s="35">
        <v>2912537539.8845992</v>
      </c>
      <c r="AB114" s="12">
        <v>15748067482.846663</v>
      </c>
      <c r="AC114" s="12">
        <v>10425467454.903978</v>
      </c>
      <c r="AD114" s="12">
        <v>5184225832.7516928</v>
      </c>
      <c r="AE114" s="12">
        <v>15609693287.655678</v>
      </c>
      <c r="AF114" s="12">
        <v>138374195.67395976</v>
      </c>
      <c r="AG114" s="13">
        <v>8.786741346179891E-3</v>
      </c>
      <c r="AH114" s="35">
        <v>8788.7185292222475</v>
      </c>
      <c r="AQ114" s="26">
        <v>40</v>
      </c>
      <c r="AR114" s="35">
        <v>1211</v>
      </c>
      <c r="AS114" s="35">
        <v>11867000</v>
      </c>
      <c r="AT114" s="16">
        <v>830690</v>
      </c>
      <c r="AU114" s="280">
        <v>0</v>
      </c>
      <c r="AV114" s="35">
        <v>0</v>
      </c>
      <c r="AW114" s="35">
        <v>830690</v>
      </c>
      <c r="AX114" s="35">
        <v>0</v>
      </c>
      <c r="AY114" s="35">
        <v>0</v>
      </c>
      <c r="AZ114" s="35">
        <v>830690</v>
      </c>
      <c r="BA114" s="13">
        <v>1</v>
      </c>
      <c r="BL114" s="16"/>
      <c r="BM114" s="16"/>
      <c r="BN114" s="16"/>
      <c r="BO114" s="16"/>
      <c r="BP114" s="16"/>
    </row>
    <row r="115" spans="2:84">
      <c r="B115" s="26">
        <v>33</v>
      </c>
      <c r="C115" s="12">
        <v>130</v>
      </c>
      <c r="D115" s="12">
        <v>2</v>
      </c>
      <c r="E115" s="16">
        <v>527000</v>
      </c>
      <c r="F115" s="35">
        <v>527000</v>
      </c>
      <c r="G115" s="16">
        <v>0</v>
      </c>
      <c r="H115" s="16">
        <v>50000</v>
      </c>
      <c r="I115" s="12">
        <v>577000</v>
      </c>
      <c r="J115" s="12">
        <v>317200</v>
      </c>
      <c r="K115" s="12">
        <v>1460000</v>
      </c>
      <c r="L115" s="12">
        <v>1777200</v>
      </c>
      <c r="M115" s="12">
        <v>-1200200</v>
      </c>
      <c r="N115" s="13">
        <v>-2.0800693240901214</v>
      </c>
      <c r="O115" s="35">
        <v>4053.8461538461538</v>
      </c>
      <c r="P115" s="35">
        <f t="shared" ref="P115:P118" si="118">D115</f>
        <v>2</v>
      </c>
      <c r="Q115" s="35">
        <f t="shared" si="87"/>
        <v>263500</v>
      </c>
      <c r="R115" s="35">
        <f t="shared" si="88"/>
        <v>65</v>
      </c>
      <c r="AQ115" s="26">
        <v>41</v>
      </c>
      <c r="AR115" s="35">
        <v>1137</v>
      </c>
      <c r="AS115" s="35">
        <v>10712000</v>
      </c>
      <c r="AT115" s="16">
        <v>749840.00000000012</v>
      </c>
      <c r="AU115" s="280">
        <v>0</v>
      </c>
      <c r="AV115" s="35">
        <v>0</v>
      </c>
      <c r="AW115" s="35">
        <v>749840.00000000012</v>
      </c>
      <c r="AX115" s="35">
        <v>0</v>
      </c>
      <c r="AY115" s="35">
        <v>0</v>
      </c>
      <c r="AZ115" s="35">
        <v>749840.00000000012</v>
      </c>
      <c r="BA115" s="13">
        <v>1</v>
      </c>
    </row>
    <row r="116" spans="2:84">
      <c r="B116" s="26">
        <v>34</v>
      </c>
      <c r="C116" s="12">
        <v>134</v>
      </c>
      <c r="D116" s="12">
        <v>2</v>
      </c>
      <c r="E116" s="16">
        <v>508000</v>
      </c>
      <c r="F116" s="35">
        <v>508000</v>
      </c>
      <c r="G116" s="16">
        <v>0</v>
      </c>
      <c r="H116" s="16">
        <v>0</v>
      </c>
      <c r="I116" s="12">
        <v>508000</v>
      </c>
      <c r="J116" s="12">
        <v>371600</v>
      </c>
      <c r="K116" s="12">
        <v>700000</v>
      </c>
      <c r="L116" s="12">
        <v>1071600</v>
      </c>
      <c r="M116" s="12">
        <v>-563600</v>
      </c>
      <c r="N116" s="13">
        <v>-1.1094488188976377</v>
      </c>
      <c r="O116" s="35">
        <v>3791.0447761194032</v>
      </c>
      <c r="P116" s="35">
        <f t="shared" si="118"/>
        <v>2</v>
      </c>
      <c r="Q116" s="35">
        <f t="shared" si="87"/>
        <v>254000</v>
      </c>
      <c r="R116" s="35">
        <f t="shared" si="88"/>
        <v>67</v>
      </c>
      <c r="AQ116" s="26">
        <v>42</v>
      </c>
      <c r="AR116" s="35">
        <v>1137</v>
      </c>
      <c r="AS116" s="35">
        <v>10731000</v>
      </c>
      <c r="AT116" s="16">
        <v>751170.00000000012</v>
      </c>
      <c r="AU116" s="280">
        <v>0</v>
      </c>
      <c r="AV116" s="35">
        <v>0</v>
      </c>
      <c r="AW116" s="35">
        <v>751170.00000000012</v>
      </c>
      <c r="AX116" s="35">
        <v>0</v>
      </c>
      <c r="AY116" s="35">
        <v>0</v>
      </c>
      <c r="AZ116" s="35">
        <v>751170.00000000012</v>
      </c>
      <c r="BA116" s="13">
        <v>1</v>
      </c>
    </row>
    <row r="117" spans="2:84">
      <c r="B117" s="26">
        <v>35</v>
      </c>
      <c r="C117" s="12">
        <v>92</v>
      </c>
      <c r="D117" s="12">
        <v>2</v>
      </c>
      <c r="E117" s="16">
        <v>360000</v>
      </c>
      <c r="F117" s="35">
        <v>360000</v>
      </c>
      <c r="G117" s="16">
        <v>0</v>
      </c>
      <c r="H117" s="16">
        <v>0</v>
      </c>
      <c r="I117" s="12">
        <v>360000</v>
      </c>
      <c r="J117" s="12">
        <v>282000</v>
      </c>
      <c r="K117" s="12">
        <v>700000</v>
      </c>
      <c r="L117" s="12">
        <v>982000</v>
      </c>
      <c r="M117" s="12">
        <v>-622000</v>
      </c>
      <c r="N117" s="13">
        <v>-1.7277777777777779</v>
      </c>
      <c r="O117" s="35">
        <v>3913.0434782608695</v>
      </c>
      <c r="P117" s="35">
        <f t="shared" si="118"/>
        <v>2</v>
      </c>
      <c r="Q117" s="35">
        <f t="shared" si="87"/>
        <v>180000</v>
      </c>
      <c r="R117" s="35">
        <f t="shared" si="88"/>
        <v>46</v>
      </c>
      <c r="AQ117" s="26">
        <v>43</v>
      </c>
      <c r="AR117" s="35">
        <v>790</v>
      </c>
      <c r="AS117" s="35">
        <v>7494000</v>
      </c>
      <c r="AT117" s="16">
        <v>524580</v>
      </c>
      <c r="AU117" s="280">
        <v>0</v>
      </c>
      <c r="AV117" s="35">
        <v>0</v>
      </c>
      <c r="AW117" s="35">
        <v>524580</v>
      </c>
      <c r="AX117" s="35">
        <v>0</v>
      </c>
      <c r="AY117" s="35">
        <v>0</v>
      </c>
      <c r="AZ117" s="35">
        <v>524580</v>
      </c>
      <c r="BA117" s="13">
        <v>1</v>
      </c>
    </row>
    <row r="118" spans="2:84">
      <c r="B118" s="26">
        <v>36</v>
      </c>
      <c r="C118" s="12">
        <v>112</v>
      </c>
      <c r="D118" s="12">
        <v>3</v>
      </c>
      <c r="E118" s="16">
        <v>486000</v>
      </c>
      <c r="F118" s="35">
        <v>486000</v>
      </c>
      <c r="G118" s="16">
        <v>0</v>
      </c>
      <c r="H118" s="16">
        <v>0</v>
      </c>
      <c r="I118" s="12">
        <v>486000</v>
      </c>
      <c r="J118" s="12">
        <v>547200</v>
      </c>
      <c r="K118" s="12">
        <v>700000</v>
      </c>
      <c r="L118" s="12">
        <v>1247200</v>
      </c>
      <c r="M118" s="12">
        <v>-761200</v>
      </c>
      <c r="N118" s="13">
        <v>-1.5662551440329218</v>
      </c>
      <c r="O118" s="35">
        <v>4339.2857142857147</v>
      </c>
      <c r="P118" s="35">
        <f t="shared" si="118"/>
        <v>3</v>
      </c>
      <c r="Q118" s="35">
        <f t="shared" si="87"/>
        <v>162000</v>
      </c>
      <c r="R118" s="35">
        <f t="shared" si="88"/>
        <v>37.333333333333336</v>
      </c>
      <c r="AQ118" s="26">
        <v>44</v>
      </c>
      <c r="AR118" s="35">
        <v>839</v>
      </c>
      <c r="AS118" s="35">
        <v>8080000</v>
      </c>
      <c r="AT118" s="16">
        <v>565600</v>
      </c>
      <c r="AU118" s="280">
        <v>0</v>
      </c>
      <c r="AV118" s="35">
        <v>0</v>
      </c>
      <c r="AW118" s="35">
        <v>565600</v>
      </c>
      <c r="AX118" s="35">
        <v>0</v>
      </c>
      <c r="AY118" s="35">
        <v>0</v>
      </c>
      <c r="AZ118" s="35">
        <v>565600</v>
      </c>
      <c r="BA118" s="13">
        <v>1</v>
      </c>
    </row>
    <row r="119" spans="2:84" ht="63.95">
      <c r="B119" s="26">
        <v>37</v>
      </c>
      <c r="C119" s="12">
        <v>112</v>
      </c>
      <c r="D119" s="12">
        <v>4</v>
      </c>
      <c r="E119" s="16">
        <v>429000</v>
      </c>
      <c r="F119" s="35">
        <v>429000</v>
      </c>
      <c r="G119" s="16">
        <v>0</v>
      </c>
      <c r="H119" s="16">
        <v>0</v>
      </c>
      <c r="I119" s="12">
        <v>429000</v>
      </c>
      <c r="J119" s="12">
        <v>565800</v>
      </c>
      <c r="K119" s="12">
        <v>740000</v>
      </c>
      <c r="L119" s="12">
        <v>1305800</v>
      </c>
      <c r="M119" s="12">
        <v>-876800</v>
      </c>
      <c r="N119" s="13">
        <v>-2.0438228438228436</v>
      </c>
      <c r="O119" s="35">
        <v>3830.3571428571427</v>
      </c>
      <c r="P119" s="35">
        <f t="shared" ref="P119:P126" si="119">D119</f>
        <v>4</v>
      </c>
      <c r="Q119" s="35">
        <f t="shared" si="87"/>
        <v>107250</v>
      </c>
      <c r="R119" s="35">
        <f t="shared" si="88"/>
        <v>28</v>
      </c>
      <c r="V119" s="10" t="s">
        <v>100</v>
      </c>
      <c r="W119" t="s">
        <v>101</v>
      </c>
      <c r="Y119" s="12"/>
      <c r="Z119" s="131"/>
      <c r="AC119" s="13"/>
      <c r="AD119" s="158"/>
      <c r="AQ119" s="26">
        <v>45</v>
      </c>
      <c r="AR119" s="35">
        <v>851</v>
      </c>
      <c r="AS119" s="35">
        <v>8196000</v>
      </c>
      <c r="AT119" s="16">
        <v>573720</v>
      </c>
      <c r="AU119" s="280">
        <v>0</v>
      </c>
      <c r="AV119" s="35">
        <v>0</v>
      </c>
      <c r="AW119" s="35">
        <v>573720</v>
      </c>
      <c r="AX119" s="35">
        <v>0</v>
      </c>
      <c r="AY119" s="35">
        <v>0</v>
      </c>
      <c r="AZ119" s="35">
        <v>573720</v>
      </c>
      <c r="BA119" s="13">
        <v>1</v>
      </c>
      <c r="BO119" s="31" t="s">
        <v>113</v>
      </c>
      <c r="BP119" s="32" t="s">
        <v>114</v>
      </c>
      <c r="BQ119" s="276" t="s">
        <v>117</v>
      </c>
      <c r="BR119" s="276" t="s">
        <v>140</v>
      </c>
      <c r="BS119" s="276" t="s">
        <v>118</v>
      </c>
      <c r="BT119" s="276" t="s">
        <v>119</v>
      </c>
      <c r="BU119" s="277" t="s">
        <v>120</v>
      </c>
      <c r="BV119" s="251" t="s">
        <v>142</v>
      </c>
      <c r="BW119" s="251" t="s">
        <v>143</v>
      </c>
      <c r="BX119" s="251" t="s">
        <v>144</v>
      </c>
      <c r="BY119" s="251" t="s">
        <v>145</v>
      </c>
      <c r="BZ119" s="251" t="s">
        <v>121</v>
      </c>
      <c r="CA119" s="251" t="s">
        <v>146</v>
      </c>
      <c r="CB119" s="251" t="s">
        <v>133</v>
      </c>
      <c r="CC119" s="251" t="s">
        <v>191</v>
      </c>
      <c r="CD119" s="251" t="s">
        <v>123</v>
      </c>
      <c r="CE119" s="32" t="s">
        <v>124</v>
      </c>
      <c r="CF119" s="32" t="s">
        <v>125</v>
      </c>
    </row>
    <row r="120" spans="2:84">
      <c r="B120" s="26">
        <v>38</v>
      </c>
      <c r="C120" s="12">
        <v>112</v>
      </c>
      <c r="D120" s="12">
        <v>4</v>
      </c>
      <c r="E120" s="16">
        <v>429000</v>
      </c>
      <c r="F120" s="35">
        <v>429000</v>
      </c>
      <c r="G120" s="16">
        <v>0</v>
      </c>
      <c r="H120" s="16">
        <v>0</v>
      </c>
      <c r="I120" s="12">
        <v>429000</v>
      </c>
      <c r="J120" s="12">
        <v>565800</v>
      </c>
      <c r="K120" s="12">
        <v>825000</v>
      </c>
      <c r="L120" s="12">
        <v>1390800</v>
      </c>
      <c r="M120" s="12">
        <v>-961800</v>
      </c>
      <c r="N120" s="13">
        <v>-2.2419580419580418</v>
      </c>
      <c r="O120" s="35">
        <v>3830.3571428571427</v>
      </c>
      <c r="P120" s="35">
        <f t="shared" si="119"/>
        <v>4</v>
      </c>
      <c r="Q120" s="35">
        <f t="shared" si="87"/>
        <v>107250</v>
      </c>
      <c r="R120" s="35">
        <f t="shared" si="88"/>
        <v>28</v>
      </c>
      <c r="V120" s="10" t="s">
        <v>104</v>
      </c>
      <c r="W120" s="11">
        <v>2026</v>
      </c>
      <c r="Z120" s="13"/>
      <c r="AQ120" s="26">
        <v>46</v>
      </c>
      <c r="AR120" s="35">
        <v>656</v>
      </c>
      <c r="AS120" s="35">
        <v>6250000</v>
      </c>
      <c r="AT120" s="16">
        <v>437500.00000000006</v>
      </c>
      <c r="AU120" s="280">
        <v>0</v>
      </c>
      <c r="AV120" s="35">
        <v>0</v>
      </c>
      <c r="AW120" s="35">
        <v>437500.00000000006</v>
      </c>
      <c r="AX120" s="35">
        <v>0</v>
      </c>
      <c r="AY120" s="35">
        <v>0</v>
      </c>
      <c r="AZ120" s="35">
        <v>437500.00000000006</v>
      </c>
      <c r="BA120" s="13">
        <v>1</v>
      </c>
      <c r="BO120" s="11">
        <v>2025</v>
      </c>
      <c r="BP120" s="123">
        <v>437669</v>
      </c>
      <c r="BQ120" s="123">
        <v>886782630</v>
      </c>
      <c r="BR120" s="123">
        <v>4550000</v>
      </c>
      <c r="BS120" s="123">
        <v>163721367.00000003</v>
      </c>
      <c r="BT120" s="123">
        <v>185730689.18181822</v>
      </c>
      <c r="BU120" s="123">
        <v>1240784686.1818182</v>
      </c>
      <c r="BV120" s="123">
        <v>420777640.90909088</v>
      </c>
      <c r="BW120" s="123">
        <v>329245863.63636363</v>
      </c>
      <c r="BX120" s="123">
        <v>60625000</v>
      </c>
      <c r="BY120" s="123">
        <v>4700000</v>
      </c>
      <c r="BZ120" s="123">
        <v>816948504.5454545</v>
      </c>
      <c r="CA120" s="123">
        <v>5553181.8181818184</v>
      </c>
      <c r="CB120" s="123">
        <v>350801818.18181819</v>
      </c>
      <c r="CC120" s="123">
        <v>0</v>
      </c>
      <c r="CD120" s="123">
        <v>1176180328.909091</v>
      </c>
      <c r="CE120" s="123">
        <v>64604357.272727326</v>
      </c>
      <c r="CF120" s="13">
        <v>5.2067339315356884E-2</v>
      </c>
    </row>
    <row r="121" spans="2:84">
      <c r="B121" s="26">
        <v>39</v>
      </c>
      <c r="C121" s="12">
        <v>130</v>
      </c>
      <c r="D121" s="12">
        <v>5</v>
      </c>
      <c r="E121" s="16">
        <v>851000</v>
      </c>
      <c r="F121" s="35">
        <v>851000</v>
      </c>
      <c r="G121" s="16">
        <v>0</v>
      </c>
      <c r="H121" s="16">
        <v>0</v>
      </c>
      <c r="I121" s="12">
        <v>851000</v>
      </c>
      <c r="J121" s="12">
        <v>950200</v>
      </c>
      <c r="K121" s="12">
        <v>640000</v>
      </c>
      <c r="L121" s="12">
        <v>1590200</v>
      </c>
      <c r="M121" s="12">
        <v>-739200</v>
      </c>
      <c r="N121" s="13">
        <v>-0.86862514688601644</v>
      </c>
      <c r="O121" s="35">
        <v>6546.1538461538457</v>
      </c>
      <c r="P121" s="35">
        <f t="shared" si="119"/>
        <v>5</v>
      </c>
      <c r="Q121" s="35">
        <f t="shared" si="87"/>
        <v>170200</v>
      </c>
      <c r="R121" s="35">
        <f t="shared" si="88"/>
        <v>26</v>
      </c>
      <c r="AQ121" s="26">
        <v>47</v>
      </c>
      <c r="AR121" s="35">
        <v>618</v>
      </c>
      <c r="AS121" s="35">
        <v>5988000</v>
      </c>
      <c r="AT121" s="16">
        <v>419160.00000000006</v>
      </c>
      <c r="AU121" s="280">
        <v>0</v>
      </c>
      <c r="AV121" s="35">
        <v>0</v>
      </c>
      <c r="AW121" s="35">
        <v>419160.00000000006</v>
      </c>
      <c r="AX121" s="35">
        <v>0</v>
      </c>
      <c r="AY121" s="35">
        <v>0</v>
      </c>
      <c r="AZ121" s="35">
        <v>419160.00000000006</v>
      </c>
      <c r="BA121" s="13">
        <v>1</v>
      </c>
      <c r="BO121" s="26" t="s">
        <v>192</v>
      </c>
      <c r="BP121" s="123">
        <v>67239</v>
      </c>
      <c r="BQ121" s="123">
        <v>143526830</v>
      </c>
      <c r="BR121" s="123">
        <v>0</v>
      </c>
      <c r="BS121" s="123">
        <v>27286894.5</v>
      </c>
      <c r="BT121" s="123">
        <v>30229796.68181818</v>
      </c>
      <c r="BU121" s="123">
        <v>201043521.18181819</v>
      </c>
      <c r="BV121" s="123">
        <v>60764390.909090906</v>
      </c>
      <c r="BW121" s="123">
        <v>50036363.636363633</v>
      </c>
      <c r="BX121" s="123">
        <v>0</v>
      </c>
      <c r="BY121" s="123">
        <v>0</v>
      </c>
      <c r="BZ121" s="123">
        <v>110800754.54545453</v>
      </c>
      <c r="CA121" s="123">
        <v>918181.81818181812</v>
      </c>
      <c r="CB121" s="123">
        <v>56486818.18181818</v>
      </c>
      <c r="CC121" s="123">
        <v>0</v>
      </c>
      <c r="CD121" s="123">
        <v>168608070.90909091</v>
      </c>
      <c r="CE121" s="123">
        <v>32435450.272727288</v>
      </c>
      <c r="CF121" s="13">
        <v>0.16133546648038247</v>
      </c>
    </row>
    <row r="122" spans="2:84" ht="63.95">
      <c r="B122" s="26">
        <v>40</v>
      </c>
      <c r="C122" s="12">
        <v>44</v>
      </c>
      <c r="D122" s="12">
        <v>3</v>
      </c>
      <c r="E122" s="16">
        <v>144000</v>
      </c>
      <c r="F122" s="35">
        <v>144000</v>
      </c>
      <c r="G122" s="16">
        <v>0</v>
      </c>
      <c r="H122" s="16">
        <v>0</v>
      </c>
      <c r="I122" s="12">
        <v>144000</v>
      </c>
      <c r="J122" s="12">
        <v>118800</v>
      </c>
      <c r="K122" s="12">
        <v>100000</v>
      </c>
      <c r="L122" s="12">
        <v>218800</v>
      </c>
      <c r="M122" s="12">
        <v>-74800</v>
      </c>
      <c r="N122" s="13">
        <v>-0.51944444444444449</v>
      </c>
      <c r="O122" s="35">
        <v>3272.7272727272725</v>
      </c>
      <c r="P122" s="35">
        <f t="shared" si="119"/>
        <v>3</v>
      </c>
      <c r="Q122" s="35">
        <f t="shared" si="87"/>
        <v>48000</v>
      </c>
      <c r="R122" s="35">
        <f t="shared" si="88"/>
        <v>14.666666666666666</v>
      </c>
      <c r="V122" s="257" t="s">
        <v>113</v>
      </c>
      <c r="W122" s="32" t="s">
        <v>114</v>
      </c>
      <c r="X122" s="32" t="s">
        <v>116</v>
      </c>
      <c r="Y122" s="291" t="s">
        <v>117</v>
      </c>
      <c r="Z122" s="249" t="s">
        <v>118</v>
      </c>
      <c r="AA122" s="249" t="s">
        <v>119</v>
      </c>
      <c r="AB122" s="249" t="s">
        <v>120</v>
      </c>
      <c r="AC122" s="251" t="s">
        <v>121</v>
      </c>
      <c r="AD122" s="251" t="s">
        <v>122</v>
      </c>
      <c r="AE122" s="251" t="s">
        <v>123</v>
      </c>
      <c r="AF122" s="269" t="s">
        <v>124</v>
      </c>
      <c r="AG122" s="269" t="s">
        <v>125</v>
      </c>
      <c r="AH122" s="159" t="s">
        <v>126</v>
      </c>
      <c r="AI122" s="193" t="s">
        <v>127</v>
      </c>
      <c r="AJ122" s="193" t="s">
        <v>131</v>
      </c>
      <c r="AK122" s="193" t="s">
        <v>129</v>
      </c>
      <c r="AQ122" s="26">
        <v>48</v>
      </c>
      <c r="AR122" s="35">
        <v>759</v>
      </c>
      <c r="AS122" s="35">
        <v>7318000</v>
      </c>
      <c r="AT122" s="16">
        <v>512260.00000000006</v>
      </c>
      <c r="AU122" s="280">
        <v>0</v>
      </c>
      <c r="AV122" s="35">
        <v>0</v>
      </c>
      <c r="AW122" s="35">
        <v>512260.00000000006</v>
      </c>
      <c r="AX122" s="35">
        <v>0</v>
      </c>
      <c r="AY122" s="35">
        <v>0</v>
      </c>
      <c r="AZ122" s="35">
        <v>512260.00000000006</v>
      </c>
      <c r="BA122" s="13">
        <v>1</v>
      </c>
      <c r="BO122" s="26" t="s">
        <v>193</v>
      </c>
      <c r="BP122" s="123">
        <v>103864</v>
      </c>
      <c r="BQ122" s="123">
        <v>208397240</v>
      </c>
      <c r="BR122" s="123">
        <v>1250000</v>
      </c>
      <c r="BS122" s="123">
        <v>38201652.300000004</v>
      </c>
      <c r="BT122" s="123">
        <v>44930169.900000006</v>
      </c>
      <c r="BU122" s="123">
        <v>292779062.19999999</v>
      </c>
      <c r="BV122" s="123">
        <v>100154600</v>
      </c>
      <c r="BW122" s="123">
        <v>85475000</v>
      </c>
      <c r="BX122" s="123">
        <v>0</v>
      </c>
      <c r="BY122" s="123">
        <v>0</v>
      </c>
      <c r="BZ122" s="123">
        <v>185629600</v>
      </c>
      <c r="CA122" s="123">
        <v>700000</v>
      </c>
      <c r="CB122" s="123">
        <v>81830000</v>
      </c>
      <c r="CC122" s="123">
        <v>0</v>
      </c>
      <c r="CD122" s="123">
        <v>268866608</v>
      </c>
      <c r="CE122" s="123">
        <v>23912454.200000014</v>
      </c>
      <c r="CF122" s="13">
        <v>8.1674058316592343E-2</v>
      </c>
    </row>
    <row r="123" spans="2:84">
      <c r="B123" s="376" t="s">
        <v>181</v>
      </c>
      <c r="C123" s="85">
        <v>0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0</v>
      </c>
      <c r="M123" s="85">
        <v>0</v>
      </c>
      <c r="N123" s="85">
        <v>0</v>
      </c>
      <c r="O123" s="85">
        <v>0</v>
      </c>
      <c r="P123" s="35">
        <f t="shared" si="119"/>
        <v>0</v>
      </c>
      <c r="Q123" s="35" t="e">
        <f t="shared" si="87"/>
        <v>#DIV/0!</v>
      </c>
      <c r="R123" s="35" t="e">
        <f t="shared" si="88"/>
        <v>#DIV/0!</v>
      </c>
      <c r="V123" s="253" t="s">
        <v>23</v>
      </c>
      <c r="W123" s="255">
        <v>874389</v>
      </c>
      <c r="X123" s="254">
        <v>7583521879</v>
      </c>
      <c r="Y123" s="254">
        <v>1961702196.0999999</v>
      </c>
      <c r="Z123" s="254">
        <v>0</v>
      </c>
      <c r="AA123" s="254">
        <v>549272142.85714281</v>
      </c>
      <c r="AB123" s="255">
        <v>2530785053.2428575</v>
      </c>
      <c r="AC123" s="255">
        <v>1623943451.4285717</v>
      </c>
      <c r="AD123" s="255">
        <v>959125567.85087562</v>
      </c>
      <c r="AE123" s="255">
        <v>2583069019.2794466</v>
      </c>
      <c r="AF123" s="255">
        <v>-52283966.036589928</v>
      </c>
      <c r="AG123" s="256">
        <v>-2.0659188724698338E-2</v>
      </c>
      <c r="AH123" s="36">
        <v>8672.9383363697398</v>
      </c>
      <c r="AI123" s="194">
        <v>293</v>
      </c>
      <c r="AJ123" s="194">
        <f t="shared" ref="AJ123" si="120">Y123/AI123</f>
        <v>6695229.3382252557</v>
      </c>
      <c r="AK123" s="194">
        <f t="shared" ref="AK123" si="121">X123/W123</f>
        <v>8672.9383363697398</v>
      </c>
      <c r="AQ123" s="26">
        <v>49</v>
      </c>
      <c r="AR123" s="35">
        <v>703</v>
      </c>
      <c r="AS123" s="35">
        <v>6692000</v>
      </c>
      <c r="AT123" s="16">
        <v>468440.00000000006</v>
      </c>
      <c r="AU123" s="280">
        <v>0</v>
      </c>
      <c r="AV123" s="35">
        <v>0</v>
      </c>
      <c r="AW123" s="35">
        <v>468440.00000000006</v>
      </c>
      <c r="AX123" s="35">
        <v>0</v>
      </c>
      <c r="AY123" s="35">
        <v>0</v>
      </c>
      <c r="AZ123" s="35">
        <v>468440.00000000006</v>
      </c>
      <c r="BA123" s="13">
        <v>1</v>
      </c>
      <c r="BO123" s="26" t="s">
        <v>194</v>
      </c>
      <c r="BP123" s="123">
        <v>108097</v>
      </c>
      <c r="BQ123" s="123">
        <v>216647030</v>
      </c>
      <c r="BR123" s="123">
        <v>1350000</v>
      </c>
      <c r="BS123" s="123">
        <v>38201652.300000004</v>
      </c>
      <c r="BT123" s="123">
        <v>41935169.900000006</v>
      </c>
      <c r="BU123" s="123">
        <v>298133852.20000005</v>
      </c>
      <c r="BV123" s="123">
        <v>104522500</v>
      </c>
      <c r="BW123" s="123">
        <v>72717000</v>
      </c>
      <c r="BX123" s="123">
        <v>60625000</v>
      </c>
      <c r="BY123" s="123">
        <v>4700000</v>
      </c>
      <c r="BZ123" s="123">
        <v>244164500</v>
      </c>
      <c r="CA123" s="123">
        <v>1990000</v>
      </c>
      <c r="CB123" s="123">
        <v>80290000</v>
      </c>
      <c r="CC123" s="123">
        <v>0</v>
      </c>
      <c r="CD123" s="123">
        <v>327151500</v>
      </c>
      <c r="CE123" s="123">
        <v>-29017647.79999999</v>
      </c>
      <c r="CF123" s="13">
        <v>-9.7330939059324925E-2</v>
      </c>
    </row>
    <row r="124" spans="2:84">
      <c r="B124" s="376" t="s">
        <v>182</v>
      </c>
      <c r="C124" s="85">
        <v>0</v>
      </c>
      <c r="D124" s="85">
        <v>0</v>
      </c>
      <c r="E124" s="85">
        <v>0</v>
      </c>
      <c r="F124" s="85">
        <v>0</v>
      </c>
      <c r="G124" s="85">
        <v>0</v>
      </c>
      <c r="H124" s="85">
        <v>0</v>
      </c>
      <c r="I124" s="85">
        <v>0</v>
      </c>
      <c r="J124" s="85">
        <v>0</v>
      </c>
      <c r="K124" s="85">
        <v>0</v>
      </c>
      <c r="L124" s="85">
        <v>0</v>
      </c>
      <c r="M124" s="85">
        <v>0</v>
      </c>
      <c r="N124" s="85">
        <v>0</v>
      </c>
      <c r="O124" s="85">
        <v>0</v>
      </c>
      <c r="P124" s="35">
        <f t="shared" si="119"/>
        <v>0</v>
      </c>
      <c r="Q124" s="35" t="e">
        <f t="shared" si="87"/>
        <v>#DIV/0!</v>
      </c>
      <c r="R124" s="35" t="e">
        <f t="shared" si="88"/>
        <v>#DIV/0!</v>
      </c>
      <c r="V124" s="26" t="s">
        <v>21</v>
      </c>
      <c r="W124" s="12">
        <v>293134</v>
      </c>
      <c r="X124" s="16">
        <v>2535130379</v>
      </c>
      <c r="Y124" s="16">
        <v>657002493.89999998</v>
      </c>
      <c r="Z124" s="16">
        <v>0</v>
      </c>
      <c r="AA124" s="16">
        <v>189658571.42857143</v>
      </c>
      <c r="AB124" s="12">
        <v>854446779.61428583</v>
      </c>
      <c r="AC124" s="12">
        <v>574371877.14285719</v>
      </c>
      <c r="AD124" s="12">
        <v>325055922.88285714</v>
      </c>
      <c r="AE124" s="12">
        <v>899427800.0257144</v>
      </c>
      <c r="AF124" s="12">
        <v>-44981020.411428615</v>
      </c>
      <c r="AG124" s="13">
        <v>-5.2643443084581507E-2</v>
      </c>
      <c r="AH124" s="35">
        <v>8648.3668868162677</v>
      </c>
      <c r="AI124" s="35"/>
      <c r="AJ124" s="35"/>
      <c r="AK124" s="35"/>
      <c r="AQ124" s="26">
        <v>50</v>
      </c>
      <c r="AR124" s="35">
        <v>704</v>
      </c>
      <c r="AS124" s="35">
        <v>6732000</v>
      </c>
      <c r="AT124" s="16">
        <v>471240.00000000006</v>
      </c>
      <c r="AU124" s="280">
        <v>0</v>
      </c>
      <c r="AV124" s="35">
        <v>0</v>
      </c>
      <c r="AW124" s="35">
        <v>471240.00000000006</v>
      </c>
      <c r="AX124" s="35">
        <v>0</v>
      </c>
      <c r="AY124" s="35">
        <v>0</v>
      </c>
      <c r="AZ124" s="35">
        <v>471240.00000000006</v>
      </c>
      <c r="BA124" s="13">
        <v>1</v>
      </c>
      <c r="BO124" s="26" t="s">
        <v>195</v>
      </c>
      <c r="BP124" s="123">
        <v>621</v>
      </c>
      <c r="BQ124" s="123">
        <v>1599090</v>
      </c>
      <c r="BR124" s="123"/>
      <c r="BS124" s="123">
        <v>0</v>
      </c>
      <c r="BT124" s="123">
        <v>560000</v>
      </c>
      <c r="BU124" s="123">
        <v>2159090</v>
      </c>
      <c r="BV124" s="123">
        <v>543900</v>
      </c>
      <c r="BW124" s="123">
        <v>1250000</v>
      </c>
      <c r="BX124" s="123">
        <v>0</v>
      </c>
      <c r="BY124" s="123">
        <v>0</v>
      </c>
      <c r="BZ124" s="123">
        <v>1793900</v>
      </c>
      <c r="CA124" s="123">
        <v>0</v>
      </c>
      <c r="CB124" s="123">
        <v>5775000</v>
      </c>
      <c r="CC124" s="123">
        <v>0</v>
      </c>
      <c r="CD124" s="123">
        <v>7568900</v>
      </c>
      <c r="CE124" s="123">
        <v>-5409810</v>
      </c>
      <c r="CF124" s="13">
        <v>-2.5055972655146381</v>
      </c>
    </row>
    <row r="125" spans="2:84">
      <c r="B125" s="309" t="s">
        <v>196</v>
      </c>
      <c r="C125" s="261">
        <v>401</v>
      </c>
      <c r="D125" s="261">
        <v>6</v>
      </c>
      <c r="E125" s="77">
        <v>3398000</v>
      </c>
      <c r="F125" s="171">
        <v>1019400</v>
      </c>
      <c r="G125" s="77">
        <v>0</v>
      </c>
      <c r="H125" s="77">
        <v>960000</v>
      </c>
      <c r="I125" s="261">
        <v>1979400</v>
      </c>
      <c r="J125" s="261">
        <v>1931000</v>
      </c>
      <c r="K125" s="261">
        <v>3605000</v>
      </c>
      <c r="L125" s="261">
        <v>5536000</v>
      </c>
      <c r="M125" s="261">
        <v>-3556600</v>
      </c>
      <c r="N125" s="78">
        <v>-1.7968071132666465</v>
      </c>
      <c r="O125" s="171">
        <v>8473.815461346634</v>
      </c>
      <c r="P125" s="85">
        <f t="shared" si="119"/>
        <v>6</v>
      </c>
      <c r="Q125" s="85">
        <f t="shared" si="87"/>
        <v>566333.33333333337</v>
      </c>
      <c r="R125" s="85">
        <f t="shared" si="88"/>
        <v>66.833333333333329</v>
      </c>
      <c r="V125" s="26" t="s">
        <v>158</v>
      </c>
      <c r="W125" s="12">
        <v>217113</v>
      </c>
      <c r="X125" s="16">
        <v>1878458900</v>
      </c>
      <c r="Y125" s="16">
        <v>483927460.19999999</v>
      </c>
      <c r="Z125" s="16">
        <v>0</v>
      </c>
      <c r="AA125" s="16">
        <v>155108571.4285714</v>
      </c>
      <c r="AB125" s="12">
        <v>642761031.62857151</v>
      </c>
      <c r="AC125" s="12">
        <v>394355142.14285719</v>
      </c>
      <c r="AD125" s="12">
        <v>261636637.16857147</v>
      </c>
      <c r="AE125" s="12">
        <v>655991779.31142867</v>
      </c>
      <c r="AF125" s="12">
        <v>-13230747.682857102</v>
      </c>
      <c r="AG125" s="13">
        <v>-2.0584240537006724E-2</v>
      </c>
      <c r="AH125" s="35">
        <v>8651.9872140314037</v>
      </c>
      <c r="AI125" s="35"/>
      <c r="AJ125" s="35"/>
      <c r="AK125" s="35"/>
      <c r="AQ125" s="26">
        <v>51</v>
      </c>
      <c r="AR125" s="35">
        <v>530</v>
      </c>
      <c r="AS125" s="35">
        <v>5085000</v>
      </c>
      <c r="AT125" s="16">
        <v>355950.00000000006</v>
      </c>
      <c r="AU125" s="280">
        <v>0</v>
      </c>
      <c r="AV125" s="35">
        <v>0</v>
      </c>
      <c r="AW125" s="35">
        <v>355950.00000000006</v>
      </c>
      <c r="AX125" s="35">
        <v>0</v>
      </c>
      <c r="AY125" s="35">
        <v>0</v>
      </c>
      <c r="AZ125" s="35">
        <v>355950.00000000006</v>
      </c>
      <c r="BA125" s="13">
        <v>1</v>
      </c>
      <c r="BO125" s="26" t="s">
        <v>197</v>
      </c>
      <c r="BP125" s="123">
        <v>59935</v>
      </c>
      <c r="BQ125" s="123">
        <v>119843660</v>
      </c>
      <c r="BR125" s="123">
        <v>700000</v>
      </c>
      <c r="BS125" s="123">
        <v>21829515.600000001</v>
      </c>
      <c r="BT125" s="123">
        <v>23854382.800000001</v>
      </c>
      <c r="BU125" s="123">
        <v>166227558.39999998</v>
      </c>
      <c r="BV125" s="123">
        <v>59914450</v>
      </c>
      <c r="BW125" s="123">
        <v>37492500</v>
      </c>
      <c r="BX125" s="123">
        <v>0</v>
      </c>
      <c r="BY125" s="123">
        <v>0</v>
      </c>
      <c r="BZ125" s="123">
        <v>97406950</v>
      </c>
      <c r="CA125" s="123">
        <v>1245000</v>
      </c>
      <c r="CB125" s="123">
        <v>47530000</v>
      </c>
      <c r="CC125" s="123">
        <v>0</v>
      </c>
      <c r="CD125" s="123">
        <v>146535450</v>
      </c>
      <c r="CE125" s="123">
        <v>19692108.399999995</v>
      </c>
      <c r="CF125" s="13">
        <v>0.11846476354187969</v>
      </c>
    </row>
    <row r="126" spans="2:84">
      <c r="B126" s="287" t="s">
        <v>33</v>
      </c>
      <c r="C126" s="121">
        <v>896</v>
      </c>
      <c r="D126" s="121">
        <v>3</v>
      </c>
      <c r="E126" s="288">
        <v>7450000</v>
      </c>
      <c r="F126" s="39">
        <v>1604700</v>
      </c>
      <c r="G126" s="288">
        <v>850000</v>
      </c>
      <c r="H126" s="288">
        <v>1090000</v>
      </c>
      <c r="I126" s="121">
        <v>3544700</v>
      </c>
      <c r="J126" s="121">
        <v>2591000</v>
      </c>
      <c r="K126" s="121">
        <v>3689600</v>
      </c>
      <c r="L126" s="121">
        <v>6280600</v>
      </c>
      <c r="M126" s="121">
        <v>-2735900</v>
      </c>
      <c r="N126" s="289">
        <v>-0.77182836347222616</v>
      </c>
      <c r="O126" s="39">
        <v>8314.7321428571431</v>
      </c>
      <c r="P126" s="85">
        <f t="shared" si="119"/>
        <v>3</v>
      </c>
      <c r="Q126" s="85">
        <f t="shared" si="87"/>
        <v>2483333.3333333335</v>
      </c>
      <c r="R126" s="85">
        <f t="shared" si="88"/>
        <v>298.66666666666669</v>
      </c>
      <c r="V126" s="26" t="s">
        <v>159</v>
      </c>
      <c r="W126" s="12">
        <v>234442</v>
      </c>
      <c r="X126" s="16">
        <v>2047015580</v>
      </c>
      <c r="Y126" s="16">
        <v>529758310.60000002</v>
      </c>
      <c r="Z126" s="16">
        <v>0</v>
      </c>
      <c r="AA126" s="16">
        <v>146943571.42857143</v>
      </c>
      <c r="AB126" s="12">
        <v>682573310.60000002</v>
      </c>
      <c r="AC126" s="12">
        <v>423417334.28571433</v>
      </c>
      <c r="AD126" s="12">
        <v>268387055.25907835</v>
      </c>
      <c r="AE126" s="12">
        <v>691804389.54479265</v>
      </c>
      <c r="AF126" s="12">
        <v>-9231078.9447926693</v>
      </c>
      <c r="AG126" s="13">
        <v>-1.3523937724254566E-2</v>
      </c>
      <c r="AH126" s="35">
        <v>8731.4371145101995</v>
      </c>
      <c r="AI126" s="35"/>
      <c r="AJ126" s="35"/>
      <c r="AK126" s="35"/>
      <c r="AQ126" s="26">
        <v>52</v>
      </c>
      <c r="AR126" s="35">
        <v>545</v>
      </c>
      <c r="AS126" s="35">
        <v>5231000</v>
      </c>
      <c r="AT126" s="16">
        <v>366170.00000000006</v>
      </c>
      <c r="AU126" s="280">
        <v>0</v>
      </c>
      <c r="AV126" s="35">
        <v>0</v>
      </c>
      <c r="AW126" s="35">
        <v>366170.00000000006</v>
      </c>
      <c r="AX126" s="35">
        <v>0</v>
      </c>
      <c r="AY126" s="35">
        <v>0</v>
      </c>
      <c r="AZ126" s="35">
        <v>366170.00000000006</v>
      </c>
      <c r="BA126" s="13">
        <v>1</v>
      </c>
      <c r="BO126" s="26" t="s">
        <v>198</v>
      </c>
      <c r="BP126" s="123">
        <v>97913</v>
      </c>
      <c r="BQ126" s="123">
        <v>196768780</v>
      </c>
      <c r="BR126" s="123">
        <v>1250000</v>
      </c>
      <c r="BS126" s="123">
        <v>38201652.300000004</v>
      </c>
      <c r="BT126" s="123">
        <v>44221169.900000006</v>
      </c>
      <c r="BU126" s="123">
        <v>280441602.20000005</v>
      </c>
      <c r="BV126" s="123">
        <v>94877800</v>
      </c>
      <c r="BW126" s="123">
        <v>82275000</v>
      </c>
      <c r="BX126" s="123">
        <v>0</v>
      </c>
      <c r="BY126" s="123">
        <v>0</v>
      </c>
      <c r="BZ126" s="123">
        <v>177152800</v>
      </c>
      <c r="CA126" s="123">
        <v>700000</v>
      </c>
      <c r="CB126" s="123">
        <v>78890000</v>
      </c>
      <c r="CC126" s="123">
        <v>0</v>
      </c>
      <c r="CD126" s="123">
        <v>257449800</v>
      </c>
      <c r="CE126" s="123">
        <v>22991802.200000014</v>
      </c>
      <c r="CF126" s="13">
        <v>8.1984277723542442E-2</v>
      </c>
    </row>
    <row r="127" spans="2:84">
      <c r="B127" s="253" t="s">
        <v>199</v>
      </c>
      <c r="C127" s="255">
        <v>156</v>
      </c>
      <c r="D127" s="255">
        <v>3</v>
      </c>
      <c r="E127" s="254">
        <v>2071000</v>
      </c>
      <c r="F127" s="36">
        <v>576150</v>
      </c>
      <c r="G127" s="254">
        <v>0</v>
      </c>
      <c r="H127" s="254">
        <v>380000</v>
      </c>
      <c r="I127" s="255">
        <v>956150</v>
      </c>
      <c r="J127" s="255">
        <v>828000</v>
      </c>
      <c r="K127" s="255">
        <v>2240000</v>
      </c>
      <c r="L127" s="255">
        <v>3068000</v>
      </c>
      <c r="M127" s="255">
        <v>-2111850</v>
      </c>
      <c r="N127" s="256">
        <v>-2.2087015635622027</v>
      </c>
      <c r="O127" s="36">
        <v>13275.641025641025</v>
      </c>
      <c r="P127" s="36">
        <f t="shared" ref="P127" si="122">D127</f>
        <v>3</v>
      </c>
      <c r="Q127" s="36">
        <f t="shared" si="87"/>
        <v>690333.33333333337</v>
      </c>
      <c r="R127" s="36">
        <f t="shared" si="88"/>
        <v>52</v>
      </c>
      <c r="V127" s="26" t="s">
        <v>160</v>
      </c>
      <c r="W127" s="12">
        <v>129700</v>
      </c>
      <c r="X127" s="16">
        <v>1122917020</v>
      </c>
      <c r="Y127" s="16">
        <v>291013931.39999998</v>
      </c>
      <c r="Z127" s="16">
        <v>0</v>
      </c>
      <c r="AA127" s="16">
        <v>57561428.571428567</v>
      </c>
      <c r="AB127" s="12">
        <v>351003931.39999998</v>
      </c>
      <c r="AC127" s="12">
        <v>231799097.85714287</v>
      </c>
      <c r="AD127" s="12">
        <v>104045952.54036868</v>
      </c>
      <c r="AE127" s="12">
        <v>335845050.39751154</v>
      </c>
      <c r="AF127" s="12">
        <v>15158881.002488459</v>
      </c>
      <c r="AG127" s="13">
        <v>4.318721144240853E-2</v>
      </c>
      <c r="AH127" s="35">
        <v>8657.8027756360825</v>
      </c>
      <c r="AI127" s="35"/>
      <c r="AJ127" s="35"/>
      <c r="AK127" s="35"/>
      <c r="AQ127" s="82">
        <v>12026</v>
      </c>
      <c r="AR127" s="37">
        <v>392</v>
      </c>
      <c r="AS127" s="37">
        <v>3767000</v>
      </c>
      <c r="AT127" s="81">
        <v>263690</v>
      </c>
      <c r="AU127" s="283">
        <v>0</v>
      </c>
      <c r="AV127" s="37">
        <v>0</v>
      </c>
      <c r="AW127" s="37">
        <v>263690</v>
      </c>
      <c r="AX127" s="37">
        <v>0</v>
      </c>
      <c r="AY127" s="37">
        <v>0</v>
      </c>
      <c r="AZ127" s="37">
        <v>263690</v>
      </c>
      <c r="BA127" s="244">
        <v>1</v>
      </c>
      <c r="BO127" s="11" t="s">
        <v>167</v>
      </c>
      <c r="BP127" s="123">
        <v>437669</v>
      </c>
      <c r="BQ127" s="123">
        <v>886782630</v>
      </c>
      <c r="BR127" s="123">
        <v>4550000</v>
      </c>
      <c r="BS127" s="123">
        <v>163721367.00000003</v>
      </c>
      <c r="BT127" s="123">
        <v>185730689.18181822</v>
      </c>
      <c r="BU127" s="123">
        <v>1240784686.1818182</v>
      </c>
      <c r="BV127" s="123">
        <v>420777640.90909088</v>
      </c>
      <c r="BW127" s="123">
        <v>329245863.63636363</v>
      </c>
      <c r="BX127" s="123">
        <v>60625000</v>
      </c>
      <c r="BY127" s="123">
        <v>4700000</v>
      </c>
      <c r="BZ127" s="123">
        <v>816948504.5454545</v>
      </c>
      <c r="CA127" s="123">
        <v>5553181.8181818184</v>
      </c>
      <c r="CB127" s="123">
        <v>350801818.18181819</v>
      </c>
      <c r="CC127" s="123">
        <v>0</v>
      </c>
      <c r="CD127" s="123">
        <v>1176180328.909091</v>
      </c>
      <c r="CE127" s="123">
        <v>64604357.272727326</v>
      </c>
      <c r="CF127" s="13">
        <v>5.2067339315356884E-2</v>
      </c>
    </row>
    <row r="128" spans="2:84">
      <c r="B128" s="296" t="s">
        <v>29</v>
      </c>
      <c r="C128" s="297">
        <v>6202</v>
      </c>
      <c r="D128" s="297">
        <v>9</v>
      </c>
      <c r="E128" s="126">
        <v>56097700</v>
      </c>
      <c r="F128" s="38">
        <v>15564140</v>
      </c>
      <c r="G128" s="126">
        <v>2275000</v>
      </c>
      <c r="H128" s="126">
        <v>5220000</v>
      </c>
      <c r="I128" s="297">
        <v>23059140</v>
      </c>
      <c r="J128" s="297">
        <v>16547900</v>
      </c>
      <c r="K128" s="297">
        <v>21474000</v>
      </c>
      <c r="L128" s="297">
        <v>38021900</v>
      </c>
      <c r="M128" s="297">
        <v>-14962760</v>
      </c>
      <c r="N128" s="298">
        <v>-0.64888629844825085</v>
      </c>
      <c r="O128" s="38">
        <v>9045.0983553692349</v>
      </c>
      <c r="P128" s="175">
        <f t="shared" ref="P128:P135" si="123">D128</f>
        <v>9</v>
      </c>
      <c r="Q128" s="175">
        <f t="shared" si="87"/>
        <v>6233077.777777778</v>
      </c>
      <c r="R128" s="175">
        <f t="shared" si="88"/>
        <v>689.11111111111109</v>
      </c>
      <c r="V128" s="290" t="s">
        <v>176</v>
      </c>
      <c r="W128" s="264">
        <v>2142</v>
      </c>
      <c r="X128" s="79">
        <v>20870000</v>
      </c>
      <c r="Y128" s="79">
        <v>1460900</v>
      </c>
      <c r="Z128" s="79">
        <v>0</v>
      </c>
      <c r="AA128" s="79">
        <v>0</v>
      </c>
      <c r="AB128" s="264">
        <v>1460900</v>
      </c>
      <c r="AC128" s="264">
        <v>0</v>
      </c>
      <c r="AD128" s="264">
        <v>0</v>
      </c>
      <c r="AE128" s="264">
        <v>0</v>
      </c>
      <c r="AF128" s="264">
        <v>1460900</v>
      </c>
      <c r="AG128" s="80">
        <v>1</v>
      </c>
      <c r="AH128" s="134">
        <v>9743.2306255835665</v>
      </c>
      <c r="AI128" s="35"/>
      <c r="AJ128" s="35"/>
      <c r="AK128" s="35"/>
      <c r="AQ128" s="82">
        <v>22026</v>
      </c>
      <c r="AR128" s="37">
        <v>374</v>
      </c>
      <c r="AS128" s="37">
        <v>3570000</v>
      </c>
      <c r="AT128" s="81">
        <v>249900.00000000003</v>
      </c>
      <c r="AU128" s="283">
        <v>0</v>
      </c>
      <c r="AV128" s="37">
        <v>0</v>
      </c>
      <c r="AW128" s="37">
        <v>249900.00000000003</v>
      </c>
      <c r="AX128" s="37">
        <v>0</v>
      </c>
      <c r="AY128" s="37">
        <v>0</v>
      </c>
      <c r="AZ128" s="37">
        <v>249900.00000000003</v>
      </c>
      <c r="BA128" s="244">
        <v>1</v>
      </c>
    </row>
    <row r="129" spans="2:53">
      <c r="B129" s="301" t="s">
        <v>175</v>
      </c>
      <c r="C129" s="302">
        <v>5169</v>
      </c>
      <c r="D129" s="302">
        <v>12</v>
      </c>
      <c r="E129" s="303">
        <v>38272000</v>
      </c>
      <c r="F129" s="169">
        <v>11098880</v>
      </c>
      <c r="G129" s="303">
        <v>0</v>
      </c>
      <c r="H129" s="303">
        <v>3940000</v>
      </c>
      <c r="I129" s="302">
        <v>15038880</v>
      </c>
      <c r="J129" s="302">
        <v>12161000</v>
      </c>
      <c r="K129" s="302">
        <v>15050000</v>
      </c>
      <c r="L129" s="302">
        <v>27211000</v>
      </c>
      <c r="M129" s="302">
        <v>-12172120</v>
      </c>
      <c r="N129" s="304">
        <v>-0.80937676209930531</v>
      </c>
      <c r="O129" s="169">
        <v>7404.1400657767463</v>
      </c>
      <c r="P129" s="134">
        <f t="shared" si="123"/>
        <v>12</v>
      </c>
      <c r="Q129" s="134">
        <f t="shared" si="87"/>
        <v>3189333.3333333335</v>
      </c>
      <c r="R129" s="134">
        <f t="shared" si="88"/>
        <v>430.75</v>
      </c>
      <c r="V129" s="26" t="s">
        <v>21</v>
      </c>
      <c r="W129" s="12">
        <v>1441</v>
      </c>
      <c r="X129" s="16">
        <v>13811000</v>
      </c>
      <c r="Y129" s="16">
        <v>966770.00000000012</v>
      </c>
      <c r="Z129" s="16">
        <v>0</v>
      </c>
      <c r="AA129" s="16">
        <v>0</v>
      </c>
      <c r="AB129" s="12">
        <v>966770.00000000012</v>
      </c>
      <c r="AC129" s="12">
        <v>0</v>
      </c>
      <c r="AD129" s="12">
        <v>0</v>
      </c>
      <c r="AE129" s="12">
        <v>0</v>
      </c>
      <c r="AF129" s="12">
        <v>966770.00000000012</v>
      </c>
      <c r="AG129" s="13">
        <v>1</v>
      </c>
      <c r="AH129" s="35">
        <v>9584.3164469118674</v>
      </c>
      <c r="AI129" s="35"/>
      <c r="AJ129" s="35"/>
      <c r="AK129" s="35"/>
      <c r="AQ129" s="26" t="s">
        <v>180</v>
      </c>
      <c r="AR129" s="35">
        <v>0</v>
      </c>
      <c r="AS129" s="35">
        <v>0</v>
      </c>
      <c r="AT129" s="16">
        <v>0</v>
      </c>
      <c r="AU129" s="280">
        <v>0</v>
      </c>
      <c r="AV129" s="35">
        <v>0</v>
      </c>
      <c r="AW129" s="35">
        <v>0</v>
      </c>
      <c r="AX129" s="35">
        <v>0</v>
      </c>
      <c r="AY129" s="35">
        <v>0</v>
      </c>
      <c r="AZ129" s="35">
        <v>0</v>
      </c>
      <c r="BA129" s="13">
        <v>0</v>
      </c>
    </row>
    <row r="130" spans="2:53">
      <c r="B130" s="301" t="s">
        <v>200</v>
      </c>
      <c r="C130" s="302">
        <v>525</v>
      </c>
      <c r="D130" s="302">
        <v>2</v>
      </c>
      <c r="E130" s="303">
        <v>5491000</v>
      </c>
      <c r="F130" s="169">
        <v>1921850</v>
      </c>
      <c r="G130" s="303">
        <v>0</v>
      </c>
      <c r="H130" s="303">
        <v>580000</v>
      </c>
      <c r="I130" s="302">
        <v>2501850</v>
      </c>
      <c r="J130" s="302">
        <v>1825000</v>
      </c>
      <c r="K130" s="302">
        <v>2429600</v>
      </c>
      <c r="L130" s="302">
        <v>4254600</v>
      </c>
      <c r="M130" s="302">
        <v>-1752750</v>
      </c>
      <c r="N130" s="304">
        <v>-0.70058156963846752</v>
      </c>
      <c r="O130" s="169">
        <v>10459.047619047618</v>
      </c>
      <c r="P130" s="38">
        <f t="shared" si="123"/>
        <v>2</v>
      </c>
      <c r="Q130" s="38">
        <f t="shared" si="87"/>
        <v>2745500</v>
      </c>
      <c r="R130" s="38">
        <f t="shared" si="88"/>
        <v>262.5</v>
      </c>
      <c r="V130" s="26" t="s">
        <v>158</v>
      </c>
      <c r="W130" s="12">
        <v>701</v>
      </c>
      <c r="X130" s="16">
        <v>7059000</v>
      </c>
      <c r="Y130" s="16">
        <v>494130</v>
      </c>
      <c r="Z130" s="16">
        <v>0</v>
      </c>
      <c r="AA130" s="16">
        <v>0</v>
      </c>
      <c r="AB130" s="12">
        <v>494130</v>
      </c>
      <c r="AC130" s="12">
        <v>0</v>
      </c>
      <c r="AD130" s="12">
        <v>0</v>
      </c>
      <c r="AE130" s="12">
        <v>0</v>
      </c>
      <c r="AF130" s="12">
        <v>494130</v>
      </c>
      <c r="AG130" s="13">
        <v>1</v>
      </c>
      <c r="AH130" s="35">
        <v>10069.900142653352</v>
      </c>
      <c r="AI130" s="35"/>
      <c r="AJ130" s="35"/>
      <c r="AK130" s="35"/>
      <c r="AQ130" s="26" t="s">
        <v>181</v>
      </c>
      <c r="AR130" s="35">
        <v>0</v>
      </c>
      <c r="AS130" s="35">
        <v>0</v>
      </c>
      <c r="AT130" s="16">
        <v>0</v>
      </c>
      <c r="AU130" s="280">
        <v>0</v>
      </c>
      <c r="AV130" s="35">
        <v>0</v>
      </c>
      <c r="AW130" s="35">
        <v>0</v>
      </c>
      <c r="AX130" s="35">
        <v>0</v>
      </c>
      <c r="AY130" s="35">
        <v>0</v>
      </c>
      <c r="AZ130" s="35">
        <v>0</v>
      </c>
      <c r="BA130" s="13">
        <v>0</v>
      </c>
    </row>
    <row r="131" spans="2:53">
      <c r="B131" s="301" t="s">
        <v>201</v>
      </c>
      <c r="C131" s="302">
        <v>1810</v>
      </c>
      <c r="D131" s="302">
        <v>5</v>
      </c>
      <c r="E131" s="303">
        <v>20532000</v>
      </c>
      <c r="F131" s="169">
        <v>6159600</v>
      </c>
      <c r="G131" s="303">
        <v>0</v>
      </c>
      <c r="H131" s="303">
        <v>1750000</v>
      </c>
      <c r="I131" s="302">
        <v>7909600</v>
      </c>
      <c r="J131" s="302">
        <v>5460000</v>
      </c>
      <c r="K131" s="302">
        <v>8234800</v>
      </c>
      <c r="L131" s="302">
        <v>13694800</v>
      </c>
      <c r="M131" s="302">
        <v>-5785200</v>
      </c>
      <c r="N131" s="304">
        <v>-0.73141498937999394</v>
      </c>
      <c r="O131" s="169">
        <v>11343.646408839779</v>
      </c>
      <c r="P131" s="35">
        <f t="shared" si="123"/>
        <v>5</v>
      </c>
      <c r="Q131" s="35">
        <f t="shared" si="87"/>
        <v>4106400</v>
      </c>
      <c r="R131" s="35">
        <f t="shared" si="88"/>
        <v>362</v>
      </c>
      <c r="V131" s="296" t="s">
        <v>202</v>
      </c>
      <c r="W131" s="297">
        <v>512</v>
      </c>
      <c r="X131" s="126">
        <v>4855000</v>
      </c>
      <c r="Y131" s="126">
        <v>485500</v>
      </c>
      <c r="Z131" s="126">
        <v>0</v>
      </c>
      <c r="AA131" s="126">
        <v>0</v>
      </c>
      <c r="AB131" s="297">
        <v>485500</v>
      </c>
      <c r="AC131" s="297">
        <v>0</v>
      </c>
      <c r="AD131" s="297">
        <v>1600000</v>
      </c>
      <c r="AE131" s="297">
        <v>1600000</v>
      </c>
      <c r="AF131" s="297">
        <v>-1114500</v>
      </c>
      <c r="AG131" s="298">
        <v>-2.2955715756951598</v>
      </c>
      <c r="AH131" s="38">
        <v>9482.421875</v>
      </c>
      <c r="AI131" s="35"/>
      <c r="AJ131" s="35"/>
      <c r="AK131" s="35"/>
      <c r="AQ131" s="26" t="s">
        <v>182</v>
      </c>
      <c r="AR131" s="35">
        <v>0</v>
      </c>
      <c r="AS131" s="35">
        <v>0</v>
      </c>
      <c r="AT131" s="16">
        <v>0</v>
      </c>
      <c r="AU131" s="280">
        <v>0</v>
      </c>
      <c r="AV131" s="35">
        <v>0</v>
      </c>
      <c r="AW131" s="35">
        <v>0</v>
      </c>
      <c r="AX131" s="35">
        <v>0</v>
      </c>
      <c r="AY131" s="35">
        <v>0</v>
      </c>
      <c r="AZ131" s="35">
        <v>0</v>
      </c>
      <c r="BA131" s="13">
        <v>0</v>
      </c>
    </row>
    <row r="132" spans="2:53">
      <c r="B132" s="290" t="s">
        <v>176</v>
      </c>
      <c r="C132" s="264">
        <v>26311</v>
      </c>
      <c r="D132" s="264">
        <v>16</v>
      </c>
      <c r="E132" s="79">
        <v>252138000</v>
      </c>
      <c r="F132" s="134">
        <v>22971810</v>
      </c>
      <c r="G132" s="79">
        <v>0</v>
      </c>
      <c r="H132" s="79">
        <v>4375000</v>
      </c>
      <c r="I132" s="264">
        <v>27346810</v>
      </c>
      <c r="J132" s="264">
        <v>6053800</v>
      </c>
      <c r="K132" s="264">
        <v>8901447.8229956143</v>
      </c>
      <c r="L132" s="264">
        <v>14955247.822995614</v>
      </c>
      <c r="M132" s="264">
        <v>12391562.177004386</v>
      </c>
      <c r="N132" s="80">
        <v>0.45312642231413408</v>
      </c>
      <c r="O132" s="134">
        <v>9582.9881038348976</v>
      </c>
      <c r="P132" s="35">
        <f t="shared" si="123"/>
        <v>16</v>
      </c>
      <c r="Q132" s="35">
        <f t="shared" si="87"/>
        <v>15758625</v>
      </c>
      <c r="R132" s="35">
        <f t="shared" si="88"/>
        <v>1644.4375</v>
      </c>
      <c r="V132" s="26" t="s">
        <v>21</v>
      </c>
      <c r="W132" s="12">
        <v>446</v>
      </c>
      <c r="X132" s="16">
        <v>4228000</v>
      </c>
      <c r="Y132" s="16">
        <v>422800</v>
      </c>
      <c r="Z132" s="16">
        <v>0</v>
      </c>
      <c r="AA132" s="16">
        <v>0</v>
      </c>
      <c r="AB132" s="12">
        <v>422800</v>
      </c>
      <c r="AC132" s="12">
        <v>0</v>
      </c>
      <c r="AD132" s="12">
        <v>1600000</v>
      </c>
      <c r="AE132" s="12">
        <v>1600000</v>
      </c>
      <c r="AF132" s="12">
        <v>-1177200</v>
      </c>
      <c r="AG132" s="13">
        <v>-2.7842951750236518</v>
      </c>
      <c r="AH132" s="35">
        <v>9479.8206278026901</v>
      </c>
      <c r="AI132" s="35"/>
      <c r="AJ132" s="35"/>
      <c r="AK132" s="35"/>
      <c r="AQ132" s="11" t="s">
        <v>177</v>
      </c>
      <c r="AR132" s="35">
        <v>5318</v>
      </c>
      <c r="AS132" s="35">
        <v>58883000</v>
      </c>
      <c r="AT132" s="16">
        <v>17664900</v>
      </c>
      <c r="AU132" s="280">
        <v>0</v>
      </c>
      <c r="AV132" s="35">
        <v>7400000</v>
      </c>
      <c r="AW132" s="35">
        <v>25089900</v>
      </c>
      <c r="AX132" s="35">
        <v>9615000</v>
      </c>
      <c r="AY132" s="35">
        <v>25177403.333333336</v>
      </c>
      <c r="AZ132" s="35">
        <v>-87503.333333333838</v>
      </c>
      <c r="BA132" s="13">
        <v>-3.4875919526715466E-3</v>
      </c>
    </row>
    <row r="133" spans="2:53">
      <c r="B133" s="26">
        <v>24</v>
      </c>
      <c r="C133" s="12">
        <v>774</v>
      </c>
      <c r="D133" s="12">
        <v>9</v>
      </c>
      <c r="E133" s="35">
        <v>7320000</v>
      </c>
      <c r="F133" s="35">
        <v>2196000</v>
      </c>
      <c r="G133" s="16">
        <v>0</v>
      </c>
      <c r="H133" s="16">
        <v>390000</v>
      </c>
      <c r="I133" s="35">
        <v>2586000</v>
      </c>
      <c r="J133" s="35">
        <v>1624000</v>
      </c>
      <c r="K133" s="35">
        <v>1365000</v>
      </c>
      <c r="L133" s="12">
        <v>2989000</v>
      </c>
      <c r="M133" s="35">
        <v>-403000</v>
      </c>
      <c r="N133" s="13">
        <v>-0.15583913379737047</v>
      </c>
      <c r="O133" s="35">
        <v>9457.364341085271</v>
      </c>
      <c r="P133" s="35">
        <f t="shared" si="123"/>
        <v>9</v>
      </c>
      <c r="Q133" s="35">
        <f t="shared" si="87"/>
        <v>813333.33333333337</v>
      </c>
      <c r="R133" s="35">
        <f t="shared" si="88"/>
        <v>86</v>
      </c>
      <c r="V133" s="26" t="s">
        <v>158</v>
      </c>
      <c r="W133" s="12">
        <v>66</v>
      </c>
      <c r="X133" s="16">
        <v>627000</v>
      </c>
      <c r="Y133" s="16">
        <v>62700</v>
      </c>
      <c r="Z133" s="16">
        <v>0</v>
      </c>
      <c r="AA133" s="16">
        <v>0</v>
      </c>
      <c r="AB133" s="12">
        <v>62700</v>
      </c>
      <c r="AC133" s="12">
        <v>0</v>
      </c>
      <c r="AD133" s="12">
        <v>0</v>
      </c>
      <c r="AE133" s="12">
        <v>0</v>
      </c>
      <c r="AF133" s="12">
        <v>62700</v>
      </c>
      <c r="AG133" s="13">
        <v>1</v>
      </c>
      <c r="AH133" s="35">
        <v>9500</v>
      </c>
      <c r="AI133" s="35"/>
      <c r="AJ133" s="35"/>
      <c r="AK133" s="35"/>
      <c r="AQ133" s="26">
        <v>31</v>
      </c>
      <c r="AR133" s="35">
        <v>212</v>
      </c>
      <c r="AS133" s="35">
        <v>2469000</v>
      </c>
      <c r="AT133" s="16">
        <v>740700</v>
      </c>
      <c r="AU133" s="280">
        <v>0</v>
      </c>
      <c r="AV133" s="35">
        <v>175000</v>
      </c>
      <c r="AW133" s="35">
        <v>915700</v>
      </c>
      <c r="AX133" s="35">
        <v>245000</v>
      </c>
      <c r="AY133" s="35">
        <v>543450</v>
      </c>
      <c r="AZ133" s="35">
        <v>372250</v>
      </c>
      <c r="BA133" s="13">
        <v>0.40651960248989844</v>
      </c>
    </row>
    <row r="134" spans="2:53">
      <c r="B134" s="26">
        <v>25</v>
      </c>
      <c r="C134" s="35">
        <v>107</v>
      </c>
      <c r="D134" s="12">
        <v>2</v>
      </c>
      <c r="E134" s="35">
        <v>912000</v>
      </c>
      <c r="F134" s="35">
        <v>228000</v>
      </c>
      <c r="G134" s="16">
        <v>0</v>
      </c>
      <c r="H134" s="16">
        <v>140000</v>
      </c>
      <c r="I134" s="35">
        <v>368000</v>
      </c>
      <c r="J134" s="35">
        <v>307000</v>
      </c>
      <c r="K134" s="35">
        <v>801500</v>
      </c>
      <c r="L134" s="12">
        <v>1108500</v>
      </c>
      <c r="M134" s="35">
        <v>-740500</v>
      </c>
      <c r="N134" s="13">
        <v>-2.0122282608695654</v>
      </c>
      <c r="O134" s="35">
        <v>8523.3644859813085</v>
      </c>
      <c r="P134" s="35">
        <f t="shared" si="123"/>
        <v>2</v>
      </c>
      <c r="Q134" s="35">
        <f t="shared" si="87"/>
        <v>456000</v>
      </c>
      <c r="R134" s="35">
        <f t="shared" si="88"/>
        <v>53.5</v>
      </c>
      <c r="V134" s="11" t="s">
        <v>167</v>
      </c>
      <c r="W134" s="12">
        <v>877043</v>
      </c>
      <c r="X134" s="16">
        <v>7609246879</v>
      </c>
      <c r="Y134" s="16">
        <v>1963648596.0999999</v>
      </c>
      <c r="Z134" s="16">
        <v>0</v>
      </c>
      <c r="AA134" s="16">
        <v>549272142.85714281</v>
      </c>
      <c r="AB134" s="12">
        <v>2532731453.2428575</v>
      </c>
      <c r="AC134" s="12">
        <v>1623943451.4285717</v>
      </c>
      <c r="AD134" s="12">
        <v>960725567.85087562</v>
      </c>
      <c r="AE134" s="12">
        <v>2584669019.2794466</v>
      </c>
      <c r="AF134" s="12">
        <v>-51937566.036589928</v>
      </c>
      <c r="AG134" s="13">
        <v>-2.050654283543963E-2</v>
      </c>
      <c r="AH134" s="35">
        <v>8676.0248687920666</v>
      </c>
      <c r="AI134" s="37"/>
      <c r="AJ134" s="37"/>
      <c r="AK134" s="37"/>
      <c r="AQ134" s="26">
        <v>32</v>
      </c>
      <c r="AR134" s="35">
        <v>241</v>
      </c>
      <c r="AS134" s="35">
        <v>2772000</v>
      </c>
      <c r="AT134" s="16">
        <v>831600</v>
      </c>
      <c r="AU134" s="280">
        <v>0</v>
      </c>
      <c r="AV134" s="35">
        <v>175000</v>
      </c>
      <c r="AW134" s="35">
        <v>1006600</v>
      </c>
      <c r="AX134" s="35">
        <v>245000</v>
      </c>
      <c r="AY134" s="35">
        <v>864920</v>
      </c>
      <c r="AZ134" s="35">
        <v>141680</v>
      </c>
      <c r="BA134" s="13">
        <v>0.1407510431154381</v>
      </c>
    </row>
    <row r="135" spans="2:53">
      <c r="B135" s="26">
        <v>26</v>
      </c>
      <c r="C135" s="12">
        <v>931</v>
      </c>
      <c r="D135" s="12">
        <v>10</v>
      </c>
      <c r="E135" s="16">
        <v>8954000</v>
      </c>
      <c r="F135" s="35">
        <v>2238500</v>
      </c>
      <c r="G135" s="16">
        <v>0</v>
      </c>
      <c r="H135" s="16">
        <v>630000</v>
      </c>
      <c r="I135" s="12">
        <v>2868500</v>
      </c>
      <c r="J135" s="12">
        <v>2106000</v>
      </c>
      <c r="K135" s="12">
        <v>2205000</v>
      </c>
      <c r="L135" s="12">
        <v>4311000</v>
      </c>
      <c r="M135" s="12">
        <v>-1442500</v>
      </c>
      <c r="N135" s="13">
        <v>-0.5028760676311661</v>
      </c>
      <c r="O135" s="35">
        <v>9617.6154672395278</v>
      </c>
      <c r="P135" s="35">
        <f t="shared" si="123"/>
        <v>10</v>
      </c>
      <c r="Q135" s="35">
        <f t="shared" si="87"/>
        <v>895400</v>
      </c>
      <c r="R135" s="35">
        <f t="shared" si="88"/>
        <v>93.1</v>
      </c>
      <c r="AI135" s="35"/>
      <c r="AJ135" s="35"/>
      <c r="AK135" s="35"/>
      <c r="AQ135" s="26">
        <v>33</v>
      </c>
      <c r="AR135" s="35">
        <v>296</v>
      </c>
      <c r="AS135" s="35">
        <v>3318000</v>
      </c>
      <c r="AT135" s="16">
        <v>995400</v>
      </c>
      <c r="AU135" s="280">
        <v>0</v>
      </c>
      <c r="AV135" s="35">
        <v>325000</v>
      </c>
      <c r="AW135" s="35">
        <v>1320400</v>
      </c>
      <c r="AX135" s="35">
        <v>455000</v>
      </c>
      <c r="AY135" s="35">
        <v>1248440</v>
      </c>
      <c r="AZ135" s="35">
        <v>71960</v>
      </c>
      <c r="BA135" s="13">
        <v>5.4498636776734326E-2</v>
      </c>
    </row>
    <row r="136" spans="2:53">
      <c r="B136" s="26">
        <v>27</v>
      </c>
      <c r="C136" s="12">
        <v>672</v>
      </c>
      <c r="D136" s="12">
        <v>9</v>
      </c>
      <c r="E136" s="16">
        <v>6396000</v>
      </c>
      <c r="F136" s="35">
        <v>1599000</v>
      </c>
      <c r="G136" s="16">
        <v>0</v>
      </c>
      <c r="H136" s="16">
        <v>1350000</v>
      </c>
      <c r="I136" s="12">
        <v>2949000</v>
      </c>
      <c r="J136" s="12">
        <v>1294800</v>
      </c>
      <c r="K136" s="12">
        <v>2205000</v>
      </c>
      <c r="L136" s="12">
        <v>3499800</v>
      </c>
      <c r="M136" s="12">
        <v>-550800</v>
      </c>
      <c r="N136" s="13">
        <v>-0.18677517802644963</v>
      </c>
      <c r="O136" s="35">
        <v>9517.8571428571431</v>
      </c>
      <c r="P136" s="35"/>
      <c r="Q136" s="35"/>
      <c r="R136" s="35"/>
      <c r="AI136" s="195"/>
      <c r="AJ136" s="195"/>
      <c r="AK136" s="195"/>
      <c r="AQ136" s="26">
        <v>34</v>
      </c>
      <c r="AR136" s="35">
        <v>291</v>
      </c>
      <c r="AS136" s="35">
        <v>3305000</v>
      </c>
      <c r="AT136" s="16">
        <v>991500</v>
      </c>
      <c r="AU136" s="280">
        <v>0</v>
      </c>
      <c r="AV136" s="35">
        <v>325000</v>
      </c>
      <c r="AW136" s="35">
        <v>1316500</v>
      </c>
      <c r="AX136" s="35">
        <v>455000</v>
      </c>
      <c r="AY136" s="35">
        <v>1209700</v>
      </c>
      <c r="AZ136" s="35">
        <v>106800</v>
      </c>
      <c r="BA136" s="13">
        <v>8.112419293581466E-2</v>
      </c>
    </row>
    <row r="137" spans="2:53">
      <c r="B137" s="26">
        <v>28</v>
      </c>
      <c r="C137" s="12">
        <v>418</v>
      </c>
      <c r="D137" s="12">
        <v>5</v>
      </c>
      <c r="E137" s="16">
        <v>3952000</v>
      </c>
      <c r="F137" s="35">
        <v>988000</v>
      </c>
      <c r="G137" s="16">
        <v>0</v>
      </c>
      <c r="H137" s="16">
        <v>625000</v>
      </c>
      <c r="I137" s="12">
        <v>1613000</v>
      </c>
      <c r="J137" s="12">
        <v>722000</v>
      </c>
      <c r="K137" s="12">
        <v>1225000</v>
      </c>
      <c r="L137" s="12">
        <v>1947000</v>
      </c>
      <c r="M137" s="12">
        <v>-334000</v>
      </c>
      <c r="N137" s="13">
        <v>-0.20706757594544328</v>
      </c>
      <c r="O137" s="35">
        <v>9454.545454545454</v>
      </c>
      <c r="P137" s="35"/>
      <c r="Q137" s="35"/>
      <c r="R137" s="35"/>
      <c r="AI137" s="196"/>
      <c r="AJ137" s="196"/>
      <c r="AK137" s="196"/>
      <c r="AQ137" s="26">
        <v>35</v>
      </c>
      <c r="AR137" s="35">
        <v>287</v>
      </c>
      <c r="AS137" s="35">
        <v>3208000</v>
      </c>
      <c r="AT137" s="16">
        <v>962400</v>
      </c>
      <c r="AU137" s="280">
        <v>0</v>
      </c>
      <c r="AV137" s="35">
        <v>350000</v>
      </c>
      <c r="AW137" s="35">
        <v>1312400</v>
      </c>
      <c r="AX137" s="35">
        <v>455000</v>
      </c>
      <c r="AY137" s="35">
        <v>1208400</v>
      </c>
      <c r="AZ137" s="35">
        <v>104000</v>
      </c>
      <c r="BA137" s="13">
        <v>7.9244132886315141E-2</v>
      </c>
    </row>
    <row r="138" spans="2:53">
      <c r="B138" s="26">
        <v>30</v>
      </c>
      <c r="C138" s="12">
        <v>650</v>
      </c>
      <c r="D138" s="12">
        <v>9</v>
      </c>
      <c r="E138" s="16">
        <v>6190000</v>
      </c>
      <c r="F138" s="35">
        <v>433330</v>
      </c>
      <c r="G138" s="16">
        <v>0</v>
      </c>
      <c r="H138" s="16">
        <v>1240000</v>
      </c>
      <c r="I138" s="12">
        <v>1673330</v>
      </c>
      <c r="J138" s="12">
        <v>0</v>
      </c>
      <c r="K138" s="12">
        <v>1085000</v>
      </c>
      <c r="L138" s="12">
        <v>1085000</v>
      </c>
      <c r="M138" s="12">
        <v>588330</v>
      </c>
      <c r="N138" s="13">
        <v>0.35159233384927063</v>
      </c>
      <c r="O138" s="35">
        <v>9523.0769230769238</v>
      </c>
      <c r="P138" s="35"/>
      <c r="Q138" s="35"/>
      <c r="R138" s="35"/>
      <c r="AI138" s="35"/>
      <c r="AJ138" s="35"/>
      <c r="AK138" s="35"/>
      <c r="AQ138" s="26">
        <v>36</v>
      </c>
      <c r="AR138" s="35">
        <v>197</v>
      </c>
      <c r="AS138" s="35">
        <v>2691000</v>
      </c>
      <c r="AT138" s="16">
        <v>807300</v>
      </c>
      <c r="AU138" s="280">
        <v>0</v>
      </c>
      <c r="AV138" s="35">
        <v>325000</v>
      </c>
      <c r="AW138" s="35">
        <v>1132300</v>
      </c>
      <c r="AX138" s="35">
        <v>420000</v>
      </c>
      <c r="AY138" s="35">
        <v>937560</v>
      </c>
      <c r="AZ138" s="35">
        <v>194740</v>
      </c>
      <c r="BA138" s="13">
        <v>0.1719862227324914</v>
      </c>
    </row>
    <row r="139" spans="2:53">
      <c r="B139" s="26">
        <v>31</v>
      </c>
      <c r="C139" s="12">
        <v>1074</v>
      </c>
      <c r="D139" s="12">
        <v>11</v>
      </c>
      <c r="E139" s="16">
        <v>10260000</v>
      </c>
      <c r="F139" s="35">
        <v>718200.00000000012</v>
      </c>
      <c r="G139" s="16">
        <v>0</v>
      </c>
      <c r="H139" s="16">
        <v>0</v>
      </c>
      <c r="I139" s="12">
        <v>718200.00000000012</v>
      </c>
      <c r="J139" s="12">
        <v>0</v>
      </c>
      <c r="K139" s="12">
        <v>0</v>
      </c>
      <c r="L139" s="12">
        <v>0</v>
      </c>
      <c r="M139" s="12">
        <v>718200.00000000012</v>
      </c>
      <c r="N139" s="13">
        <v>1</v>
      </c>
      <c r="O139" s="35">
        <v>9553.0726256983235</v>
      </c>
      <c r="P139" s="35">
        <f t="shared" ref="P139:P142" si="124">D139</f>
        <v>11</v>
      </c>
      <c r="Q139" s="35">
        <f t="shared" ref="Q139:Q142" si="125">E139/P139</f>
        <v>932727.27272727271</v>
      </c>
      <c r="R139" s="35">
        <f t="shared" ref="R139:R142" si="126">C139/P139</f>
        <v>97.63636363636364</v>
      </c>
      <c r="AI139" s="35"/>
      <c r="AJ139" s="35"/>
      <c r="AK139" s="35"/>
      <c r="AQ139" s="26">
        <v>37</v>
      </c>
      <c r="AR139" s="35">
        <v>361</v>
      </c>
      <c r="AS139" s="35">
        <v>3983000</v>
      </c>
      <c r="AT139" s="16">
        <v>1194900</v>
      </c>
      <c r="AU139" s="280">
        <v>0</v>
      </c>
      <c r="AV139" s="35">
        <v>350000</v>
      </c>
      <c r="AW139" s="35">
        <v>1544900</v>
      </c>
      <c r="AX139" s="35">
        <v>490000</v>
      </c>
      <c r="AY139" s="35">
        <v>1383300</v>
      </c>
      <c r="AZ139" s="35">
        <v>161600</v>
      </c>
      <c r="BA139" s="13">
        <v>0.10460223962716034</v>
      </c>
    </row>
    <row r="140" spans="2:53">
      <c r="B140" s="26">
        <v>32</v>
      </c>
      <c r="C140" s="12">
        <v>1058</v>
      </c>
      <c r="D140" s="12">
        <v>13</v>
      </c>
      <c r="E140" s="16">
        <v>9906000</v>
      </c>
      <c r="F140" s="35">
        <v>693420.00000000012</v>
      </c>
      <c r="G140" s="16">
        <v>0</v>
      </c>
      <c r="H140" s="16">
        <v>0</v>
      </c>
      <c r="I140" s="12">
        <v>693420.00000000012</v>
      </c>
      <c r="J140" s="12">
        <v>0</v>
      </c>
      <c r="K140" s="12">
        <v>0</v>
      </c>
      <c r="L140" s="12">
        <v>0</v>
      </c>
      <c r="M140" s="12">
        <v>693420.00000000012</v>
      </c>
      <c r="N140" s="13">
        <v>1</v>
      </c>
      <c r="O140" s="35">
        <v>9362.9489603024576</v>
      </c>
      <c r="P140" s="35">
        <f t="shared" si="124"/>
        <v>13</v>
      </c>
      <c r="Q140" s="35">
        <f t="shared" si="125"/>
        <v>762000</v>
      </c>
      <c r="R140" s="35">
        <f t="shared" si="126"/>
        <v>81.384615384615387</v>
      </c>
      <c r="AI140" s="35"/>
      <c r="AJ140" s="35"/>
      <c r="AK140" s="35"/>
      <c r="AQ140" s="26">
        <v>38</v>
      </c>
      <c r="AR140" s="35">
        <v>418</v>
      </c>
      <c r="AS140" s="35">
        <v>4774000</v>
      </c>
      <c r="AT140" s="16">
        <v>1432200</v>
      </c>
      <c r="AU140" s="280">
        <v>0</v>
      </c>
      <c r="AV140" s="35">
        <v>350000</v>
      </c>
      <c r="AW140" s="35">
        <v>1782200</v>
      </c>
      <c r="AX140" s="35">
        <v>455000</v>
      </c>
      <c r="AY140" s="35">
        <v>1418770</v>
      </c>
      <c r="AZ140" s="35">
        <v>363430</v>
      </c>
      <c r="BA140" s="13">
        <v>0.20392211872965998</v>
      </c>
    </row>
    <row r="141" spans="2:53">
      <c r="B141" s="26">
        <v>33</v>
      </c>
      <c r="C141" s="12">
        <v>1092</v>
      </c>
      <c r="D141" s="12">
        <v>15</v>
      </c>
      <c r="E141" s="16">
        <v>10382000</v>
      </c>
      <c r="F141" s="35">
        <v>726740.00000000012</v>
      </c>
      <c r="G141" s="16">
        <v>0</v>
      </c>
      <c r="H141" s="16">
        <v>0</v>
      </c>
      <c r="I141" s="12">
        <v>726740.00000000012</v>
      </c>
      <c r="J141" s="12">
        <v>0</v>
      </c>
      <c r="K141" s="12">
        <v>0</v>
      </c>
      <c r="L141" s="12">
        <v>0</v>
      </c>
      <c r="M141" s="12">
        <v>726740.00000000012</v>
      </c>
      <c r="N141" s="13">
        <v>1</v>
      </c>
      <c r="O141" s="35">
        <v>9507.326007326008</v>
      </c>
      <c r="P141" s="35">
        <f t="shared" si="124"/>
        <v>15</v>
      </c>
      <c r="Q141" s="35">
        <f t="shared" si="125"/>
        <v>692133.33333333337</v>
      </c>
      <c r="R141" s="35">
        <f t="shared" si="126"/>
        <v>72.8</v>
      </c>
      <c r="AI141" s="35"/>
      <c r="AJ141" s="35"/>
      <c r="AK141" s="35"/>
      <c r="AQ141" s="26">
        <v>39</v>
      </c>
      <c r="AR141" s="35">
        <v>327</v>
      </c>
      <c r="AS141" s="35">
        <v>3663000</v>
      </c>
      <c r="AT141" s="16">
        <v>1098900</v>
      </c>
      <c r="AU141" s="280">
        <v>0</v>
      </c>
      <c r="AV141" s="35">
        <v>350000</v>
      </c>
      <c r="AW141" s="35">
        <v>1448900</v>
      </c>
      <c r="AX141" s="35">
        <v>490000</v>
      </c>
      <c r="AY141" s="35">
        <v>1309870</v>
      </c>
      <c r="AZ141" s="35">
        <v>139030</v>
      </c>
      <c r="BA141" s="13">
        <v>9.5955552488094412E-2</v>
      </c>
    </row>
    <row r="142" spans="2:53">
      <c r="B142" s="26">
        <v>34</v>
      </c>
      <c r="C142" s="12">
        <v>1005</v>
      </c>
      <c r="D142" s="12">
        <v>13</v>
      </c>
      <c r="E142" s="16">
        <v>9666000</v>
      </c>
      <c r="F142" s="35">
        <v>676620.00000000012</v>
      </c>
      <c r="G142" s="16">
        <v>0</v>
      </c>
      <c r="H142" s="16">
        <v>0</v>
      </c>
      <c r="I142" s="12">
        <v>676620.00000000012</v>
      </c>
      <c r="J142" s="12">
        <v>0</v>
      </c>
      <c r="K142" s="12">
        <v>0</v>
      </c>
      <c r="L142" s="12">
        <v>0</v>
      </c>
      <c r="M142" s="12">
        <v>676620.00000000012</v>
      </c>
      <c r="N142" s="13">
        <v>1</v>
      </c>
      <c r="O142" s="35">
        <v>9617.9104477611945</v>
      </c>
      <c r="P142" s="35">
        <f t="shared" si="124"/>
        <v>13</v>
      </c>
      <c r="Q142" s="35">
        <f t="shared" si="125"/>
        <v>743538.4615384615</v>
      </c>
      <c r="R142" s="35">
        <f t="shared" si="126"/>
        <v>77.307692307692307</v>
      </c>
      <c r="AI142" s="35"/>
      <c r="AJ142" s="35"/>
      <c r="AK142" s="35"/>
      <c r="AQ142" s="26">
        <v>40</v>
      </c>
      <c r="AR142" s="35">
        <v>362</v>
      </c>
      <c r="AS142" s="35">
        <v>3915000</v>
      </c>
      <c r="AT142" s="16">
        <v>1174500</v>
      </c>
      <c r="AU142" s="280">
        <v>0</v>
      </c>
      <c r="AV142" s="35">
        <v>500000</v>
      </c>
      <c r="AW142" s="35">
        <v>1674500</v>
      </c>
      <c r="AX142" s="35">
        <v>480000</v>
      </c>
      <c r="AY142" s="35">
        <v>1123800</v>
      </c>
      <c r="AZ142" s="35">
        <v>550700</v>
      </c>
      <c r="BA142" s="13">
        <v>0.3288742908330845</v>
      </c>
    </row>
    <row r="143" spans="2:53">
      <c r="B143" s="26">
        <v>35</v>
      </c>
      <c r="C143" s="12">
        <v>1408</v>
      </c>
      <c r="D143" s="12">
        <v>13</v>
      </c>
      <c r="E143" s="16">
        <v>13350000</v>
      </c>
      <c r="F143" s="35">
        <v>934500.00000000012</v>
      </c>
      <c r="G143" s="16">
        <v>0</v>
      </c>
      <c r="H143" s="16">
        <v>0</v>
      </c>
      <c r="I143" s="12">
        <v>934500.00000000012</v>
      </c>
      <c r="J143" s="12">
        <v>0</v>
      </c>
      <c r="K143" s="12">
        <v>14947.822995614701</v>
      </c>
      <c r="L143" s="12">
        <v>14947.822995614701</v>
      </c>
      <c r="M143" s="12">
        <v>919552.17700438539</v>
      </c>
      <c r="N143" s="13">
        <v>0.98400446977462308</v>
      </c>
      <c r="O143" s="35">
        <v>9481.5340909090901</v>
      </c>
      <c r="P143" s="35">
        <f>D143</f>
        <v>13</v>
      </c>
      <c r="Q143" s="35">
        <f>E143/P143</f>
        <v>1026923.0769230769</v>
      </c>
      <c r="R143" s="35">
        <f>C143/P143</f>
        <v>108.30769230769231</v>
      </c>
      <c r="AI143" s="37"/>
      <c r="AJ143" s="37"/>
      <c r="AK143" s="37"/>
      <c r="AQ143" s="26">
        <v>41</v>
      </c>
      <c r="AR143" s="35">
        <v>547</v>
      </c>
      <c r="AS143" s="35">
        <v>5917000</v>
      </c>
      <c r="AT143" s="16">
        <v>1775100</v>
      </c>
      <c r="AU143" s="280">
        <v>0</v>
      </c>
      <c r="AV143" s="35">
        <v>800000</v>
      </c>
      <c r="AW143" s="35">
        <v>2600100</v>
      </c>
      <c r="AX143" s="35">
        <v>1050000</v>
      </c>
      <c r="AY143" s="35">
        <v>2309510</v>
      </c>
      <c r="AZ143" s="35">
        <v>290590</v>
      </c>
      <c r="BA143" s="13">
        <v>0.11176108611207261</v>
      </c>
    </row>
    <row r="144" spans="2:53">
      <c r="B144" s="26">
        <v>36</v>
      </c>
      <c r="C144" s="12">
        <v>1154</v>
      </c>
      <c r="D144" s="12">
        <v>16</v>
      </c>
      <c r="E144" s="16">
        <v>11041000</v>
      </c>
      <c r="F144" s="35">
        <v>772870.00000000012</v>
      </c>
      <c r="G144" s="16">
        <v>0</v>
      </c>
      <c r="H144" s="16">
        <v>0</v>
      </c>
      <c r="I144" s="12">
        <v>772870.00000000012</v>
      </c>
      <c r="J144" s="12">
        <v>0</v>
      </c>
      <c r="K144" s="12">
        <v>0</v>
      </c>
      <c r="L144" s="12">
        <v>0</v>
      </c>
      <c r="M144" s="12">
        <v>772870.00000000012</v>
      </c>
      <c r="N144" s="13">
        <v>1</v>
      </c>
      <c r="O144" s="35">
        <v>9567.5909878682851</v>
      </c>
      <c r="P144" s="35">
        <f t="shared" ref="P144" si="127">D144</f>
        <v>16</v>
      </c>
      <c r="Q144" s="35">
        <f t="shared" ref="Q144" si="128">E144/P144</f>
        <v>690062.5</v>
      </c>
      <c r="R144" s="35">
        <f t="shared" ref="R144" si="129">C144/P144</f>
        <v>72.125</v>
      </c>
      <c r="AI144" s="35"/>
      <c r="AJ144" s="35"/>
      <c r="AK144" s="35"/>
      <c r="AQ144" s="26">
        <v>42</v>
      </c>
      <c r="AR144" s="35">
        <v>408</v>
      </c>
      <c r="AS144" s="35">
        <v>4209000</v>
      </c>
      <c r="AT144" s="16">
        <v>1262700</v>
      </c>
      <c r="AU144" s="280">
        <v>0</v>
      </c>
      <c r="AV144" s="35">
        <v>700000</v>
      </c>
      <c r="AW144" s="35">
        <v>1962700</v>
      </c>
      <c r="AX144" s="35">
        <v>910000</v>
      </c>
      <c r="AY144" s="35">
        <v>2020450</v>
      </c>
      <c r="AZ144" s="35">
        <v>-57750</v>
      </c>
      <c r="BA144" s="13">
        <v>-2.942375299332552E-2</v>
      </c>
    </row>
    <row r="145" spans="2:53">
      <c r="B145" s="26">
        <v>37</v>
      </c>
      <c r="C145" s="12">
        <v>1067</v>
      </c>
      <c r="D145" s="12">
        <v>14</v>
      </c>
      <c r="E145" s="16">
        <v>10313000</v>
      </c>
      <c r="F145" s="35">
        <v>721910.00000000012</v>
      </c>
      <c r="G145" s="16"/>
      <c r="H145" s="16"/>
      <c r="I145" s="12">
        <v>721910.00000000012</v>
      </c>
      <c r="J145" s="12">
        <v>0</v>
      </c>
      <c r="K145" s="12">
        <v>0</v>
      </c>
      <c r="L145" s="12">
        <v>0</v>
      </c>
      <c r="M145" s="12">
        <v>721910.00000000012</v>
      </c>
      <c r="N145" s="13">
        <v>1</v>
      </c>
      <c r="O145" s="35">
        <v>9665.4170571696341</v>
      </c>
      <c r="P145" s="85">
        <f t="shared" ref="P145:P155" si="130">D145</f>
        <v>14</v>
      </c>
      <c r="Q145" s="85">
        <f t="shared" ref="Q145:Q155" si="131">E145/P145</f>
        <v>736642.85714285716</v>
      </c>
      <c r="R145" s="85">
        <f t="shared" ref="R145:R155" si="132">C145/P145</f>
        <v>76.214285714285708</v>
      </c>
      <c r="AI145" s="194"/>
      <c r="AJ145" s="194"/>
      <c r="AK145" s="194"/>
      <c r="AQ145" s="26">
        <v>43</v>
      </c>
      <c r="AR145" s="35">
        <v>225</v>
      </c>
      <c r="AS145" s="35">
        <v>2411000</v>
      </c>
      <c r="AT145" s="16">
        <v>723300</v>
      </c>
      <c r="AU145" s="280">
        <v>0</v>
      </c>
      <c r="AV145" s="35">
        <v>475000</v>
      </c>
      <c r="AW145" s="35">
        <v>1198300</v>
      </c>
      <c r="AX145" s="35">
        <v>665000</v>
      </c>
      <c r="AY145" s="35">
        <v>1610550</v>
      </c>
      <c r="AZ145" s="35">
        <v>-412250</v>
      </c>
      <c r="BA145" s="13">
        <v>-0.34402904114161731</v>
      </c>
    </row>
    <row r="146" spans="2:53">
      <c r="B146" s="26">
        <v>38</v>
      </c>
      <c r="C146" s="12">
        <v>952</v>
      </c>
      <c r="D146" s="12">
        <v>13</v>
      </c>
      <c r="E146" s="16">
        <v>9238000</v>
      </c>
      <c r="F146" s="35">
        <v>646660.00000000012</v>
      </c>
      <c r="G146" s="16">
        <v>0</v>
      </c>
      <c r="H146" s="16">
        <v>0</v>
      </c>
      <c r="I146" s="12">
        <v>646660.00000000012</v>
      </c>
      <c r="J146" s="12">
        <v>0</v>
      </c>
      <c r="K146" s="12">
        <v>0</v>
      </c>
      <c r="L146" s="12">
        <v>0</v>
      </c>
      <c r="M146" s="12">
        <v>646660.00000000012</v>
      </c>
      <c r="N146" s="13">
        <v>1</v>
      </c>
      <c r="O146" s="35">
        <v>9703.7815126050427</v>
      </c>
      <c r="P146" s="85">
        <f t="shared" si="130"/>
        <v>13</v>
      </c>
      <c r="Q146" s="85">
        <f t="shared" si="131"/>
        <v>710615.38461538462</v>
      </c>
      <c r="R146" s="85">
        <f t="shared" si="132"/>
        <v>73.230769230769226</v>
      </c>
      <c r="AI146" s="197"/>
      <c r="AJ146" s="197"/>
      <c r="AK146" s="197"/>
      <c r="AQ146" s="26">
        <v>44</v>
      </c>
      <c r="AR146" s="35">
        <v>267</v>
      </c>
      <c r="AS146" s="35">
        <v>2828000</v>
      </c>
      <c r="AT146" s="16">
        <v>848400</v>
      </c>
      <c r="AU146" s="280">
        <v>0</v>
      </c>
      <c r="AV146" s="35">
        <v>350000</v>
      </c>
      <c r="AW146" s="35">
        <v>1198400</v>
      </c>
      <c r="AX146" s="35">
        <v>350000</v>
      </c>
      <c r="AY146" s="35">
        <v>1267380</v>
      </c>
      <c r="AZ146" s="35">
        <v>-68980</v>
      </c>
      <c r="BA146" s="13">
        <v>-5.7560080106809082E-2</v>
      </c>
    </row>
    <row r="147" spans="2:53">
      <c r="B147" s="26">
        <v>39</v>
      </c>
      <c r="C147" s="12">
        <v>1103</v>
      </c>
      <c r="D147" s="12">
        <v>11</v>
      </c>
      <c r="E147" s="16">
        <v>10843000</v>
      </c>
      <c r="F147" s="35">
        <v>759010.00000000012</v>
      </c>
      <c r="G147" s="16">
        <v>0</v>
      </c>
      <c r="H147" s="16">
        <v>0</v>
      </c>
      <c r="I147" s="12">
        <v>759010.00000000012</v>
      </c>
      <c r="J147" s="12">
        <v>0</v>
      </c>
      <c r="K147" s="12">
        <v>0</v>
      </c>
      <c r="L147" s="12">
        <v>0</v>
      </c>
      <c r="M147" s="12">
        <v>759010.00000000012</v>
      </c>
      <c r="N147" s="13">
        <v>1</v>
      </c>
      <c r="O147" s="35">
        <v>9830.462375339981</v>
      </c>
      <c r="P147" s="35">
        <f t="shared" si="130"/>
        <v>11</v>
      </c>
      <c r="Q147" s="35">
        <f t="shared" si="131"/>
        <v>985727.27272727271</v>
      </c>
      <c r="R147" s="35">
        <f t="shared" si="132"/>
        <v>100.27272727272727</v>
      </c>
      <c r="AI147" s="35"/>
      <c r="AJ147" s="35"/>
      <c r="AK147" s="35"/>
      <c r="AQ147" s="26">
        <v>45</v>
      </c>
      <c r="AR147" s="35">
        <v>123</v>
      </c>
      <c r="AS147" s="35">
        <v>1377000</v>
      </c>
      <c r="AT147" s="16">
        <v>413100</v>
      </c>
      <c r="AU147" s="280">
        <v>0</v>
      </c>
      <c r="AV147" s="35">
        <v>350000</v>
      </c>
      <c r="AW147" s="35">
        <v>763100</v>
      </c>
      <c r="AX147" s="35">
        <v>350000</v>
      </c>
      <c r="AY147" s="35">
        <v>1018850</v>
      </c>
      <c r="AZ147" s="35">
        <v>-255750</v>
      </c>
      <c r="BA147" s="13">
        <v>-0.33514611453282661</v>
      </c>
    </row>
    <row r="148" spans="2:53">
      <c r="B148" s="26">
        <v>40</v>
      </c>
      <c r="C148" s="12">
        <v>1211</v>
      </c>
      <c r="D148" s="12">
        <v>13</v>
      </c>
      <c r="E148" s="16">
        <v>11867000</v>
      </c>
      <c r="F148" s="35">
        <v>830690</v>
      </c>
      <c r="G148" s="16">
        <v>0</v>
      </c>
      <c r="H148" s="16">
        <v>0</v>
      </c>
      <c r="I148" s="12">
        <v>830690</v>
      </c>
      <c r="J148" s="12">
        <v>0</v>
      </c>
      <c r="K148" s="12">
        <v>0</v>
      </c>
      <c r="L148" s="12">
        <v>0</v>
      </c>
      <c r="M148" s="12">
        <v>830690</v>
      </c>
      <c r="N148" s="13">
        <v>1</v>
      </c>
      <c r="O148" s="35">
        <v>9799.3393889347644</v>
      </c>
      <c r="P148" s="35">
        <f t="shared" si="130"/>
        <v>13</v>
      </c>
      <c r="Q148" s="35">
        <f t="shared" si="131"/>
        <v>912846.15384615387</v>
      </c>
      <c r="R148" s="35">
        <f t="shared" si="132"/>
        <v>93.15384615384616</v>
      </c>
      <c r="AI148" s="35"/>
      <c r="AJ148" s="35"/>
      <c r="AK148" s="35"/>
      <c r="AQ148" s="26">
        <v>46</v>
      </c>
      <c r="AR148" s="35">
        <v>137</v>
      </c>
      <c r="AS148" s="35">
        <v>1429000</v>
      </c>
      <c r="AT148" s="16">
        <v>428700</v>
      </c>
      <c r="AU148" s="280">
        <v>0</v>
      </c>
      <c r="AV148" s="35">
        <v>275000</v>
      </c>
      <c r="AW148" s="35">
        <v>703700</v>
      </c>
      <c r="AX148" s="35">
        <v>385000</v>
      </c>
      <c r="AY148" s="35">
        <v>963133.33333333337</v>
      </c>
      <c r="AZ148" s="35">
        <v>-259433.33333333337</v>
      </c>
      <c r="BA148" s="13">
        <v>-0.3686703614229549</v>
      </c>
    </row>
    <row r="149" spans="2:53">
      <c r="B149" s="26">
        <v>41</v>
      </c>
      <c r="C149" s="12">
        <v>1137</v>
      </c>
      <c r="D149" s="12">
        <v>16</v>
      </c>
      <c r="E149" s="16">
        <v>10712000</v>
      </c>
      <c r="F149" s="35">
        <v>749840.00000000012</v>
      </c>
      <c r="G149" s="16">
        <v>0</v>
      </c>
      <c r="H149" s="16">
        <v>0</v>
      </c>
      <c r="I149" s="12">
        <v>749840.00000000012</v>
      </c>
      <c r="J149" s="12">
        <v>0</v>
      </c>
      <c r="K149" s="12">
        <v>0</v>
      </c>
      <c r="L149" s="12">
        <v>0</v>
      </c>
      <c r="M149" s="12">
        <v>749840.00000000012</v>
      </c>
      <c r="N149" s="13">
        <v>1</v>
      </c>
      <c r="O149" s="35">
        <v>9421.2840809146874</v>
      </c>
      <c r="P149">
        <f t="shared" si="130"/>
        <v>16</v>
      </c>
      <c r="Q149">
        <f t="shared" si="131"/>
        <v>669500</v>
      </c>
      <c r="R149">
        <f t="shared" si="132"/>
        <v>71.0625</v>
      </c>
      <c r="AI149" s="35"/>
      <c r="AJ149" s="35"/>
      <c r="AK149" s="35"/>
      <c r="AQ149" s="26">
        <v>47</v>
      </c>
      <c r="AR149" s="35">
        <v>74</v>
      </c>
      <c r="AS149" s="35">
        <v>774000</v>
      </c>
      <c r="AT149" s="16">
        <v>232200</v>
      </c>
      <c r="AU149" s="280">
        <v>0</v>
      </c>
      <c r="AV149" s="35">
        <v>200000</v>
      </c>
      <c r="AW149" s="35">
        <v>432200</v>
      </c>
      <c r="AX149" s="35">
        <v>280000</v>
      </c>
      <c r="AY149" s="35">
        <v>752033.33333333337</v>
      </c>
      <c r="AZ149" s="35">
        <v>-319833.33333333337</v>
      </c>
      <c r="BA149" s="13">
        <v>-0.74001233996606519</v>
      </c>
    </row>
    <row r="150" spans="2:53">
      <c r="B150" s="26">
        <v>42</v>
      </c>
      <c r="C150" s="12">
        <v>1137</v>
      </c>
      <c r="D150" s="12">
        <v>12</v>
      </c>
      <c r="E150" s="16">
        <v>10731000</v>
      </c>
      <c r="F150" s="35">
        <v>751170.00000000012</v>
      </c>
      <c r="G150" s="16">
        <v>0</v>
      </c>
      <c r="H150" s="16">
        <v>0</v>
      </c>
      <c r="I150" s="12">
        <v>751170.00000000012</v>
      </c>
      <c r="J150" s="12">
        <v>0</v>
      </c>
      <c r="K150" s="12">
        <v>0</v>
      </c>
      <c r="L150" s="12">
        <v>0</v>
      </c>
      <c r="M150" s="12">
        <v>751170.00000000012</v>
      </c>
      <c r="N150" s="13">
        <v>1</v>
      </c>
      <c r="O150" s="35">
        <v>9437.9947229551453</v>
      </c>
      <c r="P150">
        <f t="shared" si="130"/>
        <v>12</v>
      </c>
      <c r="Q150">
        <f t="shared" si="131"/>
        <v>894250</v>
      </c>
      <c r="R150">
        <f t="shared" si="132"/>
        <v>94.75</v>
      </c>
      <c r="AI150" s="35"/>
      <c r="AJ150" s="35"/>
      <c r="AK150" s="35"/>
      <c r="AQ150" s="26">
        <v>48</v>
      </c>
      <c r="AR150" s="35">
        <v>157</v>
      </c>
      <c r="AS150" s="35">
        <v>1715000</v>
      </c>
      <c r="AT150" s="16">
        <v>514500</v>
      </c>
      <c r="AU150" s="280">
        <v>0</v>
      </c>
      <c r="AV150" s="35">
        <v>300000</v>
      </c>
      <c r="AW150" s="35">
        <v>814500</v>
      </c>
      <c r="AX150" s="35">
        <v>420000</v>
      </c>
      <c r="AY150" s="35">
        <v>1039083.3333333334</v>
      </c>
      <c r="AZ150" s="35">
        <v>-224583.33333333337</v>
      </c>
      <c r="BA150" s="13">
        <v>-0.27573153263761002</v>
      </c>
    </row>
    <row r="151" spans="2:53">
      <c r="B151" s="26">
        <v>43</v>
      </c>
      <c r="C151" s="12">
        <v>790</v>
      </c>
      <c r="D151" s="12">
        <v>12</v>
      </c>
      <c r="E151" s="16">
        <v>7494000</v>
      </c>
      <c r="F151" s="35">
        <v>524580</v>
      </c>
      <c r="G151" s="16">
        <v>0</v>
      </c>
      <c r="H151" s="16">
        <v>0</v>
      </c>
      <c r="I151" s="12">
        <v>524580</v>
      </c>
      <c r="J151" s="12">
        <v>0</v>
      </c>
      <c r="K151" s="12">
        <v>0</v>
      </c>
      <c r="L151" s="12">
        <v>0</v>
      </c>
      <c r="M151" s="12">
        <v>524580</v>
      </c>
      <c r="N151" s="13">
        <v>1</v>
      </c>
      <c r="O151" s="35">
        <v>9486.0759493670885</v>
      </c>
      <c r="P151">
        <f t="shared" si="130"/>
        <v>12</v>
      </c>
      <c r="Q151">
        <f t="shared" si="131"/>
        <v>624500</v>
      </c>
      <c r="R151">
        <f t="shared" si="132"/>
        <v>65.833333333333329</v>
      </c>
      <c r="AI151" s="37"/>
      <c r="AJ151" s="37"/>
      <c r="AK151" s="37"/>
      <c r="AQ151" s="26">
        <v>49</v>
      </c>
      <c r="AR151" s="35">
        <v>155</v>
      </c>
      <c r="AS151" s="35">
        <v>1617000</v>
      </c>
      <c r="AT151" s="16">
        <v>485100</v>
      </c>
      <c r="AU151" s="280">
        <v>0</v>
      </c>
      <c r="AV151" s="35">
        <v>250000</v>
      </c>
      <c r="AW151" s="35">
        <v>735100</v>
      </c>
      <c r="AX151" s="35">
        <v>350000</v>
      </c>
      <c r="AY151" s="35">
        <v>986653.33333333337</v>
      </c>
      <c r="AZ151" s="35">
        <v>-251553.33333333337</v>
      </c>
      <c r="BA151" s="13">
        <v>-0.34220287489230494</v>
      </c>
    </row>
    <row r="152" spans="2:53">
      <c r="B152" s="26">
        <v>44</v>
      </c>
      <c r="C152" s="12">
        <v>839</v>
      </c>
      <c r="D152" s="12">
        <v>12</v>
      </c>
      <c r="E152" s="16">
        <v>8080000</v>
      </c>
      <c r="F152" s="35">
        <v>565600</v>
      </c>
      <c r="G152" s="16">
        <v>0</v>
      </c>
      <c r="H152" s="16">
        <v>0</v>
      </c>
      <c r="I152" s="12">
        <v>565600</v>
      </c>
      <c r="J152" s="12">
        <v>0</v>
      </c>
      <c r="K152" s="12">
        <v>0</v>
      </c>
      <c r="L152" s="12">
        <v>0</v>
      </c>
      <c r="M152" s="12">
        <v>565600</v>
      </c>
      <c r="N152" s="13">
        <v>1</v>
      </c>
      <c r="O152" s="35">
        <v>9630.5125148986881</v>
      </c>
      <c r="P152">
        <f t="shared" si="130"/>
        <v>12</v>
      </c>
      <c r="Q152">
        <f t="shared" si="131"/>
        <v>673333.33333333337</v>
      </c>
      <c r="R152">
        <f t="shared" si="132"/>
        <v>69.916666666666671</v>
      </c>
      <c r="AI152" s="35"/>
      <c r="AJ152" s="35"/>
      <c r="AK152" s="35"/>
      <c r="AQ152" s="26">
        <v>50</v>
      </c>
      <c r="AR152" s="35">
        <v>115</v>
      </c>
      <c r="AS152" s="35">
        <v>1235000</v>
      </c>
      <c r="AT152" s="16">
        <v>370500</v>
      </c>
      <c r="AU152" s="280">
        <v>0</v>
      </c>
      <c r="AV152" s="35">
        <v>225000</v>
      </c>
      <c r="AW152" s="35">
        <v>595500</v>
      </c>
      <c r="AX152" s="35">
        <v>315000</v>
      </c>
      <c r="AY152" s="35">
        <v>835083.33333333337</v>
      </c>
      <c r="AZ152" s="35">
        <v>-239583.33333333337</v>
      </c>
      <c r="BA152" s="13">
        <v>-0.40232297788972859</v>
      </c>
    </row>
    <row r="153" spans="2:53">
      <c r="B153" s="26">
        <v>45</v>
      </c>
      <c r="C153" s="12">
        <v>851</v>
      </c>
      <c r="D153" s="12">
        <v>14</v>
      </c>
      <c r="E153" s="16">
        <v>8196000</v>
      </c>
      <c r="F153" s="35">
        <v>573720</v>
      </c>
      <c r="G153" s="16">
        <v>0</v>
      </c>
      <c r="H153" s="16">
        <v>0</v>
      </c>
      <c r="I153" s="12">
        <v>573720</v>
      </c>
      <c r="J153" s="12">
        <v>0</v>
      </c>
      <c r="K153" s="12">
        <v>0</v>
      </c>
      <c r="L153" s="12">
        <v>0</v>
      </c>
      <c r="M153" s="12">
        <v>573720</v>
      </c>
      <c r="N153" s="13">
        <v>1</v>
      </c>
      <c r="O153" s="35">
        <v>9631.0223266744997</v>
      </c>
      <c r="P153">
        <f t="shared" si="130"/>
        <v>14</v>
      </c>
      <c r="Q153">
        <f t="shared" si="131"/>
        <v>585428.57142857148</v>
      </c>
      <c r="R153">
        <f t="shared" si="132"/>
        <v>60.785714285714285</v>
      </c>
      <c r="AI153" s="196"/>
      <c r="AJ153" s="196"/>
      <c r="AK153" s="196"/>
      <c r="AQ153" s="26">
        <v>51</v>
      </c>
      <c r="AR153" s="35">
        <v>110</v>
      </c>
      <c r="AS153" s="35">
        <v>1196000</v>
      </c>
      <c r="AT153" s="16">
        <v>358800</v>
      </c>
      <c r="AU153" s="280">
        <v>0</v>
      </c>
      <c r="AV153" s="35">
        <v>225000</v>
      </c>
      <c r="AW153" s="35">
        <v>583800</v>
      </c>
      <c r="AX153" s="35">
        <v>315000</v>
      </c>
      <c r="AY153" s="35">
        <v>833133.33333333337</v>
      </c>
      <c r="AZ153" s="35">
        <v>-249333.33333333337</v>
      </c>
      <c r="BA153" s="13">
        <v>-0.42708690190704585</v>
      </c>
    </row>
    <row r="154" spans="2:53">
      <c r="B154" s="26">
        <v>46</v>
      </c>
      <c r="C154" s="12">
        <v>656</v>
      </c>
      <c r="D154" s="12">
        <v>10</v>
      </c>
      <c r="E154" s="16">
        <v>6250000</v>
      </c>
      <c r="F154" s="35">
        <v>437500.00000000006</v>
      </c>
      <c r="G154" s="16">
        <v>0</v>
      </c>
      <c r="H154" s="16">
        <v>0</v>
      </c>
      <c r="I154" s="12">
        <v>437500.00000000006</v>
      </c>
      <c r="J154" s="12">
        <v>0</v>
      </c>
      <c r="K154" s="12">
        <v>0</v>
      </c>
      <c r="L154" s="12">
        <v>0</v>
      </c>
      <c r="M154" s="12">
        <v>437500.00000000006</v>
      </c>
      <c r="N154" s="13">
        <v>1</v>
      </c>
      <c r="O154" s="35">
        <v>9527.4390243902435</v>
      </c>
      <c r="P154">
        <f t="shared" si="130"/>
        <v>10</v>
      </c>
      <c r="Q154">
        <f t="shared" si="131"/>
        <v>625000</v>
      </c>
      <c r="R154">
        <f t="shared" si="132"/>
        <v>65.599999999999994</v>
      </c>
      <c r="AI154" s="35"/>
      <c r="AJ154" s="35"/>
      <c r="AK154" s="35"/>
      <c r="AQ154" s="26">
        <v>52</v>
      </c>
      <c r="AR154" s="35">
        <v>8</v>
      </c>
      <c r="AS154" s="35">
        <v>77000</v>
      </c>
      <c r="AT154" s="16">
        <v>23100</v>
      </c>
      <c r="AU154" s="280">
        <v>0</v>
      </c>
      <c r="AV154" s="35">
        <v>25000</v>
      </c>
      <c r="AW154" s="35">
        <v>48100</v>
      </c>
      <c r="AX154" s="35">
        <v>35000</v>
      </c>
      <c r="AY154" s="35">
        <v>293333.33333333337</v>
      </c>
      <c r="AZ154" s="35">
        <v>-245233.33333333337</v>
      </c>
      <c r="BA154" s="13">
        <v>-5.098406098406099</v>
      </c>
    </row>
    <row r="155" spans="2:53">
      <c r="B155" s="26">
        <v>47</v>
      </c>
      <c r="C155" s="12">
        <v>618</v>
      </c>
      <c r="D155" s="12">
        <v>11</v>
      </c>
      <c r="E155" s="16">
        <v>5988000</v>
      </c>
      <c r="F155" s="35">
        <v>419160.00000000006</v>
      </c>
      <c r="G155" s="16">
        <v>0</v>
      </c>
      <c r="H155" s="16">
        <v>0</v>
      </c>
      <c r="I155" s="12">
        <v>419160.00000000006</v>
      </c>
      <c r="J155" s="12">
        <v>0</v>
      </c>
      <c r="K155" s="12">
        <v>0</v>
      </c>
      <c r="L155" s="12">
        <v>0</v>
      </c>
      <c r="M155" s="12">
        <v>419160.00000000006</v>
      </c>
      <c r="N155" s="13">
        <v>1</v>
      </c>
      <c r="O155" s="35">
        <v>9689.3203883495153</v>
      </c>
      <c r="P155">
        <f t="shared" si="130"/>
        <v>11</v>
      </c>
      <c r="Q155">
        <f t="shared" si="131"/>
        <v>544363.63636363635</v>
      </c>
      <c r="R155">
        <f t="shared" si="132"/>
        <v>56.18181818181818</v>
      </c>
      <c r="AI155" s="35"/>
      <c r="AJ155" s="35"/>
      <c r="AK155" s="35"/>
      <c r="AQ155" s="26" t="s">
        <v>180</v>
      </c>
      <c r="AR155" s="35">
        <v>0</v>
      </c>
      <c r="AS155" s="35">
        <v>0</v>
      </c>
      <c r="AT155" s="16">
        <v>0</v>
      </c>
      <c r="AU155" s="280">
        <v>0</v>
      </c>
      <c r="AV155" s="35">
        <v>0</v>
      </c>
      <c r="AW155" s="35">
        <v>0</v>
      </c>
      <c r="AX155" s="35">
        <v>0</v>
      </c>
      <c r="AY155" s="35">
        <v>0</v>
      </c>
      <c r="AZ155" s="35">
        <v>0</v>
      </c>
      <c r="BA155" s="13">
        <v>0</v>
      </c>
    </row>
    <row r="156" spans="2:53">
      <c r="B156" s="26">
        <v>48</v>
      </c>
      <c r="C156" s="12">
        <v>759</v>
      </c>
      <c r="D156" s="12">
        <v>15</v>
      </c>
      <c r="E156" s="16">
        <v>7318000</v>
      </c>
      <c r="F156" s="35">
        <v>512260.00000000006</v>
      </c>
      <c r="G156" s="16">
        <v>0</v>
      </c>
      <c r="H156" s="16">
        <v>0</v>
      </c>
      <c r="I156" s="12">
        <v>512260.00000000006</v>
      </c>
      <c r="J156" s="12">
        <v>0</v>
      </c>
      <c r="K156" s="12">
        <v>0</v>
      </c>
      <c r="L156" s="12">
        <v>0</v>
      </c>
      <c r="M156" s="12">
        <v>512260.00000000006</v>
      </c>
      <c r="N156" s="13">
        <v>1</v>
      </c>
      <c r="O156" s="35">
        <v>9641.63372859025</v>
      </c>
      <c r="P156">
        <f t="shared" ref="P156:P158" si="133">D156</f>
        <v>15</v>
      </c>
      <c r="Q156">
        <f t="shared" ref="Q156:Q158" si="134">E156/P156</f>
        <v>487866.66666666669</v>
      </c>
      <c r="R156">
        <f t="shared" ref="R156:R158" si="135">C156/P156</f>
        <v>50.6</v>
      </c>
      <c r="AI156" s="37"/>
      <c r="AJ156" s="37"/>
      <c r="AK156" s="37"/>
      <c r="AQ156" s="26" t="s">
        <v>181</v>
      </c>
      <c r="AR156" s="35">
        <v>0</v>
      </c>
      <c r="AS156" s="35">
        <v>0</v>
      </c>
      <c r="AT156" s="16">
        <v>0</v>
      </c>
      <c r="AU156" s="280">
        <v>0</v>
      </c>
      <c r="AV156" s="35">
        <v>0</v>
      </c>
      <c r="AW156" s="35">
        <v>0</v>
      </c>
      <c r="AX156" s="35">
        <v>0</v>
      </c>
      <c r="AY156" s="35">
        <v>0</v>
      </c>
      <c r="AZ156" s="35">
        <v>0</v>
      </c>
      <c r="BA156" s="13">
        <v>0</v>
      </c>
    </row>
    <row r="157" spans="2:53">
      <c r="B157" s="26">
        <v>49</v>
      </c>
      <c r="C157" s="12">
        <v>703</v>
      </c>
      <c r="D157" s="12">
        <v>11</v>
      </c>
      <c r="E157" s="16">
        <v>6692000</v>
      </c>
      <c r="F157" s="35">
        <v>468440.00000000006</v>
      </c>
      <c r="G157" s="16">
        <v>0</v>
      </c>
      <c r="H157" s="16">
        <v>0</v>
      </c>
      <c r="I157" s="12">
        <v>468440.00000000006</v>
      </c>
      <c r="J157" s="12">
        <v>0</v>
      </c>
      <c r="K157" s="12">
        <v>0</v>
      </c>
      <c r="L157" s="12">
        <v>0</v>
      </c>
      <c r="M157" s="12">
        <v>468440.00000000006</v>
      </c>
      <c r="N157" s="13">
        <v>1</v>
      </c>
      <c r="O157" s="35">
        <v>9519.2034139402567</v>
      </c>
      <c r="P157">
        <f t="shared" si="133"/>
        <v>11</v>
      </c>
      <c r="Q157">
        <f t="shared" si="134"/>
        <v>608363.63636363635</v>
      </c>
      <c r="R157">
        <f t="shared" si="135"/>
        <v>63.909090909090907</v>
      </c>
      <c r="AI157" s="216"/>
      <c r="AJ157" s="216"/>
      <c r="AK157" s="216"/>
      <c r="AQ157" s="26" t="s">
        <v>182</v>
      </c>
      <c r="AR157" s="35">
        <v>0</v>
      </c>
      <c r="AS157" s="35">
        <v>0</v>
      </c>
      <c r="AT157" s="16">
        <v>0</v>
      </c>
      <c r="AU157" s="280">
        <v>0</v>
      </c>
      <c r="AV157" s="35">
        <v>0</v>
      </c>
      <c r="AW157" s="35">
        <v>0</v>
      </c>
      <c r="AX157" s="35">
        <v>0</v>
      </c>
      <c r="AY157" s="35">
        <v>0</v>
      </c>
      <c r="AZ157" s="35">
        <v>0</v>
      </c>
      <c r="BA157" s="13">
        <v>0</v>
      </c>
    </row>
    <row r="158" spans="2:53">
      <c r="B158" s="26">
        <v>50</v>
      </c>
      <c r="C158" s="12">
        <v>704</v>
      </c>
      <c r="D158" s="12">
        <v>12</v>
      </c>
      <c r="E158" s="16">
        <v>6732000</v>
      </c>
      <c r="F158" s="35">
        <v>471240.00000000006</v>
      </c>
      <c r="G158" s="16">
        <v>0</v>
      </c>
      <c r="H158" s="16">
        <v>0</v>
      </c>
      <c r="I158" s="12">
        <v>471240.00000000006</v>
      </c>
      <c r="J158" s="12">
        <v>0</v>
      </c>
      <c r="K158" s="12">
        <v>0</v>
      </c>
      <c r="L158" s="12">
        <v>0</v>
      </c>
      <c r="M158" s="12">
        <v>471240.00000000006</v>
      </c>
      <c r="N158" s="13">
        <v>1</v>
      </c>
      <c r="O158" s="35">
        <v>9562.5</v>
      </c>
      <c r="P158">
        <f t="shared" si="133"/>
        <v>12</v>
      </c>
      <c r="Q158">
        <f t="shared" si="134"/>
        <v>561000</v>
      </c>
      <c r="R158">
        <f t="shared" si="135"/>
        <v>58.666666666666664</v>
      </c>
      <c r="AI158" s="37"/>
      <c r="AJ158" s="37"/>
      <c r="AK158" s="37"/>
      <c r="AQ158" s="11" t="s">
        <v>178</v>
      </c>
      <c r="AR158" s="35">
        <v>4518</v>
      </c>
      <c r="AS158" s="35">
        <v>17188014</v>
      </c>
      <c r="AT158" s="16">
        <v>3781363.0799999996</v>
      </c>
      <c r="AU158" s="280">
        <v>4895100</v>
      </c>
      <c r="AV158" s="35">
        <v>4325000</v>
      </c>
      <c r="AW158" s="35">
        <v>13001463.079999998</v>
      </c>
      <c r="AX158" s="35">
        <v>7420010</v>
      </c>
      <c r="AY158" s="35">
        <v>15098710</v>
      </c>
      <c r="AZ158" s="35">
        <v>-2097246.92</v>
      </c>
      <c r="BA158" s="13">
        <v>-0.16130853174718243</v>
      </c>
    </row>
    <row r="159" spans="2:53">
      <c r="B159" s="26">
        <v>51</v>
      </c>
      <c r="C159" s="12">
        <v>530</v>
      </c>
      <c r="D159" s="12">
        <v>11</v>
      </c>
      <c r="E159" s="16">
        <v>5085000</v>
      </c>
      <c r="F159" s="35">
        <v>355950.00000000006</v>
      </c>
      <c r="G159" s="16">
        <v>0</v>
      </c>
      <c r="H159" s="16">
        <v>0</v>
      </c>
      <c r="I159" s="12">
        <v>355950.00000000006</v>
      </c>
      <c r="J159" s="12">
        <v>0</v>
      </c>
      <c r="K159" s="12">
        <v>0</v>
      </c>
      <c r="L159" s="12">
        <v>0</v>
      </c>
      <c r="M159" s="12">
        <v>355950.00000000006</v>
      </c>
      <c r="N159" s="13">
        <v>1</v>
      </c>
      <c r="O159" s="35">
        <v>9594.3396226415098</v>
      </c>
      <c r="AI159" s="35"/>
      <c r="AJ159" s="35"/>
      <c r="AK159" s="35"/>
      <c r="AQ159" s="11" t="s">
        <v>203</v>
      </c>
      <c r="AR159" s="35">
        <v>2336</v>
      </c>
      <c r="AS159" s="35">
        <v>7008000</v>
      </c>
      <c r="AT159" s="16">
        <v>1566570</v>
      </c>
      <c r="AU159" s="280">
        <v>0</v>
      </c>
      <c r="AV159" s="35">
        <v>650000</v>
      </c>
      <c r="AW159" s="35">
        <v>2216570</v>
      </c>
      <c r="AX159" s="35">
        <v>1225000</v>
      </c>
      <c r="AY159" s="35">
        <v>2542850</v>
      </c>
      <c r="AZ159" s="35">
        <v>-326279.99999999988</v>
      </c>
      <c r="BA159" s="13">
        <v>-0.14720040422815425</v>
      </c>
    </row>
    <row r="160" spans="2:53">
      <c r="B160" s="26">
        <v>52</v>
      </c>
      <c r="C160" s="12">
        <v>545</v>
      </c>
      <c r="D160" s="12">
        <v>11</v>
      </c>
      <c r="E160" s="16">
        <v>5231000</v>
      </c>
      <c r="F160" s="35">
        <v>366170.00000000006</v>
      </c>
      <c r="G160" s="16">
        <v>0</v>
      </c>
      <c r="H160" s="16">
        <v>0</v>
      </c>
      <c r="I160" s="12">
        <v>366170.00000000006</v>
      </c>
      <c r="J160" s="12">
        <v>0</v>
      </c>
      <c r="K160" s="12">
        <v>0</v>
      </c>
      <c r="L160" s="12">
        <v>0</v>
      </c>
      <c r="M160" s="12">
        <v>366170.00000000006</v>
      </c>
      <c r="N160" s="13">
        <v>1</v>
      </c>
      <c r="O160" s="35">
        <v>9598.1651376146783</v>
      </c>
      <c r="AI160" s="198"/>
      <c r="AJ160" s="198"/>
      <c r="AK160" s="198"/>
      <c r="AQ160" s="11" t="s">
        <v>167</v>
      </c>
      <c r="AR160" s="35">
        <v>4902376.2832826702</v>
      </c>
      <c r="AS160" s="35">
        <v>43173140314.277718</v>
      </c>
      <c r="AT160" s="16">
        <v>10555544192.962185</v>
      </c>
      <c r="AU160" s="280">
        <v>942172563.99999976</v>
      </c>
      <c r="AV160" s="35">
        <v>2503367539.8845992</v>
      </c>
      <c r="AW160" s="35">
        <v>14059323496.746662</v>
      </c>
      <c r="AX160" s="35">
        <v>4178483581.479538</v>
      </c>
      <c r="AY160" s="35">
        <v>13782779142.482979</v>
      </c>
      <c r="AZ160" s="35">
        <v>276544354.74664813</v>
      </c>
      <c r="BA160" s="13">
        <v>1.9669819448328386E-2</v>
      </c>
    </row>
    <row r="161" spans="2:37">
      <c r="B161" s="26">
        <v>12026</v>
      </c>
      <c r="C161" s="12">
        <v>392</v>
      </c>
      <c r="D161" s="12">
        <v>10</v>
      </c>
      <c r="E161" s="16">
        <v>3767000</v>
      </c>
      <c r="F161" s="35">
        <v>263690</v>
      </c>
      <c r="G161" s="16">
        <v>0</v>
      </c>
      <c r="H161" s="16">
        <v>0</v>
      </c>
      <c r="I161" s="12">
        <v>263690</v>
      </c>
      <c r="J161" s="12">
        <v>0</v>
      </c>
      <c r="K161" s="12">
        <v>0</v>
      </c>
      <c r="L161" s="12">
        <v>0</v>
      </c>
      <c r="M161" s="12">
        <v>263690</v>
      </c>
      <c r="N161" s="13">
        <v>1</v>
      </c>
      <c r="O161" s="35">
        <v>9609.6938775510207</v>
      </c>
      <c r="AI161" s="35"/>
      <c r="AJ161" s="35"/>
      <c r="AK161" s="35"/>
    </row>
    <row r="162" spans="2:37">
      <c r="B162" s="26">
        <v>22026</v>
      </c>
      <c r="C162" s="12">
        <v>374</v>
      </c>
      <c r="D162" s="12">
        <v>9</v>
      </c>
      <c r="E162" s="16">
        <v>3570000</v>
      </c>
      <c r="F162" s="35">
        <v>249900.00000000003</v>
      </c>
      <c r="G162" s="16">
        <v>0</v>
      </c>
      <c r="H162" s="16">
        <v>0</v>
      </c>
      <c r="I162" s="12">
        <v>249900.00000000003</v>
      </c>
      <c r="J162" s="12">
        <v>0</v>
      </c>
      <c r="K162" s="12">
        <v>0</v>
      </c>
      <c r="L162" s="12">
        <v>0</v>
      </c>
      <c r="M162" s="12">
        <v>249900.00000000003</v>
      </c>
      <c r="N162" s="13">
        <v>1</v>
      </c>
      <c r="O162" s="35">
        <v>9545.454545454546</v>
      </c>
      <c r="AI162" s="202"/>
      <c r="AJ162" s="202"/>
      <c r="AK162" s="202"/>
    </row>
    <row r="163" spans="2:37">
      <c r="B163" s="26">
        <v>32026</v>
      </c>
      <c r="C163" s="12">
        <v>320</v>
      </c>
      <c r="D163" s="12">
        <v>9</v>
      </c>
      <c r="E163" s="16">
        <v>3084000</v>
      </c>
      <c r="F163" s="35">
        <v>215880.00000000003</v>
      </c>
      <c r="G163" s="16">
        <v>0</v>
      </c>
      <c r="H163" s="16">
        <v>0</v>
      </c>
      <c r="I163" s="12">
        <v>215880.00000000003</v>
      </c>
      <c r="J163" s="12">
        <v>0</v>
      </c>
      <c r="K163" s="12">
        <v>0</v>
      </c>
      <c r="L163" s="12">
        <v>0</v>
      </c>
      <c r="M163" s="12">
        <v>215880.00000000003</v>
      </c>
      <c r="N163" s="13">
        <v>1</v>
      </c>
      <c r="O163" s="35">
        <v>9637.5</v>
      </c>
    </row>
    <row r="164" spans="2:37">
      <c r="B164" s="26">
        <v>42026</v>
      </c>
      <c r="C164" s="12">
        <v>276</v>
      </c>
      <c r="D164" s="12">
        <v>9</v>
      </c>
      <c r="E164" s="16">
        <v>2655000</v>
      </c>
      <c r="F164" s="35">
        <v>185850.00000000003</v>
      </c>
      <c r="G164" s="16">
        <v>0</v>
      </c>
      <c r="H164" s="16">
        <v>0</v>
      </c>
      <c r="I164" s="12">
        <v>185850.00000000003</v>
      </c>
      <c r="J164" s="12">
        <v>0</v>
      </c>
      <c r="K164" s="12">
        <v>0</v>
      </c>
      <c r="L164" s="12">
        <v>0</v>
      </c>
      <c r="M164" s="12">
        <v>185850.00000000003</v>
      </c>
      <c r="N164" s="13">
        <v>1</v>
      </c>
      <c r="O164" s="35">
        <v>9619.565217391304</v>
      </c>
    </row>
    <row r="165" spans="2:37">
      <c r="B165" s="26">
        <v>52026</v>
      </c>
      <c r="C165" s="12">
        <v>361</v>
      </c>
      <c r="D165" s="12">
        <v>8</v>
      </c>
      <c r="E165" s="16">
        <v>3483000</v>
      </c>
      <c r="F165" s="35">
        <v>243810.00000000003</v>
      </c>
      <c r="G165" s="16">
        <v>0</v>
      </c>
      <c r="H165" s="16">
        <v>0</v>
      </c>
      <c r="I165" s="12">
        <v>243810.00000000003</v>
      </c>
      <c r="J165" s="12">
        <v>0</v>
      </c>
      <c r="K165" s="12">
        <v>0</v>
      </c>
      <c r="L165" s="12">
        <v>0</v>
      </c>
      <c r="M165" s="12">
        <v>243810.00000000003</v>
      </c>
      <c r="N165" s="13">
        <v>1</v>
      </c>
      <c r="O165" s="35">
        <v>9648.1994459833786</v>
      </c>
    </row>
    <row r="166" spans="2:37">
      <c r="B166" s="26">
        <v>62026</v>
      </c>
      <c r="C166" s="12">
        <v>218</v>
      </c>
      <c r="D166" s="12">
        <v>6</v>
      </c>
      <c r="E166" s="16">
        <v>2139000</v>
      </c>
      <c r="F166" s="35">
        <v>149730</v>
      </c>
      <c r="G166" s="16">
        <v>0</v>
      </c>
      <c r="H166" s="16">
        <v>0</v>
      </c>
      <c r="I166" s="12">
        <v>149730</v>
      </c>
      <c r="J166" s="12">
        <v>0</v>
      </c>
      <c r="K166" s="12">
        <v>0</v>
      </c>
      <c r="L166" s="12">
        <v>0</v>
      </c>
      <c r="M166" s="12">
        <v>149730</v>
      </c>
      <c r="N166" s="13">
        <v>1</v>
      </c>
      <c r="O166" s="35">
        <v>9811.9266055045864</v>
      </c>
    </row>
    <row r="167" spans="2:37">
      <c r="B167" s="26">
        <v>72026</v>
      </c>
      <c r="C167" s="12">
        <v>309</v>
      </c>
      <c r="D167" s="12">
        <v>6</v>
      </c>
      <c r="E167" s="16">
        <v>2991000</v>
      </c>
      <c r="F167" s="35">
        <v>209370.00000000003</v>
      </c>
      <c r="G167" s="16">
        <v>0</v>
      </c>
      <c r="H167" s="16">
        <v>0</v>
      </c>
      <c r="I167" s="12">
        <v>209370.00000000003</v>
      </c>
      <c r="J167" s="12">
        <v>0</v>
      </c>
      <c r="K167" s="12">
        <v>0</v>
      </c>
      <c r="L167" s="12">
        <v>0</v>
      </c>
      <c r="M167" s="12">
        <v>209370.00000000003</v>
      </c>
      <c r="N167" s="13">
        <v>1</v>
      </c>
      <c r="O167" s="35">
        <v>9679.6116504854363</v>
      </c>
      <c r="V167" s="26"/>
      <c r="X167" s="16"/>
      <c r="Y167" s="16"/>
      <c r="Z167" s="16"/>
      <c r="AA167" s="16"/>
      <c r="AB167" s="16"/>
      <c r="AD167" s="200"/>
      <c r="AE167" s="16"/>
      <c r="AF167" s="16"/>
      <c r="AG167" s="200"/>
      <c r="AH167" s="1"/>
      <c r="AI167" s="27"/>
    </row>
    <row r="168" spans="2:37">
      <c r="B168" s="26">
        <v>82026</v>
      </c>
      <c r="C168" s="12">
        <v>73</v>
      </c>
      <c r="D168" s="12">
        <v>4</v>
      </c>
      <c r="E168" s="16">
        <v>941000</v>
      </c>
      <c r="F168" s="35">
        <v>65870</v>
      </c>
      <c r="G168" s="16">
        <v>0</v>
      </c>
      <c r="H168" s="16">
        <v>0</v>
      </c>
      <c r="I168" s="12">
        <v>65870</v>
      </c>
      <c r="J168" s="12">
        <v>0</v>
      </c>
      <c r="K168" s="12">
        <v>0</v>
      </c>
      <c r="L168" s="12">
        <v>0</v>
      </c>
      <c r="M168" s="12">
        <v>65870</v>
      </c>
      <c r="N168" s="13">
        <v>1</v>
      </c>
      <c r="O168" s="35">
        <v>12890.410958904109</v>
      </c>
      <c r="V168" s="26"/>
      <c r="X168" s="16"/>
      <c r="Y168" s="16"/>
      <c r="Z168" s="16"/>
      <c r="AA168" s="16"/>
      <c r="AB168" s="16"/>
      <c r="AD168" s="200"/>
      <c r="AE168" s="16"/>
      <c r="AF168" s="16"/>
      <c r="AG168" s="200"/>
      <c r="AH168" s="1"/>
      <c r="AI168" s="27"/>
    </row>
    <row r="169" spans="2:37">
      <c r="B169" s="26">
        <v>92026</v>
      </c>
      <c r="C169" s="12">
        <v>43</v>
      </c>
      <c r="D169" s="12">
        <v>4</v>
      </c>
      <c r="E169" s="16">
        <v>409000</v>
      </c>
      <c r="F169" s="35">
        <v>28630.000000000004</v>
      </c>
      <c r="G169" s="16">
        <v>0</v>
      </c>
      <c r="H169" s="16">
        <v>0</v>
      </c>
      <c r="I169" s="12">
        <v>28630.000000000004</v>
      </c>
      <c r="J169" s="12">
        <v>0</v>
      </c>
      <c r="K169" s="12">
        <v>0</v>
      </c>
      <c r="L169" s="12">
        <v>0</v>
      </c>
      <c r="M169" s="12">
        <v>28630.000000000004</v>
      </c>
      <c r="N169" s="13">
        <v>1</v>
      </c>
      <c r="O169" s="35">
        <v>9511.6279069767443</v>
      </c>
      <c r="V169" s="26"/>
      <c r="X169" s="16"/>
      <c r="Y169" s="16"/>
      <c r="Z169" s="16"/>
      <c r="AA169" s="16"/>
      <c r="AB169" s="16"/>
      <c r="AD169" s="200"/>
      <c r="AE169" s="16"/>
      <c r="AF169" s="16"/>
      <c r="AG169" s="200"/>
      <c r="AH169" s="1"/>
      <c r="AI169" s="27"/>
    </row>
    <row r="170" spans="2:37">
      <c r="B170" s="376" t="s">
        <v>181</v>
      </c>
      <c r="C170" s="85">
        <v>0</v>
      </c>
      <c r="D170" s="85">
        <v>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V170" s="26"/>
      <c r="X170" s="16"/>
      <c r="Y170" s="16"/>
      <c r="Z170" s="16"/>
      <c r="AA170" s="16"/>
      <c r="AB170" s="16"/>
      <c r="AD170" s="200"/>
      <c r="AE170" s="16"/>
      <c r="AF170" s="16"/>
      <c r="AG170" s="200"/>
      <c r="AH170" s="1"/>
      <c r="AI170" s="27"/>
    </row>
    <row r="171" spans="2:37">
      <c r="B171" s="376" t="s">
        <v>182</v>
      </c>
      <c r="C171" s="85">
        <v>0</v>
      </c>
      <c r="D171" s="85">
        <v>0</v>
      </c>
      <c r="E171" s="85">
        <v>0</v>
      </c>
      <c r="F171" s="85">
        <v>0</v>
      </c>
      <c r="G171" s="85">
        <v>0</v>
      </c>
      <c r="H171" s="85">
        <v>0</v>
      </c>
      <c r="I171" s="85">
        <v>0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0</v>
      </c>
      <c r="V171" s="82"/>
      <c r="X171" s="16"/>
      <c r="Y171" s="16"/>
      <c r="Z171" s="16"/>
      <c r="AA171" s="16"/>
      <c r="AB171" s="16"/>
      <c r="AD171" s="200"/>
      <c r="AE171" s="16"/>
      <c r="AF171" s="81"/>
      <c r="AG171" s="200"/>
      <c r="AH171" s="1"/>
      <c r="AI171" s="27"/>
    </row>
    <row r="172" spans="2:37">
      <c r="B172" s="253" t="s">
        <v>203</v>
      </c>
      <c r="C172" s="255">
        <v>2336</v>
      </c>
      <c r="D172" s="255">
        <v>2</v>
      </c>
      <c r="E172" s="254">
        <v>7008000</v>
      </c>
      <c r="F172" s="36">
        <v>1566570</v>
      </c>
      <c r="G172" s="254">
        <v>0</v>
      </c>
      <c r="H172" s="254">
        <v>650000</v>
      </c>
      <c r="I172" s="255">
        <v>2216570</v>
      </c>
      <c r="J172" s="255">
        <v>1317850</v>
      </c>
      <c r="K172" s="255">
        <v>1225000</v>
      </c>
      <c r="L172" s="255">
        <v>2542850</v>
      </c>
      <c r="M172" s="255">
        <v>-326279.99999999988</v>
      </c>
      <c r="N172" s="256">
        <v>-0.14720040422815425</v>
      </c>
      <c r="O172" s="36">
        <v>3000</v>
      </c>
      <c r="V172" s="26"/>
      <c r="X172" s="16"/>
      <c r="Y172" s="16"/>
      <c r="Z172" s="16"/>
      <c r="AA172" s="16"/>
      <c r="AB172" s="16"/>
      <c r="AD172" s="200"/>
      <c r="AE172" s="16"/>
      <c r="AF172" s="16"/>
      <c r="AG172" s="200"/>
      <c r="AH172" s="1"/>
      <c r="AI172" s="27"/>
    </row>
    <row r="173" spans="2:37">
      <c r="B173" s="295" t="s">
        <v>177</v>
      </c>
      <c r="C173" s="292">
        <v>5318</v>
      </c>
      <c r="D173" s="292">
        <v>5</v>
      </c>
      <c r="E173" s="293">
        <v>58883000</v>
      </c>
      <c r="F173" s="175">
        <v>17664900</v>
      </c>
      <c r="G173" s="293">
        <v>0</v>
      </c>
      <c r="H173" s="293">
        <v>7400000</v>
      </c>
      <c r="I173" s="292">
        <v>25089900</v>
      </c>
      <c r="J173" s="292">
        <v>12629070</v>
      </c>
      <c r="K173" s="292">
        <v>12548333.333333338</v>
      </c>
      <c r="L173" s="292">
        <v>25177403.333333336</v>
      </c>
      <c r="M173" s="292">
        <v>-87503.333333333838</v>
      </c>
      <c r="N173" s="294">
        <v>-3.4875919526715466E-3</v>
      </c>
      <c r="O173" s="175">
        <v>11072.39563745769</v>
      </c>
    </row>
    <row r="174" spans="2:37">
      <c r="B174" s="290" t="s">
        <v>178</v>
      </c>
      <c r="C174" s="264">
        <v>4518</v>
      </c>
      <c r="D174" s="264">
        <v>6</v>
      </c>
      <c r="E174" s="79">
        <v>17188014</v>
      </c>
      <c r="F174" s="134">
        <v>3781363.0799999996</v>
      </c>
      <c r="G174" s="79">
        <v>4895100</v>
      </c>
      <c r="H174" s="79">
        <v>4325000</v>
      </c>
      <c r="I174" s="264">
        <v>13001463.079999998</v>
      </c>
      <c r="J174" s="264">
        <v>7678700</v>
      </c>
      <c r="K174" s="264">
        <v>7420010</v>
      </c>
      <c r="L174" s="264">
        <v>15098710</v>
      </c>
      <c r="M174" s="264">
        <v>-2097246.92</v>
      </c>
      <c r="N174" s="80">
        <v>-0.16130853174718243</v>
      </c>
      <c r="O174" s="134">
        <v>3804.3413014608232</v>
      </c>
    </row>
    <row r="175" spans="2:37">
      <c r="B175" s="296" t="s">
        <v>202</v>
      </c>
      <c r="C175" s="297">
        <v>1417</v>
      </c>
      <c r="D175" s="297">
        <v>3</v>
      </c>
      <c r="E175" s="126">
        <v>13577000</v>
      </c>
      <c r="F175" s="38">
        <v>1357700</v>
      </c>
      <c r="G175" s="126">
        <v>0</v>
      </c>
      <c r="H175" s="126">
        <v>0</v>
      </c>
      <c r="I175" s="297">
        <v>1357700</v>
      </c>
      <c r="J175" s="297">
        <v>0</v>
      </c>
      <c r="K175" s="297">
        <v>3383333.333333333</v>
      </c>
      <c r="L175" s="297">
        <v>3383333.333333333</v>
      </c>
      <c r="M175" s="297">
        <v>-2025633.3333333335</v>
      </c>
      <c r="N175" s="298">
        <v>-1.4919594412118535</v>
      </c>
      <c r="O175" s="38">
        <v>9581.5102328863795</v>
      </c>
    </row>
    <row r="176" spans="2:37">
      <c r="B176" s="26">
        <v>46</v>
      </c>
      <c r="C176" s="12">
        <v>49</v>
      </c>
      <c r="D176" s="12">
        <v>1</v>
      </c>
      <c r="E176" s="16">
        <v>462000</v>
      </c>
      <c r="F176" s="35">
        <v>46200</v>
      </c>
      <c r="G176" s="16">
        <v>0</v>
      </c>
      <c r="H176" s="16">
        <v>0</v>
      </c>
      <c r="I176" s="12">
        <v>46200</v>
      </c>
      <c r="J176" s="12">
        <v>0</v>
      </c>
      <c r="K176" s="12">
        <v>233333.33333333334</v>
      </c>
      <c r="L176" s="12">
        <v>233333.33333333334</v>
      </c>
      <c r="M176" s="12">
        <v>-187133.33333333334</v>
      </c>
      <c r="N176" s="13">
        <v>-4.0505050505050511</v>
      </c>
      <c r="O176" s="35">
        <v>9428.5714285714294</v>
      </c>
    </row>
    <row r="177" spans="2:15">
      <c r="B177" s="26">
        <v>47</v>
      </c>
      <c r="C177" s="12">
        <v>92</v>
      </c>
      <c r="D177" s="12">
        <v>3</v>
      </c>
      <c r="E177" s="16">
        <v>896000</v>
      </c>
      <c r="F177" s="35">
        <v>89600</v>
      </c>
      <c r="G177" s="16">
        <v>0</v>
      </c>
      <c r="H177" s="16">
        <v>0</v>
      </c>
      <c r="I177" s="12">
        <v>89600</v>
      </c>
      <c r="J177" s="12">
        <v>0</v>
      </c>
      <c r="K177" s="12">
        <v>233333.33333333334</v>
      </c>
      <c r="L177" s="12">
        <v>233333.33333333334</v>
      </c>
      <c r="M177" s="12">
        <v>-143733.33333333334</v>
      </c>
      <c r="N177" s="13">
        <v>-1.6041666666666667</v>
      </c>
      <c r="O177" s="35">
        <v>9739.1304347826081</v>
      </c>
    </row>
    <row r="178" spans="2:15">
      <c r="B178" s="26">
        <v>48</v>
      </c>
      <c r="C178" s="12">
        <v>109</v>
      </c>
      <c r="D178" s="12">
        <v>1</v>
      </c>
      <c r="E178" s="16">
        <v>1052000</v>
      </c>
      <c r="F178" s="35">
        <v>105200</v>
      </c>
      <c r="G178" s="16">
        <v>0</v>
      </c>
      <c r="H178" s="16">
        <v>0</v>
      </c>
      <c r="I178" s="12">
        <v>105200</v>
      </c>
      <c r="J178" s="12">
        <v>0</v>
      </c>
      <c r="K178" s="12">
        <v>233333.33333333334</v>
      </c>
      <c r="L178" s="12">
        <v>233333.33333333334</v>
      </c>
      <c r="M178" s="12">
        <v>-128133.33333333334</v>
      </c>
      <c r="N178" s="13">
        <v>-1.2179974651457541</v>
      </c>
      <c r="O178" s="35">
        <v>9651.3761467889908</v>
      </c>
    </row>
    <row r="179" spans="2:15">
      <c r="B179" s="26">
        <v>49</v>
      </c>
      <c r="C179" s="12">
        <v>212</v>
      </c>
      <c r="D179" s="12">
        <v>1</v>
      </c>
      <c r="E179" s="16">
        <v>2057000</v>
      </c>
      <c r="F179" s="35">
        <v>205700</v>
      </c>
      <c r="G179" s="16">
        <v>0</v>
      </c>
      <c r="H179" s="16">
        <v>0</v>
      </c>
      <c r="I179" s="12">
        <v>205700</v>
      </c>
      <c r="J179" s="12">
        <v>0</v>
      </c>
      <c r="K179" s="12">
        <v>233333.33333333334</v>
      </c>
      <c r="L179" s="12">
        <v>233333.33333333334</v>
      </c>
      <c r="M179" s="12">
        <v>-27633.333333333343</v>
      </c>
      <c r="N179" s="13">
        <v>-0.13433803273375472</v>
      </c>
      <c r="O179" s="35">
        <v>9702.8301886792451</v>
      </c>
    </row>
    <row r="180" spans="2:15">
      <c r="B180" s="26">
        <v>50</v>
      </c>
      <c r="C180" s="12">
        <v>144</v>
      </c>
      <c r="D180" s="12">
        <v>1</v>
      </c>
      <c r="E180" s="16">
        <v>1391000</v>
      </c>
      <c r="F180" s="35">
        <v>139100</v>
      </c>
      <c r="G180" s="16">
        <v>0</v>
      </c>
      <c r="H180" s="16">
        <v>0</v>
      </c>
      <c r="I180" s="12">
        <v>139100</v>
      </c>
      <c r="J180" s="12">
        <v>0</v>
      </c>
      <c r="K180" s="12">
        <v>233333.33333333334</v>
      </c>
      <c r="L180" s="12">
        <v>233333.33333333334</v>
      </c>
      <c r="M180" s="12">
        <v>-94233.333333333343</v>
      </c>
      <c r="N180" s="13">
        <v>-0.67745027558111681</v>
      </c>
      <c r="O180" s="35">
        <v>9659.7222222222226</v>
      </c>
    </row>
    <row r="181" spans="2:15">
      <c r="B181" s="26">
        <v>51</v>
      </c>
      <c r="C181" s="12">
        <v>136</v>
      </c>
      <c r="D181" s="12">
        <v>1</v>
      </c>
      <c r="E181" s="16">
        <v>1317000</v>
      </c>
      <c r="F181" s="35">
        <v>131700</v>
      </c>
      <c r="G181" s="16">
        <v>0</v>
      </c>
      <c r="H181" s="16">
        <v>0</v>
      </c>
      <c r="I181" s="12">
        <v>131700</v>
      </c>
      <c r="J181" s="12">
        <v>0</v>
      </c>
      <c r="K181" s="12">
        <v>233333.33333333334</v>
      </c>
      <c r="L181" s="12">
        <v>233333.33333333334</v>
      </c>
      <c r="M181" s="12">
        <v>-101633.33333333334</v>
      </c>
      <c r="N181" s="13">
        <v>-0.7717033662363959</v>
      </c>
      <c r="O181" s="35">
        <v>9683.823529411764</v>
      </c>
    </row>
    <row r="182" spans="2:15">
      <c r="B182" s="26">
        <v>52</v>
      </c>
      <c r="C182" s="12">
        <v>107</v>
      </c>
      <c r="D182" s="12">
        <v>1</v>
      </c>
      <c r="E182" s="16">
        <v>1015000</v>
      </c>
      <c r="F182" s="35">
        <v>101500</v>
      </c>
      <c r="G182" s="16">
        <v>0</v>
      </c>
      <c r="H182" s="16">
        <v>0</v>
      </c>
      <c r="I182" s="12">
        <v>101500</v>
      </c>
      <c r="J182" s="12">
        <v>0</v>
      </c>
      <c r="K182" s="12">
        <v>233333.33333333334</v>
      </c>
      <c r="L182" s="12">
        <v>233333.33333333334</v>
      </c>
      <c r="M182" s="12">
        <v>-131833.33333333334</v>
      </c>
      <c r="N182" s="13">
        <v>-1.2988505747126438</v>
      </c>
      <c r="O182" s="35">
        <v>9485.9813084112157</v>
      </c>
    </row>
    <row r="183" spans="2:15">
      <c r="B183" s="26">
        <v>12026</v>
      </c>
      <c r="C183" s="12">
        <v>144</v>
      </c>
      <c r="D183" s="12">
        <v>1</v>
      </c>
      <c r="E183" s="16">
        <v>1373000</v>
      </c>
      <c r="F183" s="35">
        <v>137300</v>
      </c>
      <c r="G183" s="16">
        <v>0</v>
      </c>
      <c r="H183" s="16">
        <v>0</v>
      </c>
      <c r="I183" s="12">
        <v>137300</v>
      </c>
      <c r="J183" s="12">
        <v>0</v>
      </c>
      <c r="K183" s="12">
        <v>350000</v>
      </c>
      <c r="L183" s="12">
        <v>350000</v>
      </c>
      <c r="M183" s="12">
        <v>-212700</v>
      </c>
      <c r="N183" s="13">
        <v>-1.5491624180626367</v>
      </c>
      <c r="O183" s="35">
        <v>9534.7222222222226</v>
      </c>
    </row>
    <row r="184" spans="2:15">
      <c r="B184" s="26">
        <v>22026</v>
      </c>
      <c r="C184" s="12">
        <v>124</v>
      </c>
      <c r="D184" s="12">
        <v>1</v>
      </c>
      <c r="E184" s="16">
        <v>1165000</v>
      </c>
      <c r="F184" s="35">
        <v>116500</v>
      </c>
      <c r="G184" s="16">
        <v>0</v>
      </c>
      <c r="H184" s="16">
        <v>0</v>
      </c>
      <c r="I184" s="12">
        <v>116500</v>
      </c>
      <c r="J184" s="12">
        <v>0</v>
      </c>
      <c r="K184" s="12">
        <v>350000</v>
      </c>
      <c r="L184" s="12">
        <v>350000</v>
      </c>
      <c r="M184" s="12">
        <v>-233500</v>
      </c>
      <c r="N184" s="13">
        <v>-2.0042918454935621</v>
      </c>
      <c r="O184" s="35">
        <v>9395.1612903225814</v>
      </c>
    </row>
    <row r="185" spans="2:15">
      <c r="B185" s="26">
        <v>32026</v>
      </c>
      <c r="C185" s="12">
        <v>79</v>
      </c>
      <c r="D185" s="12">
        <v>1</v>
      </c>
      <c r="E185" s="16">
        <v>754000</v>
      </c>
      <c r="F185" s="35">
        <v>75400</v>
      </c>
      <c r="G185" s="16">
        <v>0</v>
      </c>
      <c r="H185" s="16">
        <v>0</v>
      </c>
      <c r="I185" s="12">
        <v>75400</v>
      </c>
      <c r="J185" s="12">
        <v>0</v>
      </c>
      <c r="K185" s="12">
        <v>350000</v>
      </c>
      <c r="L185" s="12">
        <v>350000</v>
      </c>
      <c r="M185" s="12">
        <v>-274600</v>
      </c>
      <c r="N185" s="13">
        <v>-3.6419098143236073</v>
      </c>
      <c r="O185" s="35">
        <v>9544.3037974683539</v>
      </c>
    </row>
    <row r="186" spans="2:15">
      <c r="B186" s="26">
        <v>42026</v>
      </c>
      <c r="C186" s="12">
        <v>71</v>
      </c>
      <c r="D186" s="12">
        <v>1</v>
      </c>
      <c r="E186" s="16">
        <v>679000</v>
      </c>
      <c r="F186" s="35">
        <v>67900</v>
      </c>
      <c r="G186" s="16">
        <v>0</v>
      </c>
      <c r="H186" s="16">
        <v>0</v>
      </c>
      <c r="I186" s="12">
        <v>67900</v>
      </c>
      <c r="J186" s="12">
        <v>0</v>
      </c>
      <c r="K186" s="12">
        <v>350000</v>
      </c>
      <c r="L186" s="12">
        <v>350000</v>
      </c>
      <c r="M186" s="12">
        <v>-282100</v>
      </c>
      <c r="N186" s="13">
        <v>-4.1546391752577323</v>
      </c>
      <c r="O186" s="35">
        <v>9563.3802816901407</v>
      </c>
    </row>
    <row r="187" spans="2:15">
      <c r="B187" s="26">
        <v>52026</v>
      </c>
      <c r="C187" s="12">
        <v>84</v>
      </c>
      <c r="D187" s="12">
        <v>1</v>
      </c>
      <c r="E187" s="16">
        <v>789000</v>
      </c>
      <c r="F187" s="35">
        <v>78900</v>
      </c>
      <c r="G187" s="16">
        <v>0</v>
      </c>
      <c r="H187" s="16">
        <v>0</v>
      </c>
      <c r="I187" s="12">
        <v>78900</v>
      </c>
      <c r="J187" s="12">
        <v>0</v>
      </c>
      <c r="K187" s="12">
        <v>350000</v>
      </c>
      <c r="L187" s="12">
        <v>350000</v>
      </c>
      <c r="M187" s="12">
        <v>-271100</v>
      </c>
      <c r="N187" s="13">
        <v>-3.4359949302915083</v>
      </c>
      <c r="O187" s="35">
        <v>9392.8571428571431</v>
      </c>
    </row>
    <row r="188" spans="2:15">
      <c r="B188" s="26">
        <v>62026</v>
      </c>
      <c r="C188" s="12">
        <v>49</v>
      </c>
      <c r="D188" s="12">
        <v>1</v>
      </c>
      <c r="E188" s="16">
        <v>466000</v>
      </c>
      <c r="F188" s="35">
        <v>46600</v>
      </c>
      <c r="G188" s="16">
        <v>0</v>
      </c>
      <c r="H188" s="16">
        <v>0</v>
      </c>
      <c r="I188" s="12">
        <v>46600</v>
      </c>
      <c r="J188" s="12">
        <v>0</v>
      </c>
      <c r="K188" s="12">
        <v>0</v>
      </c>
      <c r="L188" s="12">
        <v>0</v>
      </c>
      <c r="M188" s="12">
        <v>46600</v>
      </c>
      <c r="N188" s="13">
        <v>1</v>
      </c>
      <c r="O188" s="35">
        <v>9510.2040816326535</v>
      </c>
    </row>
    <row r="189" spans="2:15">
      <c r="B189" s="26">
        <v>72026</v>
      </c>
      <c r="C189" s="12">
        <v>17</v>
      </c>
      <c r="D189" s="12">
        <v>1</v>
      </c>
      <c r="E189" s="16">
        <v>161000</v>
      </c>
      <c r="F189" s="35">
        <v>16100</v>
      </c>
      <c r="G189" s="16">
        <v>0</v>
      </c>
      <c r="H189" s="16">
        <v>0</v>
      </c>
      <c r="I189" s="12">
        <v>16100</v>
      </c>
      <c r="J189" s="12">
        <v>0</v>
      </c>
      <c r="K189" s="12">
        <v>0</v>
      </c>
      <c r="L189" s="12">
        <v>0</v>
      </c>
      <c r="M189" s="12">
        <v>16100</v>
      </c>
      <c r="N189" s="13">
        <v>1</v>
      </c>
      <c r="O189" s="35">
        <v>9470.5882352941171</v>
      </c>
    </row>
    <row r="190" spans="2:15">
      <c r="B190" s="376" t="s">
        <v>181</v>
      </c>
      <c r="C190" s="85">
        <v>0</v>
      </c>
      <c r="D190" s="85">
        <v>0</v>
      </c>
      <c r="E190" s="85">
        <v>0</v>
      </c>
      <c r="F190" s="85">
        <v>0</v>
      </c>
      <c r="G190" s="85">
        <v>0</v>
      </c>
      <c r="H190" s="85">
        <v>0</v>
      </c>
      <c r="I190" s="85">
        <v>0</v>
      </c>
      <c r="J190" s="85">
        <v>0</v>
      </c>
      <c r="K190" s="85">
        <v>0</v>
      </c>
      <c r="L190" s="85">
        <v>0</v>
      </c>
      <c r="M190" s="85">
        <v>0</v>
      </c>
      <c r="N190" s="85">
        <v>0</v>
      </c>
      <c r="O190" s="85">
        <v>0</v>
      </c>
    </row>
    <row r="191" spans="2:15">
      <c r="B191" s="376" t="s">
        <v>182</v>
      </c>
      <c r="C191" s="85">
        <v>0</v>
      </c>
      <c r="D191" s="85">
        <v>0</v>
      </c>
      <c r="E191" s="85">
        <v>0</v>
      </c>
      <c r="F191" s="85">
        <v>0</v>
      </c>
      <c r="G191" s="85">
        <v>0</v>
      </c>
      <c r="H191" s="85">
        <v>0</v>
      </c>
      <c r="I191" s="85">
        <v>0</v>
      </c>
      <c r="J191" s="85">
        <v>0</v>
      </c>
      <c r="K191" s="85">
        <v>0</v>
      </c>
      <c r="L191" s="85">
        <v>0</v>
      </c>
      <c r="M191" s="85">
        <v>0</v>
      </c>
      <c r="N191" s="85">
        <v>0</v>
      </c>
      <c r="O191" s="85">
        <v>0</v>
      </c>
    </row>
    <row r="192" spans="2:15">
      <c r="B192" s="11" t="s">
        <v>204</v>
      </c>
      <c r="C192" s="12">
        <v>260</v>
      </c>
      <c r="D192" s="12">
        <v>3</v>
      </c>
      <c r="E192" s="16">
        <v>2220000</v>
      </c>
      <c r="F192" s="35">
        <v>666000</v>
      </c>
      <c r="G192" s="16">
        <v>0</v>
      </c>
      <c r="H192" s="16">
        <v>0</v>
      </c>
      <c r="I192" s="12">
        <v>666000</v>
      </c>
      <c r="J192" s="12">
        <v>902200</v>
      </c>
      <c r="K192" s="12">
        <v>0</v>
      </c>
      <c r="L192" s="12">
        <v>902200</v>
      </c>
      <c r="M192" s="12">
        <v>-236200</v>
      </c>
      <c r="N192" s="13">
        <v>-0.35465465465465468</v>
      </c>
      <c r="O192" s="35">
        <v>8538.461538461539</v>
      </c>
    </row>
    <row r="193" spans="2:15">
      <c r="B193" s="11" t="s">
        <v>167</v>
      </c>
      <c r="C193" s="12">
        <v>5688550.0115109766</v>
      </c>
      <c r="D193" s="12">
        <v>293</v>
      </c>
      <c r="E193" s="16">
        <v>49973026673.001152</v>
      </c>
      <c r="F193" s="35">
        <v>12318897146.780962</v>
      </c>
      <c r="G193" s="16">
        <v>945297563.99999917</v>
      </c>
      <c r="H193" s="16">
        <v>3011492539.8841276</v>
      </c>
      <c r="I193" s="12">
        <v>16351576450.619184</v>
      </c>
      <c r="J193" s="12">
        <v>10830015099.579622</v>
      </c>
      <c r="K193" s="12">
        <v>5364726250.0860949</v>
      </c>
      <c r="L193" s="12">
        <v>16194741349.665718</v>
      </c>
      <c r="M193" s="12">
        <v>156835100.79429662</v>
      </c>
      <c r="N193" s="13">
        <v>9.5914361081899085E-3</v>
      </c>
      <c r="O193" s="35">
        <v>8784.8443930138637</v>
      </c>
    </row>
  </sheetData>
  <phoneticPr fontId="4" type="noConversion"/>
  <pageMargins left="0.7" right="0.7" top="0.75" bottom="0.75" header="0.3" footer="0.3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ECD6-3042-46A0-8027-9ABCB5DE88F5}">
  <dimension ref="A1:AG58"/>
  <sheetViews>
    <sheetView zoomScale="103" workbookViewId="0">
      <pane ySplit="4" topLeftCell="A5" activePane="bottomLeft" state="frozen"/>
      <selection pane="bottomLeft" activeCell="G16" sqref="G16"/>
    </sheetView>
  </sheetViews>
  <sheetFormatPr defaultColWidth="8.85546875" defaultRowHeight="15"/>
  <cols>
    <col min="1" max="1" width="12.85546875" bestFit="1" customWidth="1"/>
    <col min="2" max="2" width="15" bestFit="1" customWidth="1"/>
    <col min="3" max="3" width="13.7109375" bestFit="1" customWidth="1"/>
    <col min="4" max="4" width="18" bestFit="1" customWidth="1"/>
    <col min="5" max="5" width="14.42578125" bestFit="1" customWidth="1"/>
    <col min="6" max="6" width="13" bestFit="1" customWidth="1"/>
    <col min="7" max="7" width="14.7109375" bestFit="1" customWidth="1"/>
    <col min="8" max="8" width="13.7109375" bestFit="1" customWidth="1"/>
    <col min="9" max="9" width="14.28515625" bestFit="1" customWidth="1"/>
    <col min="10" max="10" width="26.7109375" bestFit="1" customWidth="1"/>
    <col min="11" max="11" width="14.7109375" bestFit="1" customWidth="1"/>
    <col min="12" max="12" width="12.140625" bestFit="1" customWidth="1"/>
    <col min="13" max="13" width="12.85546875" bestFit="1" customWidth="1"/>
    <col min="14" max="14" width="13.85546875" bestFit="1" customWidth="1"/>
    <col min="20" max="20" width="19.7109375" bestFit="1" customWidth="1"/>
    <col min="21" max="21" width="9.28515625" bestFit="1" customWidth="1"/>
    <col min="22" max="22" width="13.7109375" bestFit="1" customWidth="1"/>
    <col min="23" max="23" width="18" bestFit="1" customWidth="1"/>
    <col min="24" max="24" width="11.42578125" bestFit="1" customWidth="1"/>
    <col min="25" max="25" width="13" bestFit="1" customWidth="1"/>
    <col min="26" max="27" width="14.7109375" bestFit="1" customWidth="1"/>
    <col min="28" max="28" width="14.28515625" bestFit="1" customWidth="1"/>
    <col min="29" max="29" width="26.7109375" bestFit="1" customWidth="1"/>
    <col min="30" max="30" width="14.7109375" bestFit="1" customWidth="1"/>
    <col min="31" max="31" width="12.140625" bestFit="1" customWidth="1"/>
    <col min="32" max="32" width="7.140625" bestFit="1" customWidth="1"/>
    <col min="33" max="33" width="8.140625" bestFit="1" customWidth="1"/>
  </cols>
  <sheetData>
    <row r="1" spans="1:33" ht="15.95">
      <c r="A1" s="31" t="s">
        <v>102</v>
      </c>
      <c r="B1" t="s">
        <v>101</v>
      </c>
      <c r="T1" s="31" t="s">
        <v>102</v>
      </c>
      <c r="U1" t="s">
        <v>23</v>
      </c>
    </row>
    <row r="2" spans="1:33">
      <c r="A2" s="10" t="s">
        <v>106</v>
      </c>
      <c r="B2" t="s">
        <v>101</v>
      </c>
      <c r="T2" s="10" t="s">
        <v>106</v>
      </c>
      <c r="U2" t="s">
        <v>101</v>
      </c>
    </row>
    <row r="4" spans="1:33" ht="48">
      <c r="A4" s="31" t="s">
        <v>113</v>
      </c>
      <c r="B4" s="32" t="s">
        <v>114</v>
      </c>
      <c r="C4" s="32" t="s">
        <v>116</v>
      </c>
      <c r="D4" s="249" t="s">
        <v>117</v>
      </c>
      <c r="E4" s="249" t="s">
        <v>118</v>
      </c>
      <c r="F4" s="249" t="s">
        <v>119</v>
      </c>
      <c r="G4" s="270" t="s">
        <v>120</v>
      </c>
      <c r="H4" s="251" t="s">
        <v>121</v>
      </c>
      <c r="I4" s="251" t="s">
        <v>122</v>
      </c>
      <c r="J4" t="s">
        <v>133</v>
      </c>
      <c r="K4" s="251" t="s">
        <v>123</v>
      </c>
      <c r="L4" s="269" t="s">
        <v>124</v>
      </c>
      <c r="M4" s="269" t="s">
        <v>125</v>
      </c>
      <c r="N4" s="159" t="s">
        <v>126</v>
      </c>
      <c r="T4" s="31" t="s">
        <v>113</v>
      </c>
      <c r="U4" s="32" t="s">
        <v>114</v>
      </c>
      <c r="V4" s="32" t="s">
        <v>116</v>
      </c>
      <c r="W4" s="249" t="s">
        <v>117</v>
      </c>
      <c r="X4" s="249" t="s">
        <v>118</v>
      </c>
      <c r="Y4" s="249" t="s">
        <v>119</v>
      </c>
      <c r="Z4" s="270" t="s">
        <v>120</v>
      </c>
      <c r="AA4" s="251" t="s">
        <v>121</v>
      </c>
      <c r="AB4" s="251" t="s">
        <v>122</v>
      </c>
      <c r="AC4" t="s">
        <v>133</v>
      </c>
      <c r="AD4" s="251" t="s">
        <v>123</v>
      </c>
      <c r="AE4" s="269" t="s">
        <v>124</v>
      </c>
      <c r="AF4" s="269" t="s">
        <v>125</v>
      </c>
      <c r="AG4" s="159" t="s">
        <v>126</v>
      </c>
    </row>
    <row r="5" spans="1:33">
      <c r="A5" s="11">
        <v>2025</v>
      </c>
      <c r="B5" s="16">
        <v>4811475</v>
      </c>
      <c r="C5" s="16">
        <v>42363539794</v>
      </c>
      <c r="D5" s="16">
        <v>10355176550.680002</v>
      </c>
      <c r="E5" s="16">
        <v>945297564</v>
      </c>
      <c r="F5" s="16">
        <v>2462220396.9740257</v>
      </c>
      <c r="G5" s="12">
        <v>13818772997.368313</v>
      </c>
      <c r="H5" s="12">
        <v>9206071648.1428566</v>
      </c>
      <c r="I5" s="12">
        <v>4404000682.2031851</v>
      </c>
      <c r="J5">
        <v>4161475781.4285717</v>
      </c>
      <c r="K5" s="12">
        <v>13610072330.346041</v>
      </c>
      <c r="L5" s="12">
        <v>208700667.02226973</v>
      </c>
      <c r="M5" s="13">
        <v>1.510269161104357E-2</v>
      </c>
      <c r="N5" s="35">
        <v>8804.6887480450387</v>
      </c>
      <c r="T5" s="11">
        <v>2025</v>
      </c>
      <c r="U5" s="16">
        <v>4728088</v>
      </c>
      <c r="V5" s="16">
        <v>41657440080</v>
      </c>
      <c r="W5" s="16">
        <v>10200275887.6</v>
      </c>
      <c r="X5" s="16">
        <v>931152464</v>
      </c>
      <c r="Y5" s="16">
        <v>2409550396.9740267</v>
      </c>
      <c r="Z5" s="12">
        <v>13596032234.288313</v>
      </c>
      <c r="AA5" s="12">
        <v>9068911408.1428566</v>
      </c>
      <c r="AB5" s="12">
        <v>4245969949.7135229</v>
      </c>
      <c r="AC5">
        <v>4014283171.4285717</v>
      </c>
      <c r="AD5" s="12">
        <v>13314881357.856377</v>
      </c>
      <c r="AE5" s="12">
        <v>281150876.43193203</v>
      </c>
      <c r="AF5" s="13">
        <v>2.0678891575653051E-2</v>
      </c>
      <c r="AG5" s="35">
        <v>8810.6312911265613</v>
      </c>
    </row>
    <row r="6" spans="1:33">
      <c r="A6" s="336" t="s">
        <v>21</v>
      </c>
      <c r="B6" s="288">
        <v>422781</v>
      </c>
      <c r="C6" s="288">
        <v>3738551000</v>
      </c>
      <c r="D6" s="288">
        <v>840791030</v>
      </c>
      <c r="E6" s="288">
        <v>172578116.00000006</v>
      </c>
      <c r="F6" s="288">
        <v>179228000</v>
      </c>
      <c r="G6" s="121">
        <v>1195772146</v>
      </c>
      <c r="H6" s="121">
        <v>832049268.14285707</v>
      </c>
      <c r="I6" s="121">
        <v>335667500</v>
      </c>
      <c r="J6" s="130">
        <v>331477714.28571433</v>
      </c>
      <c r="K6" s="121">
        <v>1167716768.1428571</v>
      </c>
      <c r="L6" s="121">
        <v>28055377.857142828</v>
      </c>
      <c r="M6" s="289">
        <v>2.3462143645837045E-2</v>
      </c>
      <c r="N6" s="39">
        <v>8842.7601997251531</v>
      </c>
      <c r="T6" s="336" t="s">
        <v>21</v>
      </c>
      <c r="U6" s="288">
        <v>419504</v>
      </c>
      <c r="V6" s="288">
        <v>3713106000</v>
      </c>
      <c r="W6" s="288">
        <v>833022080</v>
      </c>
      <c r="X6" s="288">
        <v>172578116</v>
      </c>
      <c r="Y6" s="288">
        <v>179168000</v>
      </c>
      <c r="Z6" s="121">
        <v>1187943196</v>
      </c>
      <c r="AA6" s="121">
        <v>824862268.14285707</v>
      </c>
      <c r="AB6" s="121">
        <v>329473700.00000006</v>
      </c>
      <c r="AC6" s="130">
        <v>325283914.28571433</v>
      </c>
      <c r="AD6" s="121">
        <v>1154335968.1428571</v>
      </c>
      <c r="AE6" s="121">
        <v>33607227.857142821</v>
      </c>
      <c r="AF6" s="289">
        <v>2.8290265031445865E-2</v>
      </c>
      <c r="AG6" s="39">
        <v>8851.1813951714412</v>
      </c>
    </row>
    <row r="7" spans="1:33">
      <c r="A7" s="265" t="s">
        <v>158</v>
      </c>
      <c r="B7" s="79">
        <v>417406</v>
      </c>
      <c r="C7" s="79">
        <v>3719984000</v>
      </c>
      <c r="D7" s="79">
        <v>849073820</v>
      </c>
      <c r="E7" s="79">
        <v>172352234</v>
      </c>
      <c r="F7" s="79">
        <v>193036928.57142854</v>
      </c>
      <c r="G7" s="264">
        <v>1219612982.5714288</v>
      </c>
      <c r="H7" s="264">
        <v>829476172.28571427</v>
      </c>
      <c r="I7" s="264">
        <v>370353842.85714287</v>
      </c>
      <c r="J7" s="263">
        <v>361527700.00000006</v>
      </c>
      <c r="K7" s="264">
        <v>1199830015.1428571</v>
      </c>
      <c r="L7" s="264">
        <v>19782967.428571414</v>
      </c>
      <c r="M7" s="80">
        <v>1.6220692720785128E-2</v>
      </c>
      <c r="N7" s="134">
        <v>8912.1478847932231</v>
      </c>
      <c r="T7" s="278" t="s">
        <v>23</v>
      </c>
      <c r="U7" s="16">
        <v>317206</v>
      </c>
      <c r="V7" s="16">
        <v>2787636000</v>
      </c>
      <c r="W7" s="16">
        <v>641156280</v>
      </c>
      <c r="X7" s="16">
        <v>139518968</v>
      </c>
      <c r="Y7" s="16">
        <v>136720285.7142857</v>
      </c>
      <c r="Z7" s="12">
        <v>917395533.71428573</v>
      </c>
      <c r="AA7" s="12">
        <v>603805500</v>
      </c>
      <c r="AB7" s="12">
        <v>254382885.7142857</v>
      </c>
      <c r="AC7">
        <v>252932528.57142857</v>
      </c>
      <c r="AD7" s="12">
        <v>858188385.71428573</v>
      </c>
      <c r="AE7" s="12">
        <v>59207147.99999997</v>
      </c>
      <c r="AF7" s="13">
        <v>6.4538299810863786E-2</v>
      </c>
      <c r="AG7" s="35">
        <v>8788.0935417362853</v>
      </c>
    </row>
    <row r="8" spans="1:33">
      <c r="A8" s="265" t="s">
        <v>159</v>
      </c>
      <c r="B8" s="79">
        <v>309737</v>
      </c>
      <c r="C8" s="79">
        <v>2754822500</v>
      </c>
      <c r="D8" s="79">
        <v>629427190</v>
      </c>
      <c r="E8" s="79">
        <v>195063146.99999997</v>
      </c>
      <c r="F8" s="79">
        <v>215344922.07792208</v>
      </c>
      <c r="G8" s="264">
        <v>1043135259.0779221</v>
      </c>
      <c r="H8" s="264">
        <v>677374202.59740245</v>
      </c>
      <c r="I8" s="264">
        <v>410184936.63636363</v>
      </c>
      <c r="J8" s="263">
        <v>402058038.96103895</v>
      </c>
      <c r="K8" s="264">
        <v>1087559139.2337661</v>
      </c>
      <c r="L8" s="264">
        <v>-44423880.15584413</v>
      </c>
      <c r="M8" s="80">
        <v>-4.2586883886095994E-2</v>
      </c>
      <c r="N8" s="134">
        <v>8894.0698076109729</v>
      </c>
      <c r="T8" s="278" t="s">
        <v>172</v>
      </c>
      <c r="U8" s="16">
        <v>33808</v>
      </c>
      <c r="V8" s="16">
        <v>299023000</v>
      </c>
      <c r="W8" s="16">
        <v>68775290</v>
      </c>
      <c r="X8" s="16">
        <v>13364129</v>
      </c>
      <c r="Y8" s="16">
        <v>12337714.285714285</v>
      </c>
      <c r="Z8" s="12">
        <v>94477133.285714284</v>
      </c>
      <c r="AA8" s="12">
        <v>63470642.857142851</v>
      </c>
      <c r="AB8" s="12">
        <v>24844200</v>
      </c>
      <c r="AC8">
        <v>22824771.428571429</v>
      </c>
      <c r="AD8" s="12">
        <v>88314842.857142851</v>
      </c>
      <c r="AE8" s="12">
        <v>6162290.4285714254</v>
      </c>
      <c r="AF8" s="13">
        <v>6.5225205446651863E-2</v>
      </c>
      <c r="AG8" s="35">
        <v>8844.7408897302412</v>
      </c>
    </row>
    <row r="9" spans="1:33">
      <c r="A9" s="268" t="s">
        <v>160</v>
      </c>
      <c r="B9" s="127">
        <v>437817</v>
      </c>
      <c r="C9" s="127">
        <v>3890315000</v>
      </c>
      <c r="D9" s="127">
        <v>887181330</v>
      </c>
      <c r="E9" s="127">
        <v>163721367.00000006</v>
      </c>
      <c r="F9" s="127">
        <v>185730689.18181819</v>
      </c>
      <c r="G9" s="267">
        <v>1241183386.1818178</v>
      </c>
      <c r="H9" s="267">
        <v>817216904.5454545</v>
      </c>
      <c r="I9" s="267">
        <v>359336824.36363637</v>
      </c>
      <c r="J9" s="266">
        <v>350906818.18181819</v>
      </c>
      <c r="K9" s="267">
        <v>1176553728.909091</v>
      </c>
      <c r="L9" s="267">
        <v>64629657.272727326</v>
      </c>
      <c r="M9" s="51">
        <v>5.2070997720605881E-2</v>
      </c>
      <c r="N9" s="50">
        <v>8885.7102396663449</v>
      </c>
      <c r="T9" s="278" t="s">
        <v>173</v>
      </c>
      <c r="U9" s="16">
        <v>21582</v>
      </c>
      <c r="V9" s="16">
        <v>199612000</v>
      </c>
      <c r="W9" s="16">
        <v>41918520</v>
      </c>
      <c r="X9" s="16">
        <v>4549006</v>
      </c>
      <c r="Y9" s="16">
        <v>8267857.1428571427</v>
      </c>
      <c r="Z9" s="12">
        <v>55235383.142857149</v>
      </c>
      <c r="AA9" s="12">
        <v>65650648.428571425</v>
      </c>
      <c r="AB9" s="12">
        <v>11012785.714285713</v>
      </c>
      <c r="AC9">
        <v>11012785.714285713</v>
      </c>
      <c r="AD9" s="12">
        <v>76663434.142857134</v>
      </c>
      <c r="AE9" s="12">
        <v>-21428051.000000004</v>
      </c>
      <c r="AF9" s="13">
        <v>-0.38794066014858458</v>
      </c>
      <c r="AG9" s="35">
        <v>9249.0037994625145</v>
      </c>
    </row>
    <row r="10" spans="1:33">
      <c r="A10" s="268" t="s">
        <v>161</v>
      </c>
      <c r="B10" s="127">
        <v>450300</v>
      </c>
      <c r="C10" s="127">
        <v>3938590000</v>
      </c>
      <c r="D10" s="127">
        <v>902750320</v>
      </c>
      <c r="E10" s="127">
        <v>180220829.00000003</v>
      </c>
      <c r="F10" s="127">
        <v>194018857.14285713</v>
      </c>
      <c r="G10" s="267">
        <v>1279194206.1428571</v>
      </c>
      <c r="H10" s="267">
        <v>830652950</v>
      </c>
      <c r="I10" s="267">
        <v>390883252.18433177</v>
      </c>
      <c r="J10" s="266">
        <v>374025000</v>
      </c>
      <c r="K10" s="267">
        <v>1221536202.1843319</v>
      </c>
      <c r="L10" s="267">
        <v>57658003.958525382</v>
      </c>
      <c r="M10" s="51">
        <v>4.5073690673116049E-2</v>
      </c>
      <c r="N10" s="50">
        <v>8746.5911614479228</v>
      </c>
      <c r="T10" s="278" t="s">
        <v>174</v>
      </c>
      <c r="U10" s="16">
        <v>46908</v>
      </c>
      <c r="V10" s="16">
        <v>426835000</v>
      </c>
      <c r="W10" s="16">
        <v>81171990</v>
      </c>
      <c r="X10" s="16">
        <v>15146013</v>
      </c>
      <c r="Y10" s="16">
        <v>21842142.857142858</v>
      </c>
      <c r="Z10" s="12">
        <v>120835145.85714285</v>
      </c>
      <c r="AA10" s="12">
        <v>91935476.857142851</v>
      </c>
      <c r="AB10" s="12">
        <v>39233828.571428575</v>
      </c>
      <c r="AC10">
        <v>38513828.571428575</v>
      </c>
      <c r="AD10" s="12">
        <v>131169305.42857143</v>
      </c>
      <c r="AE10" s="12">
        <v>-10334159.571428563</v>
      </c>
      <c r="AF10" s="13">
        <v>-8.5522796353025524E-2</v>
      </c>
      <c r="AG10" s="35">
        <v>9099.4073505585402</v>
      </c>
    </row>
    <row r="11" spans="1:33">
      <c r="A11" s="268" t="s">
        <v>156</v>
      </c>
      <c r="B11" s="127">
        <v>430055</v>
      </c>
      <c r="C11" s="127">
        <v>3781515866.6666665</v>
      </c>
      <c r="D11" s="127">
        <v>947309213.33333337</v>
      </c>
      <c r="E11" s="127">
        <v>53206056.714285716</v>
      </c>
      <c r="F11" s="127">
        <v>203796714.2857143</v>
      </c>
      <c r="G11" s="267">
        <v>1204511984.3333335</v>
      </c>
      <c r="H11" s="267">
        <v>788838027.71428573</v>
      </c>
      <c r="I11" s="267">
        <v>367910529.59496158</v>
      </c>
      <c r="J11" s="266">
        <v>349445500</v>
      </c>
      <c r="K11" s="267">
        <v>1156748557.3092473</v>
      </c>
      <c r="L11" s="267">
        <v>47763427.024086051</v>
      </c>
      <c r="M11" s="51">
        <v>3.9653758240124015E-2</v>
      </c>
      <c r="N11" s="50">
        <v>8793.0982471234292</v>
      </c>
      <c r="T11" s="265" t="s">
        <v>158</v>
      </c>
      <c r="U11" s="79">
        <v>410587</v>
      </c>
      <c r="V11" s="79">
        <v>3660337000</v>
      </c>
      <c r="W11" s="79">
        <v>830877470</v>
      </c>
      <c r="X11" s="79">
        <v>172352234</v>
      </c>
      <c r="Y11" s="79">
        <v>189046928.5714286</v>
      </c>
      <c r="Z11" s="264">
        <v>1197426632.5714285</v>
      </c>
      <c r="AA11" s="264">
        <v>814495672.28571427</v>
      </c>
      <c r="AB11" s="264">
        <v>351641542.85714281</v>
      </c>
      <c r="AC11" s="263">
        <v>342815400</v>
      </c>
      <c r="AD11" s="264">
        <v>1166137215.1428573</v>
      </c>
      <c r="AE11" s="264">
        <v>31289417.428571414</v>
      </c>
      <c r="AF11" s="80">
        <v>2.6130550780700923E-2</v>
      </c>
      <c r="AG11" s="134">
        <v>8914.8877095475509</v>
      </c>
    </row>
    <row r="12" spans="1:33">
      <c r="A12" s="259" t="s">
        <v>162</v>
      </c>
      <c r="B12" s="83">
        <v>434599</v>
      </c>
      <c r="C12" s="83">
        <v>3850634190.4761906</v>
      </c>
      <c r="D12" s="83">
        <v>996822305.23809528</v>
      </c>
      <c r="E12" s="271">
        <v>3046428.5714285714</v>
      </c>
      <c r="F12" s="83">
        <v>216503571.42857143</v>
      </c>
      <c r="G12" s="258">
        <v>1217297305.238095</v>
      </c>
      <c r="H12" s="258">
        <v>784919029.28571439</v>
      </c>
      <c r="I12" s="258">
        <v>385199938.34857142</v>
      </c>
      <c r="J12" s="152">
        <v>351140000</v>
      </c>
      <c r="K12" s="258">
        <v>1170118967.6342859</v>
      </c>
      <c r="L12" s="258">
        <v>47178337.603809513</v>
      </c>
      <c r="M12" s="84">
        <v>3.8756626997199957E-2</v>
      </c>
      <c r="N12" s="172">
        <v>8860.200300682216</v>
      </c>
      <c r="T12" s="278" t="s">
        <v>23</v>
      </c>
      <c r="U12" s="16">
        <v>312789</v>
      </c>
      <c r="V12" s="16">
        <v>2742524000</v>
      </c>
      <c r="W12" s="16">
        <v>630780520</v>
      </c>
      <c r="X12" s="16">
        <v>134738682</v>
      </c>
      <c r="Y12" s="16">
        <v>131868000</v>
      </c>
      <c r="Z12" s="12">
        <v>897387201.99999988</v>
      </c>
      <c r="AA12" s="12">
        <v>601375071.42857146</v>
      </c>
      <c r="AB12" s="12">
        <v>261987914.28571427</v>
      </c>
      <c r="AC12">
        <v>258577914.2857143</v>
      </c>
      <c r="AD12" s="12">
        <v>863362985.71428573</v>
      </c>
      <c r="AE12" s="12">
        <v>34024216.285714269</v>
      </c>
      <c r="AF12" s="13">
        <v>3.7914755425400279E-2</v>
      </c>
      <c r="AG12" s="35">
        <v>8767.9681830243389</v>
      </c>
    </row>
    <row r="13" spans="1:33">
      <c r="A13" s="259" t="s">
        <v>163</v>
      </c>
      <c r="B13" s="83">
        <v>423280</v>
      </c>
      <c r="C13" s="83">
        <v>3679609142.8571429</v>
      </c>
      <c r="D13" s="83">
        <v>949053801.42857146</v>
      </c>
      <c r="E13" s="83">
        <v>214285.71428571429</v>
      </c>
      <c r="F13" s="83">
        <v>227457857.14285713</v>
      </c>
      <c r="G13" s="258">
        <v>1177100944.2857141</v>
      </c>
      <c r="H13" s="258">
        <v>770255895</v>
      </c>
      <c r="I13" s="258">
        <v>381749756.38095242</v>
      </c>
      <c r="J13" s="152">
        <v>348950000</v>
      </c>
      <c r="K13" s="258">
        <v>1152005651.3809524</v>
      </c>
      <c r="L13" s="258">
        <v>25095292.904761892</v>
      </c>
      <c r="M13" s="84">
        <v>2.1319575883944401E-2</v>
      </c>
      <c r="N13" s="172">
        <v>8693.0852930852925</v>
      </c>
      <c r="T13" s="278" t="s">
        <v>172</v>
      </c>
      <c r="U13" s="16">
        <v>39155</v>
      </c>
      <c r="V13" s="16">
        <v>345727000</v>
      </c>
      <c r="W13" s="16">
        <v>79723290</v>
      </c>
      <c r="X13" s="16">
        <v>15850839</v>
      </c>
      <c r="Y13" s="16">
        <v>15775714.285714285</v>
      </c>
      <c r="Z13" s="12">
        <v>111349843.2857143</v>
      </c>
      <c r="AA13" s="12">
        <v>76256142.857142851</v>
      </c>
      <c r="AB13" s="12">
        <v>29978814.285714287</v>
      </c>
      <c r="AC13">
        <v>28154814.285714287</v>
      </c>
      <c r="AD13" s="12">
        <v>106234957.14285713</v>
      </c>
      <c r="AE13" s="12">
        <v>5114886.1428571427</v>
      </c>
      <c r="AF13" s="13">
        <v>4.5935279223813331E-2</v>
      </c>
      <c r="AG13" s="35">
        <v>8829.7024645639121</v>
      </c>
    </row>
    <row r="14" spans="1:33">
      <c r="A14" s="259" t="s">
        <v>164</v>
      </c>
      <c r="B14" s="83">
        <v>401205</v>
      </c>
      <c r="C14" s="83">
        <v>3544019002</v>
      </c>
      <c r="D14" s="83">
        <v>915238200.44000006</v>
      </c>
      <c r="E14" s="83">
        <v>765900</v>
      </c>
      <c r="F14" s="83">
        <v>224889285.71428573</v>
      </c>
      <c r="G14" s="258">
        <v>1146816243.297143</v>
      </c>
      <c r="H14" s="258">
        <v>797190212.14285719</v>
      </c>
      <c r="I14" s="258">
        <v>369789693.43777776</v>
      </c>
      <c r="J14" s="152">
        <v>342755000</v>
      </c>
      <c r="K14" s="258">
        <v>1166979905.5806351</v>
      </c>
      <c r="L14" s="258">
        <v>-20163662.283492059</v>
      </c>
      <c r="M14" s="84">
        <v>-1.7582295682803301E-2</v>
      </c>
      <c r="N14" s="172">
        <v>8833.4367767101612</v>
      </c>
      <c r="T14" s="278" t="s">
        <v>173</v>
      </c>
      <c r="U14" s="16">
        <v>14765</v>
      </c>
      <c r="V14" s="16">
        <v>175624000</v>
      </c>
      <c r="W14" s="16">
        <v>37116640</v>
      </c>
      <c r="X14" s="16">
        <v>4551412</v>
      </c>
      <c r="Y14" s="16">
        <v>8225000</v>
      </c>
      <c r="Z14" s="12">
        <v>50293052</v>
      </c>
      <c r="AA14" s="12">
        <v>33379119.571428567</v>
      </c>
      <c r="AB14" s="12">
        <v>11758685.714285716</v>
      </c>
      <c r="AC14">
        <v>11526542.857142858</v>
      </c>
      <c r="AD14" s="12">
        <v>45137805.285714284</v>
      </c>
      <c r="AE14" s="12">
        <v>5155246.7142857146</v>
      </c>
      <c r="AF14" s="13">
        <v>0.10250415334280596</v>
      </c>
      <c r="AG14" s="35">
        <v>11894.615645106671</v>
      </c>
    </row>
    <row r="15" spans="1:33">
      <c r="A15" s="26" t="s">
        <v>165</v>
      </c>
      <c r="B15" s="16">
        <v>385641</v>
      </c>
      <c r="C15" s="16">
        <v>3387799402</v>
      </c>
      <c r="D15" s="16">
        <v>872496138.44000006</v>
      </c>
      <c r="E15" s="16">
        <v>2749628.5714285714</v>
      </c>
      <c r="F15" s="16">
        <v>222221428.57142857</v>
      </c>
      <c r="G15" s="12">
        <v>1105349338.4400001</v>
      </c>
      <c r="H15" s="12">
        <v>737540120</v>
      </c>
      <c r="I15" s="12">
        <v>366366087.93087554</v>
      </c>
      <c r="J15">
        <v>337740010</v>
      </c>
      <c r="K15" s="12">
        <v>1103906207.9308755</v>
      </c>
      <c r="L15" s="12">
        <v>1443130.5091243852</v>
      </c>
      <c r="M15" s="206">
        <v>1.3055877078291846E-3</v>
      </c>
      <c r="N15" s="35">
        <v>8784.8527568386144</v>
      </c>
      <c r="T15" s="278" t="s">
        <v>174</v>
      </c>
      <c r="U15" s="16">
        <v>43878</v>
      </c>
      <c r="V15" s="16">
        <v>396462000</v>
      </c>
      <c r="W15" s="16">
        <v>83257020</v>
      </c>
      <c r="X15" s="16">
        <v>17211301</v>
      </c>
      <c r="Y15" s="16">
        <v>33178214.285714284</v>
      </c>
      <c r="Z15" s="12">
        <v>138396535.2857143</v>
      </c>
      <c r="AA15" s="12">
        <v>103485338.42857143</v>
      </c>
      <c r="AB15" s="12">
        <v>47916128.571428567</v>
      </c>
      <c r="AC15">
        <v>44556128.571428567</v>
      </c>
      <c r="AD15" s="12">
        <v>151401467</v>
      </c>
      <c r="AE15" s="12">
        <v>-13004931.714285713</v>
      </c>
      <c r="AF15" s="13">
        <v>-9.3968622028272122E-2</v>
      </c>
      <c r="AG15" s="35">
        <v>9035.5531245726779</v>
      </c>
    </row>
    <row r="16" spans="1:33">
      <c r="A16" s="26" t="s">
        <v>36</v>
      </c>
      <c r="B16" s="16">
        <v>360450</v>
      </c>
      <c r="C16" s="16">
        <v>3137056310</v>
      </c>
      <c r="D16" s="16">
        <v>808298583.20000005</v>
      </c>
      <c r="E16" s="16">
        <v>1379571.4285714286</v>
      </c>
      <c r="F16" s="16">
        <v>203209285.71428573</v>
      </c>
      <c r="G16" s="12">
        <v>1025142440.3428571</v>
      </c>
      <c r="H16" s="12">
        <v>686849027.85714281</v>
      </c>
      <c r="I16" s="12">
        <v>336470969.01428568</v>
      </c>
      <c r="J16">
        <v>311710000</v>
      </c>
      <c r="K16" s="12">
        <v>1023319996.8714285</v>
      </c>
      <c r="L16" s="12">
        <v>1822443.4714285992</v>
      </c>
      <c r="M16" s="206">
        <v>1.7777465839957675E-3</v>
      </c>
      <c r="N16" s="35">
        <v>8703.1663476210288</v>
      </c>
      <c r="T16" s="265" t="s">
        <v>159</v>
      </c>
      <c r="U16" s="79">
        <v>303719</v>
      </c>
      <c r="V16" s="79">
        <v>2703039000</v>
      </c>
      <c r="W16" s="79">
        <v>613824030</v>
      </c>
      <c r="X16" s="79">
        <v>195063147</v>
      </c>
      <c r="Y16" s="79">
        <v>207124922.07792205</v>
      </c>
      <c r="Z16" s="264">
        <v>1019212099.077922</v>
      </c>
      <c r="AA16" s="264">
        <v>657049502.59740257</v>
      </c>
      <c r="AB16" s="264">
        <v>385263936.63636363</v>
      </c>
      <c r="AC16" s="263">
        <v>377137038.96103895</v>
      </c>
      <c r="AD16" s="264">
        <v>1042313439.2337662</v>
      </c>
      <c r="AE16" s="264">
        <v>-23101340.155844133</v>
      </c>
      <c r="AF16" s="80">
        <v>-2.26658810043011E-2</v>
      </c>
      <c r="AG16" s="134">
        <v>8899.8021197225062</v>
      </c>
    </row>
    <row r="17" spans="1:33">
      <c r="A17" s="26" t="s">
        <v>166</v>
      </c>
      <c r="B17" s="16">
        <v>338204</v>
      </c>
      <c r="C17" s="16">
        <v>2940643380</v>
      </c>
      <c r="D17" s="16">
        <v>756734618.60000002</v>
      </c>
      <c r="E17" s="16">
        <v>0</v>
      </c>
      <c r="F17" s="16">
        <v>196782857.14285713</v>
      </c>
      <c r="G17" s="12">
        <v>963656761.45714295</v>
      </c>
      <c r="H17" s="12">
        <v>653709838.57142854</v>
      </c>
      <c r="I17" s="12">
        <v>330087351.45428574</v>
      </c>
      <c r="J17">
        <v>299740000</v>
      </c>
      <c r="K17" s="12">
        <v>983797190.02571428</v>
      </c>
      <c r="L17" s="12">
        <v>-20140428.568571486</v>
      </c>
      <c r="M17" s="13">
        <v>-2.0900002339128712E-2</v>
      </c>
      <c r="N17" s="35">
        <v>8694.8805454695976</v>
      </c>
      <c r="T17" s="278" t="s">
        <v>23</v>
      </c>
      <c r="U17" s="16">
        <v>240905</v>
      </c>
      <c r="V17" s="16">
        <v>2131128000</v>
      </c>
      <c r="W17" s="16">
        <v>490159440</v>
      </c>
      <c r="X17" s="16">
        <v>156456415</v>
      </c>
      <c r="Y17" s="16">
        <v>151630597.4025974</v>
      </c>
      <c r="Z17" s="12">
        <v>798246452.40259743</v>
      </c>
      <c r="AA17" s="12">
        <v>489470084.41558439</v>
      </c>
      <c r="AB17" s="12">
        <v>293680968.89610392</v>
      </c>
      <c r="AC17">
        <v>290277727.27272725</v>
      </c>
      <c r="AD17" s="12">
        <v>783151053.3116883</v>
      </c>
      <c r="AE17" s="12">
        <v>15095399.090909112</v>
      </c>
      <c r="AF17" s="13">
        <v>1.8910699879059047E-2</v>
      </c>
      <c r="AG17" s="35">
        <v>8846.3419190137192</v>
      </c>
    </row>
    <row r="18" spans="1:33">
      <c r="A18" s="11" t="s">
        <v>167</v>
      </c>
      <c r="B18" s="16">
        <v>4811475</v>
      </c>
      <c r="C18" s="16">
        <v>42363539794</v>
      </c>
      <c r="D18" s="16">
        <v>10355176550.680002</v>
      </c>
      <c r="E18" s="16">
        <v>945297564</v>
      </c>
      <c r="F18" s="16">
        <v>2462220396.9740257</v>
      </c>
      <c r="G18" s="12">
        <v>13818772997.368313</v>
      </c>
      <c r="H18" s="12">
        <v>9206071648.1428566</v>
      </c>
      <c r="I18" s="12">
        <v>4404000682.2031851</v>
      </c>
      <c r="J18">
        <v>4161475781.4285717</v>
      </c>
      <c r="K18" s="12">
        <v>13610072330.346041</v>
      </c>
      <c r="L18" s="12">
        <v>208700667.02226973</v>
      </c>
      <c r="M18" s="13">
        <v>1.510269161104357E-2</v>
      </c>
      <c r="N18" s="35">
        <v>8804.6887480450387</v>
      </c>
      <c r="T18" s="278" t="s">
        <v>172</v>
      </c>
      <c r="U18" s="16">
        <v>19862</v>
      </c>
      <c r="V18" s="16">
        <v>178164000</v>
      </c>
      <c r="W18" s="16">
        <v>40977720</v>
      </c>
      <c r="X18" s="16">
        <v>12978581</v>
      </c>
      <c r="Y18" s="16">
        <v>11762181.818181818</v>
      </c>
      <c r="Z18" s="12">
        <v>65718482.818181813</v>
      </c>
      <c r="AA18" s="12">
        <v>40152746.753246754</v>
      </c>
      <c r="AB18" s="12">
        <v>23791240.597402595</v>
      </c>
      <c r="AC18">
        <v>22089311.688311689</v>
      </c>
      <c r="AD18" s="12">
        <v>63943987.350649349</v>
      </c>
      <c r="AE18" s="12">
        <v>1774495.4675324685</v>
      </c>
      <c r="AF18" s="13">
        <v>2.7001467341262676E-2</v>
      </c>
      <c r="AG18" s="35">
        <v>8970.0936461584934</v>
      </c>
    </row>
    <row r="19" spans="1:33">
      <c r="T19" s="278" t="s">
        <v>173</v>
      </c>
      <c r="U19" s="16">
        <v>12090</v>
      </c>
      <c r="V19" s="16">
        <v>110132000</v>
      </c>
      <c r="W19" s="16">
        <v>23127720</v>
      </c>
      <c r="X19" s="16">
        <v>4745414</v>
      </c>
      <c r="Y19" s="16">
        <v>7771428.5714285709</v>
      </c>
      <c r="Z19" s="12">
        <v>36044562.571428575</v>
      </c>
      <c r="AA19" s="12">
        <v>25987657.142857142</v>
      </c>
      <c r="AB19" s="12">
        <v>11112857.142857142</v>
      </c>
      <c r="AC19">
        <v>11095000</v>
      </c>
      <c r="AD19" s="12">
        <v>37100514.285714284</v>
      </c>
      <c r="AE19" s="12">
        <v>-1055951.7142857129</v>
      </c>
      <c r="AF19" s="13">
        <v>-2.9295728369380564E-2</v>
      </c>
      <c r="AG19" s="35">
        <v>9109.346567411083</v>
      </c>
    </row>
    <row r="20" spans="1:33">
      <c r="T20" s="278" t="s">
        <v>174</v>
      </c>
      <c r="U20" s="16">
        <v>30862</v>
      </c>
      <c r="V20" s="16">
        <v>283615000</v>
      </c>
      <c r="W20" s="16">
        <v>59559150</v>
      </c>
      <c r="X20" s="16">
        <v>20882737.000000004</v>
      </c>
      <c r="Y20" s="16">
        <v>35960714.285714284</v>
      </c>
      <c r="Z20" s="12">
        <v>119202601.28571428</v>
      </c>
      <c r="AA20" s="12">
        <v>101439014.28571428</v>
      </c>
      <c r="AB20" s="12">
        <v>56678870</v>
      </c>
      <c r="AC20">
        <v>53675000</v>
      </c>
      <c r="AD20" s="12">
        <v>158117884.28571427</v>
      </c>
      <c r="AE20" s="12">
        <v>-38915283</v>
      </c>
      <c r="AF20" s="13">
        <v>-0.32646337059981395</v>
      </c>
      <c r="AG20" s="35">
        <v>9189.7803123582398</v>
      </c>
    </row>
    <row r="21" spans="1:33">
      <c r="T21" s="268" t="s">
        <v>160</v>
      </c>
      <c r="U21" s="127">
        <v>430416</v>
      </c>
      <c r="V21" s="127">
        <v>3829100000</v>
      </c>
      <c r="W21" s="127">
        <v>868904060</v>
      </c>
      <c r="X21" s="127">
        <v>163721367.00000006</v>
      </c>
      <c r="Y21" s="127">
        <v>179314689.18181819</v>
      </c>
      <c r="Z21" s="267">
        <v>1215590116.181818</v>
      </c>
      <c r="AA21" s="267">
        <v>798716604.5454545</v>
      </c>
      <c r="AB21" s="267">
        <v>338126816.36363637</v>
      </c>
      <c r="AC21" s="266">
        <v>329696818.18181819</v>
      </c>
      <c r="AD21" s="267">
        <v>1136843420.909091</v>
      </c>
      <c r="AE21" s="267">
        <v>78746695.27272734</v>
      </c>
      <c r="AF21" s="51">
        <v>6.4780631418813753E-2</v>
      </c>
      <c r="AG21" s="50">
        <v>8896.2770900710002</v>
      </c>
    </row>
    <row r="22" spans="1:33">
      <c r="T22" s="268" t="s">
        <v>161</v>
      </c>
      <c r="U22" s="127">
        <v>439801</v>
      </c>
      <c r="V22" s="127">
        <v>3853285000</v>
      </c>
      <c r="W22" s="127">
        <v>877982870</v>
      </c>
      <c r="X22" s="127">
        <v>179445829.00000003</v>
      </c>
      <c r="Y22" s="127">
        <v>185700857.14285713</v>
      </c>
      <c r="Z22" s="267">
        <v>1245333756.1428571</v>
      </c>
      <c r="AA22" s="267">
        <v>807919650</v>
      </c>
      <c r="AB22" s="267">
        <v>363758252.18433177</v>
      </c>
      <c r="AC22" s="266">
        <v>346900000</v>
      </c>
      <c r="AD22" s="267">
        <v>1171677902.1843319</v>
      </c>
      <c r="AE22" s="267">
        <v>73655853.958525375</v>
      </c>
      <c r="AF22" s="51">
        <v>5.9145472926597539E-2</v>
      </c>
      <c r="AG22" s="50">
        <v>8761.4284642372349</v>
      </c>
    </row>
    <row r="23" spans="1:33">
      <c r="T23" s="268" t="s">
        <v>156</v>
      </c>
      <c r="U23" s="127">
        <v>420746</v>
      </c>
      <c r="V23" s="127">
        <v>3701619000</v>
      </c>
      <c r="W23" s="127">
        <v>928287740</v>
      </c>
      <c r="X23" s="127">
        <v>47991771</v>
      </c>
      <c r="Y23" s="127">
        <v>196377142.85714287</v>
      </c>
      <c r="Z23" s="267">
        <v>1172856653.8571429</v>
      </c>
      <c r="AA23" s="267">
        <v>769170110.57142854</v>
      </c>
      <c r="AB23" s="267">
        <v>347208529.59496164</v>
      </c>
      <c r="AC23" s="266">
        <v>329055000</v>
      </c>
      <c r="AD23" s="267">
        <v>1116378640.1663902</v>
      </c>
      <c r="AE23" s="267">
        <v>56478013.690752715</v>
      </c>
      <c r="AF23" s="51">
        <v>4.8154233942413124E-2</v>
      </c>
      <c r="AG23" s="50">
        <v>8797.7520879580552</v>
      </c>
    </row>
    <row r="24" spans="1:33">
      <c r="T24" s="259" t="s">
        <v>162</v>
      </c>
      <c r="U24" s="83">
        <v>426901</v>
      </c>
      <c r="V24" s="83">
        <v>3792162285.7142859</v>
      </c>
      <c r="W24" s="83">
        <v>985962194.28571427</v>
      </c>
      <c r="X24" s="271">
        <v>0</v>
      </c>
      <c r="Y24" s="83">
        <v>210253571.42857143</v>
      </c>
      <c r="Z24" s="258">
        <v>1197140765.7142856</v>
      </c>
      <c r="AA24" s="258">
        <v>776540493.57142842</v>
      </c>
      <c r="AB24" s="258">
        <v>374049938.34857142</v>
      </c>
      <c r="AC24" s="152">
        <v>339990000</v>
      </c>
      <c r="AD24" s="258">
        <v>1150590431.9199998</v>
      </c>
      <c r="AE24" s="258">
        <v>46550333.794285707</v>
      </c>
      <c r="AF24" s="84">
        <v>3.8884594967836555E-2</v>
      </c>
      <c r="AG24" s="172">
        <v>8883.0016460825482</v>
      </c>
    </row>
    <row r="25" spans="1:33">
      <c r="T25" s="259" t="s">
        <v>163</v>
      </c>
      <c r="U25" s="83">
        <v>416046</v>
      </c>
      <c r="V25" s="83">
        <v>3613293714.2857141</v>
      </c>
      <c r="W25" s="83">
        <v>939456365.71428561</v>
      </c>
      <c r="X25" s="83">
        <v>0</v>
      </c>
      <c r="Y25" s="83">
        <v>225836428.57142857</v>
      </c>
      <c r="Z25" s="258">
        <v>1165667794.2857141</v>
      </c>
      <c r="AA25" s="258">
        <v>765605767.85714281</v>
      </c>
      <c r="AB25" s="258">
        <v>376634808.55795681</v>
      </c>
      <c r="AC25" s="152">
        <v>346640000</v>
      </c>
      <c r="AD25" s="258">
        <v>1142240576.4150996</v>
      </c>
      <c r="AE25" s="258">
        <v>23427217.870614644</v>
      </c>
      <c r="AF25" s="84">
        <v>2.0097679618033999E-2</v>
      </c>
      <c r="AG25" s="172">
        <v>8684.8418547124929</v>
      </c>
    </row>
    <row r="26" spans="1:33">
      <c r="T26" s="259" t="s">
        <v>164</v>
      </c>
      <c r="U26" s="83">
        <v>394115</v>
      </c>
      <c r="V26" s="83">
        <v>3479320000</v>
      </c>
      <c r="W26" s="83">
        <v>904623200</v>
      </c>
      <c r="X26" s="83">
        <v>0</v>
      </c>
      <c r="Y26" s="83">
        <v>222835714.28571427</v>
      </c>
      <c r="Z26" s="258">
        <v>1133381771.4285715</v>
      </c>
      <c r="AA26" s="258">
        <v>789773512.14285707</v>
      </c>
      <c r="AB26" s="258">
        <v>363949693.43777776</v>
      </c>
      <c r="AC26" s="152">
        <v>339920000</v>
      </c>
      <c r="AD26" s="258">
        <v>1153723205.5806348</v>
      </c>
      <c r="AE26" s="258">
        <v>-20341434.152063489</v>
      </c>
      <c r="AF26" s="84">
        <v>-1.7947557182275944E-2</v>
      </c>
      <c r="AG26" s="172">
        <v>8828.1846669119423</v>
      </c>
    </row>
    <row r="27" spans="1:33">
      <c r="T27" s="26" t="s">
        <v>165</v>
      </c>
      <c r="U27" s="16">
        <v>376557</v>
      </c>
      <c r="V27" s="16">
        <v>3315137400</v>
      </c>
      <c r="W27" s="16">
        <v>861622718</v>
      </c>
      <c r="X27" s="16">
        <v>0</v>
      </c>
      <c r="Y27" s="16">
        <v>217132142.85714284</v>
      </c>
      <c r="Z27" s="12">
        <v>1086612003.7142856</v>
      </c>
      <c r="AA27" s="12">
        <v>729632608.57142854</v>
      </c>
      <c r="AB27" s="12">
        <v>357826077.9308756</v>
      </c>
      <c r="AC27">
        <v>330050000</v>
      </c>
      <c r="AD27" s="12">
        <v>1087458686.5023041</v>
      </c>
      <c r="AE27" s="12">
        <v>-846682.78801847249</v>
      </c>
      <c r="AF27" s="206">
        <v>-7.7919513600468169E-4</v>
      </c>
      <c r="AG27" s="35">
        <v>8803.8129685545609</v>
      </c>
    </row>
    <row r="28" spans="1:33">
      <c r="T28" s="26" t="s">
        <v>36</v>
      </c>
      <c r="U28" s="16">
        <v>355469</v>
      </c>
      <c r="V28" s="16">
        <v>3094723300</v>
      </c>
      <c r="W28" s="16">
        <v>803254871</v>
      </c>
      <c r="X28" s="16">
        <v>0</v>
      </c>
      <c r="Y28" s="16">
        <v>200702142.85714287</v>
      </c>
      <c r="Z28" s="12">
        <v>1016212013.8571428</v>
      </c>
      <c r="AA28" s="12">
        <v>683337449.28571427</v>
      </c>
      <c r="AB28" s="12">
        <v>330980969.01428568</v>
      </c>
      <c r="AC28">
        <v>308070000</v>
      </c>
      <c r="AD28" s="12">
        <v>1014318418.3</v>
      </c>
      <c r="AE28" s="12">
        <v>1893595.5571428873</v>
      </c>
      <c r="AF28" s="206">
        <v>1.8633863124246487E-3</v>
      </c>
      <c r="AG28" s="35">
        <v>8706.0286551007266</v>
      </c>
    </row>
    <row r="29" spans="1:33">
      <c r="A29" s="11"/>
      <c r="B29" s="16"/>
      <c r="C29" s="16"/>
      <c r="D29" s="16"/>
      <c r="E29" s="16"/>
      <c r="F29" s="16"/>
      <c r="G29" s="12"/>
      <c r="H29" s="12"/>
      <c r="I29" s="12"/>
      <c r="K29" s="12"/>
      <c r="L29" s="12"/>
      <c r="M29" s="13"/>
      <c r="N29" s="35"/>
      <c r="T29" s="26" t="s">
        <v>166</v>
      </c>
      <c r="U29" s="16">
        <v>334227</v>
      </c>
      <c r="V29" s="16">
        <v>2902317380</v>
      </c>
      <c r="W29" s="16">
        <v>752458288.60000002</v>
      </c>
      <c r="X29" s="16">
        <v>0</v>
      </c>
      <c r="Y29" s="16">
        <v>196057857.14285713</v>
      </c>
      <c r="Z29" s="12">
        <v>958655431.45714283</v>
      </c>
      <c r="AA29" s="12">
        <v>651807768.57142854</v>
      </c>
      <c r="AB29" s="12">
        <v>327055684.78761911</v>
      </c>
      <c r="AC29">
        <v>298725000</v>
      </c>
      <c r="AD29" s="12">
        <v>978863453.35904777</v>
      </c>
      <c r="AE29" s="12">
        <v>-20208021.901904825</v>
      </c>
      <c r="AF29" s="13">
        <v>-2.1079546663798607E-2</v>
      </c>
      <c r="AG29" s="35">
        <v>8683.6712174659733</v>
      </c>
    </row>
    <row r="30" spans="1:33">
      <c r="A30" s="11"/>
      <c r="B30" s="16"/>
      <c r="C30" s="16"/>
      <c r="D30" s="16"/>
      <c r="E30" s="16"/>
      <c r="F30" s="16"/>
      <c r="G30" s="12"/>
      <c r="H30" s="12"/>
      <c r="I30" s="12"/>
      <c r="K30" s="12"/>
      <c r="L30" s="12"/>
      <c r="M30" s="13"/>
      <c r="N30" s="35"/>
      <c r="T30" s="278" t="s">
        <v>23</v>
      </c>
      <c r="U30" s="16">
        <v>275541</v>
      </c>
      <c r="V30" s="16">
        <v>2418662000</v>
      </c>
      <c r="W30" s="16">
        <v>628852120</v>
      </c>
      <c r="X30" s="16">
        <v>0</v>
      </c>
      <c r="Y30" s="16">
        <v>159846428.57142857</v>
      </c>
      <c r="Z30" s="12">
        <v>798262834.28571427</v>
      </c>
      <c r="AA30" s="12">
        <v>544900792.14285707</v>
      </c>
      <c r="AB30" s="12">
        <v>265384970.50190479</v>
      </c>
      <c r="AC30">
        <v>246400000</v>
      </c>
      <c r="AD30" s="12">
        <v>810285762.6447618</v>
      </c>
      <c r="AE30" s="12">
        <v>-12022928.359047666</v>
      </c>
      <c r="AF30" s="13">
        <v>-1.506136555863306E-2</v>
      </c>
      <c r="AG30" s="35">
        <v>8777.8660888942122</v>
      </c>
    </row>
    <row r="31" spans="1:33">
      <c r="A31" s="11"/>
      <c r="B31" s="16"/>
      <c r="C31" s="16" cm="1">
        <f t="array" ref="C31:N31">TRANSPOSE(F6:F17)+TRANSPOSE(E6:E17)</f>
        <v>351806116.00000006</v>
      </c>
      <c r="D31" s="16">
        <v>365389162.57142854</v>
      </c>
      <c r="E31" s="16">
        <v>410408069.07792205</v>
      </c>
      <c r="F31" s="16">
        <v>349452056.18181825</v>
      </c>
      <c r="G31" s="12">
        <v>374239686.14285719</v>
      </c>
      <c r="H31" s="12">
        <v>257002771</v>
      </c>
      <c r="I31" s="12">
        <v>219550000</v>
      </c>
      <c r="J31">
        <v>227672142.85714284</v>
      </c>
      <c r="K31" s="12">
        <v>225655185.71428573</v>
      </c>
      <c r="L31" s="12">
        <v>224971057.14285713</v>
      </c>
      <c r="M31" s="13">
        <v>204588857.14285716</v>
      </c>
      <c r="N31" s="35">
        <v>196782857.14285713</v>
      </c>
      <c r="T31" s="278" t="s">
        <v>172</v>
      </c>
      <c r="U31" s="16">
        <v>27292</v>
      </c>
      <c r="V31" s="16">
        <v>240066000</v>
      </c>
      <c r="W31" s="16">
        <v>62417160</v>
      </c>
      <c r="X31" s="16">
        <v>0</v>
      </c>
      <c r="Y31" s="16">
        <v>14746428.571428571</v>
      </c>
      <c r="Z31" s="12">
        <v>77738588.571428567</v>
      </c>
      <c r="AA31" s="12">
        <v>56248376.428571433</v>
      </c>
      <c r="AB31" s="12">
        <v>28937380.952380955</v>
      </c>
      <c r="AC31">
        <v>23835000</v>
      </c>
      <c r="AD31" s="12">
        <v>85185757.380952388</v>
      </c>
      <c r="AE31" s="12">
        <v>-7447168.8095238209</v>
      </c>
      <c r="AF31" s="13">
        <v>-9.5797581952251895E-2</v>
      </c>
      <c r="AG31" s="35">
        <v>8796.2040158288146</v>
      </c>
    </row>
    <row r="32" spans="1:33">
      <c r="T32" s="278" t="s">
        <v>205</v>
      </c>
      <c r="U32" s="16">
        <v>5875</v>
      </c>
      <c r="V32" s="16">
        <v>11851380</v>
      </c>
      <c r="W32" s="16">
        <v>937128.6</v>
      </c>
      <c r="X32" s="16">
        <v>0</v>
      </c>
      <c r="Y32" s="16">
        <v>0</v>
      </c>
      <c r="Z32" s="12">
        <v>937128.6</v>
      </c>
      <c r="AA32" s="12">
        <v>0</v>
      </c>
      <c r="AB32" s="12">
        <v>541666.66666666674</v>
      </c>
      <c r="AC32">
        <v>0</v>
      </c>
      <c r="AD32" s="12">
        <v>541666.66666666674</v>
      </c>
      <c r="AE32" s="12">
        <v>395461.93333333341</v>
      </c>
      <c r="AF32" s="13">
        <v>0.42199323906380981</v>
      </c>
      <c r="AG32" s="35">
        <v>2017.2561702127659</v>
      </c>
    </row>
    <row r="33" spans="2:33">
      <c r="B33" t="s">
        <v>206</v>
      </c>
      <c r="C33" cm="1">
        <f t="array" ref="C33:N33">TRANSPOSE(D12:D23)</f>
        <v>996822305.23809528</v>
      </c>
      <c r="D33">
        <v>949053801.42857146</v>
      </c>
      <c r="E33">
        <v>915238200.44000006</v>
      </c>
      <c r="F33">
        <v>872496138.44000006</v>
      </c>
      <c r="G33">
        <v>808298583.20000005</v>
      </c>
      <c r="H33">
        <v>756734618.60000002</v>
      </c>
      <c r="I33">
        <v>10355176550.680002</v>
      </c>
      <c r="J33">
        <v>0</v>
      </c>
      <c r="K33">
        <v>0</v>
      </c>
      <c r="L33">
        <v>0</v>
      </c>
      <c r="M33">
        <v>0</v>
      </c>
      <c r="N33">
        <v>0</v>
      </c>
      <c r="T33" s="278" t="s">
        <v>173</v>
      </c>
      <c r="U33" s="16">
        <v>10300</v>
      </c>
      <c r="V33" s="16">
        <v>92256000</v>
      </c>
      <c r="W33" s="16">
        <v>23986560</v>
      </c>
      <c r="X33" s="16">
        <v>0</v>
      </c>
      <c r="Y33" s="16">
        <v>9470000</v>
      </c>
      <c r="Z33" s="12">
        <v>33456560</v>
      </c>
      <c r="AA33" s="12">
        <v>19845300</v>
      </c>
      <c r="AB33" s="12">
        <v>12005000</v>
      </c>
      <c r="AC33">
        <v>12005000</v>
      </c>
      <c r="AD33" s="12">
        <v>31850300</v>
      </c>
      <c r="AE33" s="12">
        <v>1606260</v>
      </c>
      <c r="AF33" s="13">
        <v>4.8010315465786081E-2</v>
      </c>
      <c r="AG33" s="35">
        <v>8956.8932038834955</v>
      </c>
    </row>
    <row r="34" spans="2:33">
      <c r="T34" s="278" t="s">
        <v>174</v>
      </c>
      <c r="U34" s="16">
        <v>15219</v>
      </c>
      <c r="V34" s="16">
        <v>139482000</v>
      </c>
      <c r="W34" s="16">
        <v>36265320</v>
      </c>
      <c r="X34" s="16">
        <v>0</v>
      </c>
      <c r="Y34" s="16">
        <v>11995000</v>
      </c>
      <c r="Z34" s="12">
        <v>48260320</v>
      </c>
      <c r="AA34" s="12">
        <v>30813300</v>
      </c>
      <c r="AB34" s="12">
        <v>20186666.666666668</v>
      </c>
      <c r="AC34">
        <v>16485000</v>
      </c>
      <c r="AD34" s="12">
        <v>50999966.666666672</v>
      </c>
      <c r="AE34" s="12">
        <v>-2739646.6666666716</v>
      </c>
      <c r="AF34" s="13">
        <v>-5.6768099893798295E-2</v>
      </c>
      <c r="AG34" s="35">
        <v>9164.9911295091661</v>
      </c>
    </row>
    <row r="35" spans="2:33">
      <c r="B35" t="s">
        <v>207</v>
      </c>
      <c r="C35" cm="1">
        <f t="array" ref="C35:N35">TRANSPOSE(H12:H23)</f>
        <v>784919029.28571439</v>
      </c>
      <c r="D35">
        <v>770255895</v>
      </c>
      <c r="E35">
        <v>797190212.14285719</v>
      </c>
      <c r="F35">
        <v>737540120</v>
      </c>
      <c r="G35">
        <v>686849027.85714281</v>
      </c>
      <c r="H35">
        <v>653709838.57142854</v>
      </c>
      <c r="I35">
        <v>9206071648.1428566</v>
      </c>
      <c r="J35">
        <v>0</v>
      </c>
      <c r="K35">
        <v>0</v>
      </c>
      <c r="L35">
        <v>0</v>
      </c>
      <c r="M35">
        <v>0</v>
      </c>
      <c r="N35">
        <v>0</v>
      </c>
      <c r="T35" s="11">
        <v>2026</v>
      </c>
      <c r="U35" s="16">
        <v>874389</v>
      </c>
      <c r="V35" s="16">
        <v>7583521879</v>
      </c>
      <c r="W35" s="16">
        <v>1961702196.0999999</v>
      </c>
      <c r="X35" s="16">
        <v>0</v>
      </c>
      <c r="Y35" s="16">
        <v>549272142.85714281</v>
      </c>
      <c r="Z35" s="12">
        <v>2530785053.2428575</v>
      </c>
      <c r="AA35" s="12">
        <v>1623943451.4285715</v>
      </c>
      <c r="AB35" s="12">
        <v>959125567.85087562</v>
      </c>
      <c r="AC35">
        <v>874300000</v>
      </c>
      <c r="AD35" s="12">
        <v>2583069019.2794461</v>
      </c>
      <c r="AE35" s="12">
        <v>-52283966.036589928</v>
      </c>
      <c r="AF35" s="13">
        <v>-2.0659188724698338E-2</v>
      </c>
      <c r="AG35" s="35">
        <v>8672.9383363697398</v>
      </c>
    </row>
    <row r="36" spans="2:33">
      <c r="T36" s="336" t="s">
        <v>21</v>
      </c>
      <c r="U36" s="288">
        <v>293134</v>
      </c>
      <c r="V36" s="288">
        <v>2535130379</v>
      </c>
      <c r="W36" s="288">
        <v>657002493.89999998</v>
      </c>
      <c r="X36" s="288">
        <v>0</v>
      </c>
      <c r="Y36" s="288">
        <v>189658571.4285714</v>
      </c>
      <c r="Z36" s="121">
        <v>854446779.61428571</v>
      </c>
      <c r="AA36" s="121">
        <v>574371877.14285707</v>
      </c>
      <c r="AB36" s="121">
        <v>325055922.8828572</v>
      </c>
      <c r="AC36" s="130">
        <v>297115000</v>
      </c>
      <c r="AD36" s="121">
        <v>899427800.02571416</v>
      </c>
      <c r="AE36" s="121">
        <v>-44981020.411428623</v>
      </c>
      <c r="AF36" s="289">
        <v>-5.2643443084581527E-2</v>
      </c>
      <c r="AG36" s="39">
        <v>8648.3668868162677</v>
      </c>
    </row>
    <row r="37" spans="2:33">
      <c r="T37" s="278" t="s">
        <v>23</v>
      </c>
      <c r="U37" s="16">
        <v>234692</v>
      </c>
      <c r="V37" s="16">
        <v>2057246000</v>
      </c>
      <c r="W37" s="16">
        <v>534883960</v>
      </c>
      <c r="X37" s="16">
        <v>0</v>
      </c>
      <c r="Y37" s="16">
        <v>151639285.7142857</v>
      </c>
      <c r="Z37" s="12">
        <v>693258960</v>
      </c>
      <c r="AA37" s="12">
        <v>466457137.14285713</v>
      </c>
      <c r="AB37" s="12">
        <v>257927827.64476192</v>
      </c>
      <c r="AC37">
        <v>239575000</v>
      </c>
      <c r="AD37" s="12">
        <v>724384964.78761911</v>
      </c>
      <c r="AE37" s="12">
        <v>-31126004.787619084</v>
      </c>
      <c r="AF37" s="13">
        <v>-4.4898092319815217E-2</v>
      </c>
      <c r="AG37" s="35">
        <v>8765.726995381181</v>
      </c>
    </row>
    <row r="38" spans="2:33">
      <c r="B38" t="s">
        <v>208</v>
      </c>
      <c r="C38" s="123" cm="1">
        <f t="array" ref="C38:N38">TRANSPOSE(J12:J23)</f>
        <v>351140000</v>
      </c>
      <c r="D38" s="123">
        <v>348950000</v>
      </c>
      <c r="E38" s="123">
        <v>342755000</v>
      </c>
      <c r="F38" s="123">
        <v>337740010</v>
      </c>
      <c r="G38" s="123">
        <v>311710000</v>
      </c>
      <c r="H38" s="123">
        <v>299740000</v>
      </c>
      <c r="I38" s="123">
        <v>4161475781.4285717</v>
      </c>
      <c r="J38" s="123">
        <v>0</v>
      </c>
      <c r="K38" s="123">
        <v>0</v>
      </c>
      <c r="L38" s="123">
        <v>0</v>
      </c>
      <c r="M38" s="123">
        <v>0</v>
      </c>
      <c r="N38" s="123">
        <v>0</v>
      </c>
      <c r="T38" s="278" t="s">
        <v>172</v>
      </c>
      <c r="U38" s="16">
        <v>31711</v>
      </c>
      <c r="V38" s="16">
        <v>278968000</v>
      </c>
      <c r="W38" s="16">
        <v>72531680</v>
      </c>
      <c r="X38" s="16">
        <v>0</v>
      </c>
      <c r="Y38" s="16">
        <v>19264285.714285713</v>
      </c>
      <c r="Z38" s="12">
        <v>92845965.714285716</v>
      </c>
      <c r="AA38" s="12">
        <v>66389960</v>
      </c>
      <c r="AB38" s="12">
        <v>37168809.52380953</v>
      </c>
      <c r="AC38">
        <v>31745000</v>
      </c>
      <c r="AD38" s="12">
        <v>103558769.52380952</v>
      </c>
      <c r="AE38" s="12">
        <v>-10712803.809523819</v>
      </c>
      <c r="AF38" s="13">
        <v>-0.11538254491843254</v>
      </c>
      <c r="AG38" s="35">
        <v>8797.1997098798529</v>
      </c>
    </row>
    <row r="39" spans="2:33">
      <c r="C39" s="206">
        <f>C38/C42</f>
        <v>0.89304276890737511</v>
      </c>
      <c r="D39" s="206">
        <f t="shared" ref="D39:N39" si="0">D38/D42</f>
        <v>0.83537113183221068</v>
      </c>
      <c r="E39" s="206">
        <f t="shared" si="0"/>
        <v>0.72586997374973772</v>
      </c>
      <c r="F39" s="206">
        <f t="shared" si="0"/>
        <v>0.80779245141300282</v>
      </c>
      <c r="G39" s="206">
        <f t="shared" si="0"/>
        <v>0.71331813338274863</v>
      </c>
      <c r="H39" s="206">
        <f t="shared" si="0"/>
        <v>0.73830522475588944</v>
      </c>
      <c r="I39" s="206">
        <f t="shared" si="0"/>
        <v>10.202928890278976</v>
      </c>
      <c r="J39" s="206">
        <f t="shared" si="0"/>
        <v>0</v>
      </c>
      <c r="K39" s="206">
        <f t="shared" si="0"/>
        <v>0</v>
      </c>
      <c r="L39" s="206">
        <f t="shared" si="0"/>
        <v>0</v>
      </c>
      <c r="M39" s="206">
        <f t="shared" si="0"/>
        <v>0</v>
      </c>
      <c r="N39" s="206">
        <f t="shared" si="0"/>
        <v>0</v>
      </c>
      <c r="T39" s="278" t="s">
        <v>205</v>
      </c>
      <c r="U39" s="16">
        <v>6906</v>
      </c>
      <c r="V39" s="16">
        <v>12750379</v>
      </c>
      <c r="W39" s="16">
        <v>1183693.8999999999</v>
      </c>
      <c r="X39" s="16">
        <v>0</v>
      </c>
      <c r="Y39" s="16">
        <v>0</v>
      </c>
      <c r="Z39" s="12">
        <v>1183693.8999999999</v>
      </c>
      <c r="AA39" s="12">
        <v>0</v>
      </c>
      <c r="AB39" s="12">
        <v>775000</v>
      </c>
      <c r="AC39">
        <v>0</v>
      </c>
      <c r="AD39" s="12">
        <v>775000</v>
      </c>
      <c r="AE39" s="12">
        <v>408693.9</v>
      </c>
      <c r="AF39" s="13">
        <v>0.34526992155657815</v>
      </c>
      <c r="AG39" s="35">
        <v>1846.2755574862438</v>
      </c>
    </row>
    <row r="40" spans="2:33">
      <c r="B40" t="s">
        <v>209</v>
      </c>
      <c r="C40" s="339">
        <v>6755000</v>
      </c>
      <c r="D40" s="339">
        <v>5740000</v>
      </c>
      <c r="E40" s="339">
        <v>6300000</v>
      </c>
      <c r="F40" s="339">
        <v>5250000</v>
      </c>
      <c r="G40" s="339">
        <v>7035000</v>
      </c>
      <c r="H40" s="339">
        <v>6160000</v>
      </c>
      <c r="I40" s="339">
        <v>8370000</v>
      </c>
      <c r="J40" s="339">
        <v>8460000</v>
      </c>
      <c r="K40" s="339">
        <v>9405000</v>
      </c>
      <c r="L40" s="339">
        <v>9810000</v>
      </c>
      <c r="M40" s="339">
        <v>8325000</v>
      </c>
      <c r="N40" s="339">
        <v>8370000</v>
      </c>
      <c r="T40" s="278" t="s">
        <v>173</v>
      </c>
      <c r="U40" s="16">
        <v>8444</v>
      </c>
      <c r="V40" s="16">
        <v>77424000</v>
      </c>
      <c r="W40" s="16">
        <v>20130240</v>
      </c>
      <c r="X40" s="16">
        <v>0</v>
      </c>
      <c r="Y40" s="16">
        <v>7415000</v>
      </c>
      <c r="Z40" s="12">
        <v>27545240</v>
      </c>
      <c r="AA40" s="12">
        <v>16137960</v>
      </c>
      <c r="AB40" s="12">
        <v>10325000</v>
      </c>
      <c r="AC40">
        <v>10325000</v>
      </c>
      <c r="AD40" s="12">
        <v>26462960</v>
      </c>
      <c r="AE40" s="12">
        <v>1082280</v>
      </c>
      <c r="AF40" s="13">
        <v>3.9290999098210801E-2</v>
      </c>
      <c r="AG40" s="35">
        <v>9169.1141639033631</v>
      </c>
    </row>
    <row r="41" spans="2:33">
      <c r="C41" s="206">
        <f>C40/C42</f>
        <v>1.7179768479721247E-2</v>
      </c>
      <c r="D41" s="206">
        <f t="shared" ref="D41:N41" si="1">D40/D42</f>
        <v>1.3741310493528842E-2</v>
      </c>
      <c r="E41" s="206">
        <f t="shared" si="1"/>
        <v>1.3341835522817605E-2</v>
      </c>
      <c r="F41" s="206">
        <f t="shared" si="1"/>
        <v>1.2556730752504758E-2</v>
      </c>
      <c r="G41" s="206">
        <f t="shared" si="1"/>
        <v>1.6098915878052154E-2</v>
      </c>
      <c r="H41" s="206">
        <f t="shared" si="1"/>
        <v>1.5173017229920194E-2</v>
      </c>
      <c r="I41" s="206">
        <f t="shared" si="1"/>
        <v>2.0521209132765641E-2</v>
      </c>
      <c r="J41" s="206">
        <f t="shared" si="1"/>
        <v>2.0486248100489327E-2</v>
      </c>
      <c r="K41" s="206">
        <f t="shared" si="1"/>
        <v>2.3040496518143112E-2</v>
      </c>
      <c r="L41" s="206">
        <f t="shared" si="1"/>
        <v>2.4785481573122027E-2</v>
      </c>
      <c r="M41" s="206">
        <f t="shared" si="1"/>
        <v>2.2578238372429511E-2</v>
      </c>
      <c r="N41" s="206">
        <f t="shared" si="1"/>
        <v>2.3385135943456217E-2</v>
      </c>
      <c r="T41" s="278" t="s">
        <v>174</v>
      </c>
      <c r="U41" s="16">
        <v>11381</v>
      </c>
      <c r="V41" s="16">
        <v>108742000</v>
      </c>
      <c r="W41" s="16">
        <v>28272920</v>
      </c>
      <c r="X41" s="16">
        <v>0</v>
      </c>
      <c r="Y41" s="16">
        <v>11340000</v>
      </c>
      <c r="Z41" s="12">
        <v>39612920</v>
      </c>
      <c r="AA41" s="12">
        <v>25386820</v>
      </c>
      <c r="AB41" s="12">
        <v>18859285.714285716</v>
      </c>
      <c r="AC41">
        <v>15470000</v>
      </c>
      <c r="AD41" s="12">
        <v>44246105.714285716</v>
      </c>
      <c r="AE41" s="12">
        <v>-4633185.7142857146</v>
      </c>
      <c r="AF41" s="13">
        <v>-0.11696147909029969</v>
      </c>
      <c r="AG41" s="35">
        <v>9554.6964238643359</v>
      </c>
    </row>
    <row r="42" spans="2:33">
      <c r="C42" s="123">
        <v>393195054.28571433</v>
      </c>
      <c r="D42" s="123">
        <v>417718528.57142866</v>
      </c>
      <c r="E42" s="123">
        <v>472198895.66361034</v>
      </c>
      <c r="F42" s="123">
        <v>418102458.63181818</v>
      </c>
      <c r="G42" s="123">
        <v>436985946.95999998</v>
      </c>
      <c r="H42" s="123">
        <v>405983853.22155201</v>
      </c>
      <c r="I42" s="123">
        <v>407870703.22459</v>
      </c>
      <c r="J42" s="123">
        <v>412959950.42635101</v>
      </c>
      <c r="K42" s="123">
        <v>408194328.30338895</v>
      </c>
      <c r="L42" s="123">
        <v>395796223.32770002</v>
      </c>
      <c r="M42" s="123">
        <v>368717871.72579998</v>
      </c>
      <c r="N42" s="123">
        <v>357919664.02240002</v>
      </c>
      <c r="T42" s="26" t="s">
        <v>158</v>
      </c>
      <c r="U42" s="16">
        <v>217113</v>
      </c>
      <c r="V42" s="16">
        <v>1878458900</v>
      </c>
      <c r="W42" s="16">
        <v>483927460.19999999</v>
      </c>
      <c r="X42" s="16">
        <v>0</v>
      </c>
      <c r="Y42" s="16">
        <v>155108571.42857143</v>
      </c>
      <c r="Z42" s="12">
        <v>642761031.62857151</v>
      </c>
      <c r="AA42" s="12">
        <v>394355142.14285713</v>
      </c>
      <c r="AB42" s="12">
        <v>261636637.16857141</v>
      </c>
      <c r="AC42">
        <v>238910000</v>
      </c>
      <c r="AD42" s="12">
        <v>655991779.31142855</v>
      </c>
      <c r="AE42" s="12">
        <v>-13230747.682857102</v>
      </c>
      <c r="AF42" s="13">
        <v>-2.0584240537006724E-2</v>
      </c>
      <c r="AG42" s="35">
        <v>8651.9872140314037</v>
      </c>
    </row>
    <row r="43" spans="2:33">
      <c r="T43" s="278" t="s">
        <v>23</v>
      </c>
      <c r="U43" s="16">
        <v>172308</v>
      </c>
      <c r="V43" s="16">
        <v>1514944000</v>
      </c>
      <c r="W43" s="16">
        <v>391598960</v>
      </c>
      <c r="X43" s="16">
        <v>0</v>
      </c>
      <c r="Y43" s="16">
        <v>123478571.42857143</v>
      </c>
      <c r="Z43" s="12">
        <v>517877531.42857146</v>
      </c>
      <c r="AA43" s="12">
        <v>316050915</v>
      </c>
      <c r="AB43" s="12">
        <v>206405684.78761902</v>
      </c>
      <c r="AC43">
        <v>191310000</v>
      </c>
      <c r="AD43" s="12">
        <v>522456599.78761899</v>
      </c>
      <c r="AE43" s="12">
        <v>-4579068.3590475842</v>
      </c>
      <c r="AF43" s="13">
        <v>-8.8419907819058466E-3</v>
      </c>
      <c r="AG43" s="35">
        <v>8792.0700141606885</v>
      </c>
    </row>
    <row r="44" spans="2:33">
      <c r="T44" s="278" t="s">
        <v>172</v>
      </c>
      <c r="U44" s="16">
        <v>26457</v>
      </c>
      <c r="V44" s="16">
        <v>233264000</v>
      </c>
      <c r="W44" s="16">
        <v>60331120</v>
      </c>
      <c r="X44" s="16">
        <v>0</v>
      </c>
      <c r="Y44" s="16">
        <v>17499999.999999996</v>
      </c>
      <c r="Z44" s="12">
        <v>78756120</v>
      </c>
      <c r="AA44" s="12">
        <v>50604327.142857142</v>
      </c>
      <c r="AB44" s="12">
        <v>33630238.095238097</v>
      </c>
      <c r="AC44">
        <v>28735000</v>
      </c>
      <c r="AD44" s="12">
        <v>84234565.238095239</v>
      </c>
      <c r="AE44" s="12">
        <v>-5478445.2380952332</v>
      </c>
      <c r="AF44" s="13">
        <v>-6.956215260598457E-2</v>
      </c>
      <c r="AG44" s="35">
        <v>8816.721472578145</v>
      </c>
    </row>
    <row r="45" spans="2:33" ht="15.95">
      <c r="B45" t="s">
        <v>210</v>
      </c>
      <c r="C45" s="340">
        <v>547675628</v>
      </c>
      <c r="D45" s="340">
        <v>582910061</v>
      </c>
      <c r="E45" s="340">
        <v>639791985</v>
      </c>
      <c r="F45" s="340">
        <v>642311674</v>
      </c>
      <c r="G45" s="340">
        <v>602774204</v>
      </c>
      <c r="H45" s="340">
        <v>581020883</v>
      </c>
      <c r="I45" s="340">
        <v>560930600</v>
      </c>
      <c r="J45" s="340">
        <v>535752331</v>
      </c>
      <c r="K45" s="340">
        <v>530955034</v>
      </c>
      <c r="L45" s="340">
        <v>632536673</v>
      </c>
      <c r="M45" s="340">
        <v>622129034</v>
      </c>
      <c r="N45" s="340">
        <v>604670020</v>
      </c>
      <c r="T45" s="278" t="s">
        <v>205</v>
      </c>
      <c r="U45" s="16">
        <v>5278</v>
      </c>
      <c r="V45" s="16">
        <v>10437880</v>
      </c>
      <c r="W45" s="16">
        <v>845995.00000000012</v>
      </c>
      <c r="X45" s="16">
        <v>0</v>
      </c>
      <c r="Y45" s="16">
        <v>0</v>
      </c>
      <c r="Z45" s="12">
        <v>845995.00000000012</v>
      </c>
      <c r="AA45" s="12">
        <v>0</v>
      </c>
      <c r="AB45" s="12">
        <v>1325000</v>
      </c>
      <c r="AC45">
        <v>0</v>
      </c>
      <c r="AD45" s="12">
        <v>1325000</v>
      </c>
      <c r="AE45" s="12">
        <v>-479005</v>
      </c>
      <c r="AF45" s="13">
        <v>-0.56620310994745826</v>
      </c>
      <c r="AG45" s="35">
        <v>1977.6203107237591</v>
      </c>
    </row>
    <row r="46" spans="2:33" ht="15.95">
      <c r="L46" s="340"/>
      <c r="M46" s="340"/>
      <c r="N46" s="340"/>
      <c r="T46" s="278" t="s">
        <v>173</v>
      </c>
      <c r="U46" s="16">
        <v>4983</v>
      </c>
      <c r="V46" s="16">
        <v>46067020</v>
      </c>
      <c r="W46" s="16">
        <v>11977425.199999999</v>
      </c>
      <c r="X46" s="16">
        <v>0</v>
      </c>
      <c r="Y46" s="16">
        <v>5530000</v>
      </c>
      <c r="Z46" s="12">
        <v>17507425.199999999</v>
      </c>
      <c r="AA46" s="12">
        <v>9796600</v>
      </c>
      <c r="AB46" s="12">
        <v>7105000</v>
      </c>
      <c r="AC46">
        <v>7105000</v>
      </c>
      <c r="AD46" s="12">
        <v>16901600</v>
      </c>
      <c r="AE46" s="12">
        <v>605825.20000000019</v>
      </c>
      <c r="AF46" s="13">
        <v>3.4603900521020088E-2</v>
      </c>
      <c r="AG46" s="35">
        <v>9244.8364439092911</v>
      </c>
    </row>
    <row r="47" spans="2:33">
      <c r="B47" t="s">
        <v>211</v>
      </c>
      <c r="C47" s="1">
        <f>C45*C39</f>
        <v>489097759.29220551</v>
      </c>
      <c r="D47" s="1">
        <f t="shared" ref="D47:N47" si="2">D45*D39</f>
        <v>486946237.41395295</v>
      </c>
      <c r="E47" s="1">
        <f t="shared" si="2"/>
        <v>464405791.35724258</v>
      </c>
      <c r="F47" s="1">
        <f t="shared" si="2"/>
        <v>518854521.71164954</v>
      </c>
      <c r="G47" s="1">
        <f t="shared" si="2"/>
        <v>429969770.04855216</v>
      </c>
      <c r="H47" s="1">
        <f t="shared" si="2"/>
        <v>428970753.61118037</v>
      </c>
      <c r="I47" s="1">
        <f t="shared" si="2"/>
        <v>5723135024.1815205</v>
      </c>
      <c r="J47" s="1">
        <f t="shared" si="2"/>
        <v>0</v>
      </c>
      <c r="K47" s="1">
        <f t="shared" si="2"/>
        <v>0</v>
      </c>
      <c r="L47" s="1">
        <f t="shared" si="2"/>
        <v>0</v>
      </c>
      <c r="M47" s="1">
        <f t="shared" si="2"/>
        <v>0</v>
      </c>
      <c r="N47" s="1">
        <f t="shared" si="2"/>
        <v>0</v>
      </c>
      <c r="T47" s="278" t="s">
        <v>174</v>
      </c>
      <c r="U47" s="16">
        <v>8087</v>
      </c>
      <c r="V47" s="16">
        <v>73746000</v>
      </c>
      <c r="W47" s="16">
        <v>19173960</v>
      </c>
      <c r="X47" s="16">
        <v>0</v>
      </c>
      <c r="Y47" s="16">
        <v>8600000</v>
      </c>
      <c r="Z47" s="12">
        <v>27773960</v>
      </c>
      <c r="AA47" s="12">
        <v>17903300</v>
      </c>
      <c r="AB47" s="12">
        <v>13170714.285714285</v>
      </c>
      <c r="AC47">
        <v>11760000</v>
      </c>
      <c r="AD47" s="12">
        <v>31074014.285714284</v>
      </c>
      <c r="AE47" s="12">
        <v>-3300054.2857142854</v>
      </c>
      <c r="AF47" s="13">
        <v>-0.11881828467075943</v>
      </c>
      <c r="AG47" s="35">
        <v>9119.0800049462105</v>
      </c>
    </row>
    <row r="48" spans="2:33">
      <c r="B48" t="s">
        <v>212</v>
      </c>
      <c r="C48" s="1">
        <f>C45*C41</f>
        <v>9408940.4910259396</v>
      </c>
      <c r="D48" s="1">
        <f t="shared" ref="D48:N48" si="3">D45*D41</f>
        <v>8009948.138002838</v>
      </c>
      <c r="E48" s="1">
        <f t="shared" si="3"/>
        <v>8535999.4326869883</v>
      </c>
      <c r="F48" s="1">
        <f t="shared" si="3"/>
        <v>8065334.7496086108</v>
      </c>
      <c r="G48" s="1">
        <f t="shared" si="3"/>
        <v>9704011.2036558483</v>
      </c>
      <c r="H48" s="1">
        <f t="shared" si="3"/>
        <v>8815839.8687024452</v>
      </c>
      <c r="I48" s="1">
        <f t="shared" si="3"/>
        <v>11510974.151567711</v>
      </c>
      <c r="J48" s="1">
        <f t="shared" si="3"/>
        <v>10975555.17328148</v>
      </c>
      <c r="K48" s="1">
        <f t="shared" si="3"/>
        <v>12233467.612167558</v>
      </c>
      <c r="L48" s="1">
        <f t="shared" si="3"/>
        <v>15677726.052965414</v>
      </c>
      <c r="M48" s="1">
        <f t="shared" si="3"/>
        <v>14046577.628061304</v>
      </c>
      <c r="N48" s="1">
        <f t="shared" si="3"/>
        <v>14140290.618632389</v>
      </c>
      <c r="T48" s="26" t="s">
        <v>159</v>
      </c>
      <c r="U48" s="16">
        <v>234442</v>
      </c>
      <c r="V48" s="16">
        <v>2047015580</v>
      </c>
      <c r="W48" s="16">
        <v>529758310.60000002</v>
      </c>
      <c r="X48" s="16">
        <v>0</v>
      </c>
      <c r="Y48" s="16">
        <v>146943571.42857143</v>
      </c>
      <c r="Z48" s="12">
        <v>682573310.60000002</v>
      </c>
      <c r="AA48" s="12">
        <v>423417334.28571433</v>
      </c>
      <c r="AB48" s="12">
        <v>268387055.25907835</v>
      </c>
      <c r="AC48">
        <v>243425000</v>
      </c>
      <c r="AD48" s="12">
        <v>691804389.54479265</v>
      </c>
      <c r="AE48" s="12">
        <v>-9231078.9447926693</v>
      </c>
      <c r="AF48" s="13">
        <v>-1.3523937724254566E-2</v>
      </c>
      <c r="AG48" s="35">
        <v>8731.4371145101995</v>
      </c>
    </row>
    <row r="49" spans="2:33">
      <c r="T49" s="278" t="s">
        <v>23</v>
      </c>
      <c r="U49" s="16">
        <v>189842</v>
      </c>
      <c r="V49" s="16">
        <v>1680702000</v>
      </c>
      <c r="W49" s="16">
        <v>436982520</v>
      </c>
      <c r="X49" s="16">
        <v>0</v>
      </c>
      <c r="Y49" s="16">
        <v>117925000</v>
      </c>
      <c r="Z49" s="12">
        <v>559343234.28571427</v>
      </c>
      <c r="AA49" s="12">
        <v>347530060.71428573</v>
      </c>
      <c r="AB49" s="12">
        <v>214808723.73680493</v>
      </c>
      <c r="AC49">
        <v>197750000</v>
      </c>
      <c r="AD49" s="12">
        <v>562338784.45109069</v>
      </c>
      <c r="AE49" s="12">
        <v>-2995550.1653763782</v>
      </c>
      <c r="AF49" s="13">
        <v>-5.3554776061638066E-3</v>
      </c>
      <c r="AG49" s="35">
        <v>8853.1621032226794</v>
      </c>
    </row>
    <row r="50" spans="2:33">
      <c r="T50" s="278" t="s">
        <v>172</v>
      </c>
      <c r="U50" s="16">
        <v>30083</v>
      </c>
      <c r="V50" s="16">
        <v>267076000</v>
      </c>
      <c r="W50" s="16">
        <v>69439760</v>
      </c>
      <c r="X50" s="16">
        <v>0</v>
      </c>
      <c r="Y50" s="16">
        <v>19503571.428571429</v>
      </c>
      <c r="Z50" s="12">
        <v>90379045.714285716</v>
      </c>
      <c r="AA50" s="12">
        <v>55803653.571428575</v>
      </c>
      <c r="AB50" s="12">
        <v>37863331.522273429</v>
      </c>
      <c r="AC50">
        <v>32760000</v>
      </c>
      <c r="AD50" s="12">
        <v>93666985.093702003</v>
      </c>
      <c r="AE50" s="12">
        <v>-3287939.3794162902</v>
      </c>
      <c r="AF50" s="13">
        <v>-3.6379443414465966E-2</v>
      </c>
      <c r="AG50" s="35">
        <v>8877.9709470465041</v>
      </c>
    </row>
    <row r="51" spans="2:33">
      <c r="T51" s="278" t="s">
        <v>205</v>
      </c>
      <c r="U51" s="16">
        <v>5195</v>
      </c>
      <c r="V51" s="16">
        <v>12977580</v>
      </c>
      <c r="W51" s="16">
        <v>908430.60000000009</v>
      </c>
      <c r="X51" s="16">
        <v>0</v>
      </c>
      <c r="Y51" s="16">
        <v>0</v>
      </c>
      <c r="Z51" s="12">
        <v>908430.60000000009</v>
      </c>
      <c r="AA51" s="12">
        <v>0</v>
      </c>
      <c r="AB51" s="12">
        <v>1400000</v>
      </c>
      <c r="AC51">
        <v>0</v>
      </c>
      <c r="AD51" s="12">
        <v>1400000</v>
      </c>
      <c r="AE51" s="12">
        <v>-491569.39999999991</v>
      </c>
      <c r="AF51" s="13">
        <v>-0.54111937664803433</v>
      </c>
      <c r="AG51" s="35">
        <v>2498.0904716073146</v>
      </c>
    </row>
    <row r="52" spans="2:33">
      <c r="T52" s="278" t="s">
        <v>173</v>
      </c>
      <c r="U52" s="16">
        <v>2855</v>
      </c>
      <c r="V52" s="16">
        <v>25972000</v>
      </c>
      <c r="W52" s="16">
        <v>6752720</v>
      </c>
      <c r="X52" s="16">
        <v>0</v>
      </c>
      <c r="Y52" s="16">
        <v>3490000</v>
      </c>
      <c r="Z52" s="12">
        <v>10242720</v>
      </c>
      <c r="AA52" s="12">
        <v>5872700</v>
      </c>
      <c r="AB52" s="12">
        <v>4025000</v>
      </c>
      <c r="AC52">
        <v>4025000</v>
      </c>
      <c r="AD52" s="12">
        <v>9897700</v>
      </c>
      <c r="AE52" s="12">
        <v>345020</v>
      </c>
      <c r="AF52" s="13">
        <v>3.3684411953074964E-2</v>
      </c>
      <c r="AG52" s="35">
        <v>9097.0227670753065</v>
      </c>
    </row>
    <row r="53" spans="2:33">
      <c r="T53" s="278" t="s">
        <v>174</v>
      </c>
      <c r="U53" s="16">
        <v>6467</v>
      </c>
      <c r="V53" s="16">
        <v>60288000</v>
      </c>
      <c r="W53" s="16">
        <v>15674880</v>
      </c>
      <c r="X53" s="16">
        <v>0</v>
      </c>
      <c r="Y53" s="16">
        <v>6025000</v>
      </c>
      <c r="Z53" s="12">
        <v>21699880</v>
      </c>
      <c r="AA53" s="12">
        <v>14210920</v>
      </c>
      <c r="AB53" s="12">
        <v>10290000</v>
      </c>
      <c r="AC53">
        <v>8890000</v>
      </c>
      <c r="AD53" s="12">
        <v>24500920</v>
      </c>
      <c r="AE53" s="12">
        <v>-2801040</v>
      </c>
      <c r="AF53" s="13">
        <v>-0.12908089814321555</v>
      </c>
      <c r="AG53" s="35">
        <v>9322.406061543219</v>
      </c>
    </row>
    <row r="54" spans="2:33">
      <c r="T54" s="26" t="s">
        <v>160</v>
      </c>
      <c r="U54" s="16">
        <v>129700</v>
      </c>
      <c r="V54" s="16">
        <v>1122917020</v>
      </c>
      <c r="W54" s="16">
        <v>291013931.39999998</v>
      </c>
      <c r="X54" s="16">
        <v>0</v>
      </c>
      <c r="Y54" s="16">
        <v>57561428.571428567</v>
      </c>
      <c r="Z54" s="12">
        <v>351003931.39999998</v>
      </c>
      <c r="AA54" s="12">
        <v>231799097.85714287</v>
      </c>
      <c r="AB54" s="12">
        <v>104045952.54036868</v>
      </c>
      <c r="AC54">
        <v>94850000</v>
      </c>
      <c r="AD54" s="12">
        <v>335845050.39751154</v>
      </c>
      <c r="AE54" s="12">
        <v>15158881.002488459</v>
      </c>
      <c r="AF54" s="13">
        <v>4.318721144240853E-2</v>
      </c>
      <c r="AG54" s="35">
        <v>8657.8027756360825</v>
      </c>
    </row>
    <row r="55" spans="2:33">
      <c r="B55" t="s">
        <v>213</v>
      </c>
      <c r="C55" s="1">
        <v>61717340</v>
      </c>
      <c r="D55" s="1">
        <v>56190828.571428575</v>
      </c>
      <c r="E55" s="1">
        <v>70140856.702571422</v>
      </c>
      <c r="F55" s="1">
        <v>67195640.449999988</v>
      </c>
      <c r="G55" s="1">
        <v>62960946.960000001</v>
      </c>
      <c r="H55" s="1">
        <v>56538353.221551992</v>
      </c>
      <c r="I55" s="1">
        <v>56730703.224589996</v>
      </c>
      <c r="J55" s="1">
        <v>64009950.426350996</v>
      </c>
      <c r="K55" s="1">
        <v>65439328.303388983</v>
      </c>
      <c r="L55" s="1">
        <v>58056213.327699997</v>
      </c>
      <c r="M55" s="1">
        <v>57007871.725799993</v>
      </c>
      <c r="N55" s="1">
        <v>58179664.022399999</v>
      </c>
      <c r="T55" s="11" t="s">
        <v>167</v>
      </c>
      <c r="U55" s="16">
        <v>5602477</v>
      </c>
      <c r="V55" s="16">
        <v>49240961959</v>
      </c>
      <c r="W55" s="16">
        <v>12161978083.700001</v>
      </c>
      <c r="X55" s="16">
        <v>931152464</v>
      </c>
      <c r="Y55" s="16">
        <v>2958822539.8311696</v>
      </c>
      <c r="Z55" s="12">
        <v>16126817287.53117</v>
      </c>
      <c r="AA55" s="12">
        <v>10692854859.571426</v>
      </c>
      <c r="AB55" s="12">
        <v>5205095517.5643978</v>
      </c>
      <c r="AC55">
        <v>4888583171.4285717</v>
      </c>
      <c r="AD55" s="12">
        <v>15897950377.13583</v>
      </c>
      <c r="AE55" s="12">
        <v>228866910.39534211</v>
      </c>
      <c r="AF55" s="13">
        <v>1.4191697364382982E-2</v>
      </c>
      <c r="AG55" s="35">
        <v>8789.1412957161629</v>
      </c>
    </row>
    <row r="56" spans="2:33">
      <c r="B56" t="s">
        <v>214</v>
      </c>
      <c r="C56" s="1">
        <v>331477714.28571433</v>
      </c>
      <c r="D56" s="1">
        <v>361527700.00000006</v>
      </c>
      <c r="E56" s="1">
        <v>402058038.96103895</v>
      </c>
      <c r="F56" s="1">
        <v>350906818.18181819</v>
      </c>
      <c r="G56" s="1">
        <v>374025000</v>
      </c>
      <c r="H56" s="1">
        <v>349445500</v>
      </c>
      <c r="I56" s="1">
        <v>351140000</v>
      </c>
      <c r="J56" s="1">
        <v>348950000</v>
      </c>
      <c r="K56" s="1">
        <v>342755000</v>
      </c>
      <c r="L56" s="1">
        <v>337740010</v>
      </c>
      <c r="M56" s="1">
        <v>311710000</v>
      </c>
      <c r="N56" s="1">
        <v>299740000</v>
      </c>
    </row>
    <row r="58" spans="2:33">
      <c r="C58" s="12">
        <f>SUM(C55:C56)</f>
        <v>393195054.28571433</v>
      </c>
      <c r="D58" s="12">
        <f t="shared" ref="D58:N58" si="4">SUM(D55:D56)</f>
        <v>417718528.57142866</v>
      </c>
      <c r="E58" s="12">
        <f t="shared" si="4"/>
        <v>472198895.66361034</v>
      </c>
      <c r="F58" s="12">
        <f t="shared" si="4"/>
        <v>418102458.63181818</v>
      </c>
      <c r="G58" s="12">
        <f t="shared" si="4"/>
        <v>436985946.95999998</v>
      </c>
      <c r="H58" s="12">
        <f t="shared" si="4"/>
        <v>405983853.22155201</v>
      </c>
      <c r="I58" s="12">
        <f t="shared" si="4"/>
        <v>407870703.22459</v>
      </c>
      <c r="J58" s="12">
        <f t="shared" si="4"/>
        <v>412959950.42635101</v>
      </c>
      <c r="K58" s="12">
        <f t="shared" si="4"/>
        <v>408194328.30338895</v>
      </c>
      <c r="L58" s="12">
        <f t="shared" si="4"/>
        <v>395796223.32770002</v>
      </c>
      <c r="M58" s="12">
        <f t="shared" si="4"/>
        <v>368717871.72579998</v>
      </c>
      <c r="N58" s="12">
        <f t="shared" si="4"/>
        <v>357919664.02240002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B452-7B61-964C-9AAC-E5D1CF8BABD5}">
  <sheetPr>
    <tabColor rgb="FF92D050"/>
  </sheetPr>
  <dimension ref="B3:AZ55"/>
  <sheetViews>
    <sheetView zoomScale="90" workbookViewId="0">
      <pane xSplit="3" topLeftCell="F1" activePane="topRight" state="frozen"/>
      <selection pane="topRight" activeCell="I5" sqref="I5"/>
    </sheetView>
  </sheetViews>
  <sheetFormatPr defaultColWidth="11.42578125" defaultRowHeight="15"/>
  <cols>
    <col min="1" max="2" width="7.140625" customWidth="1"/>
    <col min="3" max="3" width="13" bestFit="1" customWidth="1"/>
    <col min="4" max="4" width="10.7109375" bestFit="1" customWidth="1"/>
    <col min="5" max="5" width="16.7109375" bestFit="1" customWidth="1"/>
    <col min="6" max="6" width="18" bestFit="1" customWidth="1"/>
    <col min="7" max="7" width="17" bestFit="1" customWidth="1"/>
    <col min="8" max="8" width="18.28515625" bestFit="1" customWidth="1"/>
    <col min="9" max="9" width="26.85546875" bestFit="1" customWidth="1"/>
    <col min="10" max="10" width="14.7109375" bestFit="1" customWidth="1"/>
    <col min="11" max="11" width="17" bestFit="1" customWidth="1"/>
    <col min="12" max="12" width="14.28515625" bestFit="1" customWidth="1"/>
    <col min="13" max="13" width="14.7109375" bestFit="1" customWidth="1"/>
    <col min="14" max="14" width="12.140625" bestFit="1" customWidth="1"/>
    <col min="15" max="15" width="7.140625" bestFit="1" customWidth="1"/>
    <col min="16" max="16" width="11.28515625" bestFit="1" customWidth="1"/>
    <col min="20" max="20" width="18" bestFit="1" customWidth="1"/>
    <col min="21" max="21" width="15.42578125" bestFit="1" customWidth="1"/>
    <col min="22" max="23" width="11.140625" bestFit="1" customWidth="1"/>
    <col min="24" max="25" width="12.140625" bestFit="1" customWidth="1"/>
    <col min="26" max="26" width="19" bestFit="1" customWidth="1"/>
    <col min="27" max="27" width="22.42578125" bestFit="1" customWidth="1"/>
    <col min="28" max="28" width="23.42578125" bestFit="1" customWidth="1"/>
    <col min="29" max="29" width="22.28515625" bestFit="1" customWidth="1"/>
    <col min="30" max="30" width="23.28515625" bestFit="1" customWidth="1"/>
    <col min="31" max="33" width="9.28515625" bestFit="1" customWidth="1"/>
    <col min="34" max="34" width="7.7109375" bestFit="1" customWidth="1"/>
    <col min="35" max="35" width="8" bestFit="1" customWidth="1"/>
    <col min="36" max="41" width="7.7109375" bestFit="1" customWidth="1"/>
    <col min="42" max="42" width="10" bestFit="1" customWidth="1"/>
    <col min="43" max="43" width="7.7109375" bestFit="1" customWidth="1"/>
    <col min="44" max="46" width="9.28515625" bestFit="1" customWidth="1"/>
    <col min="47" max="47" width="7.7109375" bestFit="1" customWidth="1"/>
    <col min="48" max="48" width="8" bestFit="1" customWidth="1"/>
    <col min="49" max="50" width="7.7109375" bestFit="1" customWidth="1"/>
    <col min="51" max="51" width="9.28515625" bestFit="1" customWidth="1"/>
    <col min="52" max="53" width="10" bestFit="1" customWidth="1"/>
  </cols>
  <sheetData>
    <row r="3" spans="2:52" ht="15.95">
      <c r="C3" s="31" t="s">
        <v>102</v>
      </c>
      <c r="D3" t="s">
        <v>101</v>
      </c>
      <c r="T3" t="s">
        <v>114</v>
      </c>
      <c r="U3" s="32" t="s">
        <v>157</v>
      </c>
    </row>
    <row r="4" spans="2:52">
      <c r="U4">
        <v>2024</v>
      </c>
      <c r="AG4" t="s">
        <v>215</v>
      </c>
      <c r="AH4">
        <v>2025</v>
      </c>
      <c r="AT4" t="s">
        <v>216</v>
      </c>
      <c r="AU4">
        <v>2026</v>
      </c>
      <c r="AY4" t="s">
        <v>217</v>
      </c>
      <c r="AZ4" t="s">
        <v>167</v>
      </c>
    </row>
    <row r="5" spans="2:52" ht="48">
      <c r="B5" s="32"/>
      <c r="C5" s="31" t="s">
        <v>113</v>
      </c>
      <c r="D5" s="32" t="s">
        <v>114</v>
      </c>
      <c r="E5" s="32" t="s">
        <v>116</v>
      </c>
      <c r="F5" s="249" t="s">
        <v>117</v>
      </c>
      <c r="G5" s="249" t="s">
        <v>118</v>
      </c>
      <c r="H5" s="249" t="s">
        <v>119</v>
      </c>
      <c r="I5" s="130" t="s">
        <v>133</v>
      </c>
      <c r="J5" s="270" t="s">
        <v>120</v>
      </c>
      <c r="K5" s="251" t="s">
        <v>121</v>
      </c>
      <c r="L5" s="251" t="s">
        <v>122</v>
      </c>
      <c r="M5" s="251" t="s">
        <v>123</v>
      </c>
      <c r="N5" s="269" t="s">
        <v>124</v>
      </c>
      <c r="O5" s="269" t="s">
        <v>125</v>
      </c>
      <c r="P5" s="159" t="s">
        <v>126</v>
      </c>
      <c r="T5" s="32" t="s">
        <v>113</v>
      </c>
      <c r="U5" t="s">
        <v>21</v>
      </c>
      <c r="V5" t="s">
        <v>158</v>
      </c>
      <c r="W5" t="s">
        <v>159</v>
      </c>
      <c r="X5" t="s">
        <v>160</v>
      </c>
      <c r="Y5" t="s">
        <v>161</v>
      </c>
      <c r="Z5" t="s">
        <v>156</v>
      </c>
      <c r="AA5" t="s">
        <v>162</v>
      </c>
      <c r="AB5" t="s">
        <v>163</v>
      </c>
      <c r="AC5" t="s">
        <v>164</v>
      </c>
      <c r="AD5" t="s">
        <v>165</v>
      </c>
      <c r="AE5" t="s">
        <v>36</v>
      </c>
      <c r="AF5" t="s">
        <v>166</v>
      </c>
      <c r="AH5" t="s">
        <v>21</v>
      </c>
      <c r="AI5" t="s">
        <v>158</v>
      </c>
      <c r="AJ5" t="s">
        <v>159</v>
      </c>
      <c r="AK5" t="s">
        <v>160</v>
      </c>
      <c r="AL5" t="s">
        <v>161</v>
      </c>
      <c r="AM5" t="s">
        <v>156</v>
      </c>
      <c r="AN5" t="s">
        <v>162</v>
      </c>
      <c r="AO5" t="s">
        <v>163</v>
      </c>
      <c r="AP5" t="s">
        <v>164</v>
      </c>
      <c r="AQ5" t="s">
        <v>165</v>
      </c>
      <c r="AR5" t="s">
        <v>36</v>
      </c>
      <c r="AS5" t="s">
        <v>166</v>
      </c>
      <c r="AU5" t="s">
        <v>21</v>
      </c>
      <c r="AV5" t="s">
        <v>158</v>
      </c>
      <c r="AW5" t="s">
        <v>159</v>
      </c>
      <c r="AX5" t="s">
        <v>160</v>
      </c>
    </row>
    <row r="6" spans="2:52">
      <c r="C6" s="11">
        <v>2024</v>
      </c>
      <c r="D6" s="16">
        <v>1706366</v>
      </c>
      <c r="E6" s="16">
        <v>15091091000</v>
      </c>
      <c r="F6" s="16">
        <v>3443392170</v>
      </c>
      <c r="G6" s="16">
        <v>716927828.57142854</v>
      </c>
      <c r="H6" s="16">
        <v>664209288.71428573</v>
      </c>
      <c r="I6" s="199">
        <v>1208232728.5714285</v>
      </c>
      <c r="J6" s="12">
        <v>4827279287.2857141</v>
      </c>
      <c r="K6" s="12">
        <v>3270366348.4285717</v>
      </c>
      <c r="L6" s="12">
        <v>1208568514.2857141</v>
      </c>
      <c r="M6" s="12">
        <v>4478934862.7142849</v>
      </c>
      <c r="N6" s="12">
        <v>348344424.57142854</v>
      </c>
      <c r="O6" s="13">
        <v>7.2161647139189225E-2</v>
      </c>
      <c r="P6" s="35">
        <v>8843.9941958524723</v>
      </c>
      <c r="T6" s="11" t="s">
        <v>34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>
        <v>291</v>
      </c>
      <c r="AI6" s="16">
        <v>577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>
        <v>868</v>
      </c>
      <c r="AU6" s="16"/>
      <c r="AV6" s="16"/>
      <c r="AW6" s="16"/>
      <c r="AX6" s="16"/>
      <c r="AY6" s="16"/>
      <c r="AZ6" s="16">
        <v>868</v>
      </c>
    </row>
    <row r="7" spans="2:52">
      <c r="C7" s="26" t="s">
        <v>21</v>
      </c>
      <c r="D7" s="16">
        <v>1327</v>
      </c>
      <c r="E7" s="16">
        <v>11390000</v>
      </c>
      <c r="F7" s="16">
        <v>2619700</v>
      </c>
      <c r="G7" s="16">
        <v>0</v>
      </c>
      <c r="H7" s="16">
        <v>0</v>
      </c>
      <c r="I7" s="199">
        <v>0</v>
      </c>
      <c r="J7" s="12">
        <v>2619700</v>
      </c>
      <c r="K7" s="12">
        <v>1947000</v>
      </c>
      <c r="L7" s="12">
        <v>0</v>
      </c>
      <c r="M7" s="12">
        <v>1947000</v>
      </c>
      <c r="N7" s="12">
        <v>672700</v>
      </c>
      <c r="O7" s="13">
        <v>0.25678512806809939</v>
      </c>
      <c r="P7" s="35">
        <v>8583.2705350414471</v>
      </c>
      <c r="T7" s="11" t="s">
        <v>27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>
        <v>1626</v>
      </c>
      <c r="AI7" s="16">
        <v>2580</v>
      </c>
      <c r="AJ7" s="16">
        <v>1824</v>
      </c>
      <c r="AK7" s="16">
        <v>1625</v>
      </c>
      <c r="AL7" s="16">
        <v>3622</v>
      </c>
      <c r="AM7" s="16">
        <v>3253</v>
      </c>
      <c r="AN7" s="16">
        <v>3307</v>
      </c>
      <c r="AO7" s="16">
        <v>182</v>
      </c>
      <c r="AP7" s="16"/>
      <c r="AQ7" s="16"/>
      <c r="AR7" s="16"/>
      <c r="AS7" s="16"/>
      <c r="AT7" s="16">
        <v>18019</v>
      </c>
      <c r="AU7" s="16"/>
      <c r="AV7" s="16"/>
      <c r="AW7" s="16"/>
      <c r="AX7" s="16"/>
      <c r="AY7" s="16"/>
      <c r="AZ7" s="16">
        <v>18019</v>
      </c>
    </row>
    <row r="8" spans="2:52">
      <c r="C8" s="26" t="s">
        <v>158</v>
      </c>
      <c r="D8" s="16">
        <v>2954</v>
      </c>
      <c r="E8" s="16">
        <v>25778000</v>
      </c>
      <c r="F8" s="16">
        <v>5928940</v>
      </c>
      <c r="G8" s="16">
        <v>0</v>
      </c>
      <c r="H8" s="16">
        <v>0</v>
      </c>
      <c r="I8" s="199">
        <v>0</v>
      </c>
      <c r="J8" s="12">
        <v>5928940</v>
      </c>
      <c r="K8" s="12">
        <v>3404000</v>
      </c>
      <c r="L8" s="12">
        <v>0</v>
      </c>
      <c r="M8" s="12">
        <v>3404000</v>
      </c>
      <c r="N8" s="12">
        <v>2524940</v>
      </c>
      <c r="O8" s="13">
        <v>0.42586701838777252</v>
      </c>
      <c r="P8" s="35">
        <v>8726.4725795531485</v>
      </c>
      <c r="T8" s="11" t="s">
        <v>33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>
        <v>30</v>
      </c>
      <c r="AI8" s="16">
        <v>100</v>
      </c>
      <c r="AJ8" s="16"/>
      <c r="AK8" s="16"/>
      <c r="AL8" s="16">
        <v>48</v>
      </c>
      <c r="AM8" s="16">
        <v>704</v>
      </c>
      <c r="AN8" s="16">
        <v>14</v>
      </c>
      <c r="AO8" s="16"/>
      <c r="AP8" s="16"/>
      <c r="AQ8" s="16"/>
      <c r="AR8" s="16"/>
      <c r="AS8" s="16"/>
      <c r="AT8" s="16">
        <v>896</v>
      </c>
      <c r="AU8" s="16"/>
      <c r="AV8" s="16"/>
      <c r="AW8" s="16"/>
      <c r="AX8" s="16"/>
      <c r="AY8" s="16"/>
      <c r="AZ8" s="16">
        <v>896</v>
      </c>
    </row>
    <row r="9" spans="2:52">
      <c r="C9" s="26" t="s">
        <v>159</v>
      </c>
      <c r="D9" s="16">
        <v>5309</v>
      </c>
      <c r="E9" s="16">
        <v>46238000</v>
      </c>
      <c r="F9" s="16">
        <v>10634740</v>
      </c>
      <c r="G9" s="16">
        <v>0</v>
      </c>
      <c r="H9" s="16">
        <v>0</v>
      </c>
      <c r="I9" s="199">
        <v>0</v>
      </c>
      <c r="J9" s="12">
        <v>10634740</v>
      </c>
      <c r="K9" s="12">
        <v>11759000</v>
      </c>
      <c r="L9" s="12">
        <v>0</v>
      </c>
      <c r="M9" s="12">
        <v>11759000</v>
      </c>
      <c r="N9" s="12">
        <v>-1124260</v>
      </c>
      <c r="O9" s="13">
        <v>-0.10571579559067734</v>
      </c>
      <c r="P9" s="35">
        <v>8709.3614616688646</v>
      </c>
      <c r="T9" s="11" t="s">
        <v>171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>
        <v>1190</v>
      </c>
      <c r="AJ9" s="16">
        <v>1473</v>
      </c>
      <c r="AK9" s="16">
        <v>1406</v>
      </c>
      <c r="AL9" s="16">
        <v>832</v>
      </c>
      <c r="AM9" s="16">
        <v>231</v>
      </c>
      <c r="AN9" s="16"/>
      <c r="AO9" s="16">
        <v>356</v>
      </c>
      <c r="AP9" s="16">
        <v>510</v>
      </c>
      <c r="AQ9" s="16"/>
      <c r="AR9" s="16"/>
      <c r="AS9" s="16"/>
      <c r="AT9" s="16">
        <v>5998</v>
      </c>
      <c r="AU9" s="16"/>
      <c r="AV9" s="16"/>
      <c r="AW9" s="16"/>
      <c r="AX9" s="16"/>
      <c r="AY9" s="16"/>
      <c r="AZ9" s="16">
        <v>5998</v>
      </c>
    </row>
    <row r="10" spans="2:52">
      <c r="C10" s="26" t="s">
        <v>160</v>
      </c>
      <c r="D10" s="16">
        <v>17929</v>
      </c>
      <c r="E10" s="16">
        <v>156418000</v>
      </c>
      <c r="F10" s="16">
        <v>35976140</v>
      </c>
      <c r="G10" s="16">
        <v>3840000</v>
      </c>
      <c r="H10" s="16">
        <v>4930000</v>
      </c>
      <c r="I10" s="199">
        <v>5298300</v>
      </c>
      <c r="J10" s="12">
        <v>44746140</v>
      </c>
      <c r="K10" s="12">
        <v>38477000</v>
      </c>
      <c r="L10" s="12">
        <v>5298300</v>
      </c>
      <c r="M10" s="12">
        <v>43775300</v>
      </c>
      <c r="N10" s="12">
        <v>970840</v>
      </c>
      <c r="O10" s="13">
        <v>2.1696620088347284E-2</v>
      </c>
      <c r="P10" s="35">
        <v>8724.3014111216471</v>
      </c>
      <c r="T10" s="11" t="s">
        <v>29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>
        <v>1141</v>
      </c>
      <c r="AI10" s="16">
        <v>1086</v>
      </c>
      <c r="AJ10" s="16">
        <v>812</v>
      </c>
      <c r="AK10" s="16">
        <v>631</v>
      </c>
      <c r="AL10" s="16">
        <v>1191</v>
      </c>
      <c r="AM10" s="16">
        <v>1231</v>
      </c>
      <c r="AN10" s="16">
        <v>110</v>
      </c>
      <c r="AO10" s="16"/>
      <c r="AP10" s="16"/>
      <c r="AQ10" s="16"/>
      <c r="AR10" s="16"/>
      <c r="AS10" s="16"/>
      <c r="AT10" s="16">
        <v>6202</v>
      </c>
      <c r="AU10" s="16"/>
      <c r="AV10" s="16"/>
      <c r="AW10" s="16"/>
      <c r="AX10" s="16"/>
      <c r="AY10" s="16"/>
      <c r="AZ10" s="16">
        <v>6202</v>
      </c>
    </row>
    <row r="11" spans="2:52">
      <c r="C11" s="26" t="s">
        <v>161</v>
      </c>
      <c r="D11" s="16">
        <v>33818</v>
      </c>
      <c r="E11" s="16">
        <v>296842000</v>
      </c>
      <c r="F11" s="16">
        <v>68273660</v>
      </c>
      <c r="G11" s="16">
        <v>11976000</v>
      </c>
      <c r="H11" s="16">
        <v>15666000</v>
      </c>
      <c r="I11" s="199">
        <v>19155000</v>
      </c>
      <c r="J11" s="12">
        <v>95915660</v>
      </c>
      <c r="K11" s="12">
        <v>64868000</v>
      </c>
      <c r="L11" s="12">
        <v>19155000</v>
      </c>
      <c r="M11" s="12">
        <v>84023000</v>
      </c>
      <c r="N11" s="12">
        <v>11892660</v>
      </c>
      <c r="O11" s="13">
        <v>0.12399080608943315</v>
      </c>
      <c r="P11" s="35">
        <v>8777.63321308179</v>
      </c>
      <c r="T11" s="11" t="s">
        <v>23</v>
      </c>
      <c r="U11" s="16">
        <v>1327</v>
      </c>
      <c r="V11" s="16">
        <v>2954</v>
      </c>
      <c r="W11" s="16">
        <v>5309</v>
      </c>
      <c r="X11" s="16">
        <v>17929</v>
      </c>
      <c r="Y11" s="16">
        <v>33818</v>
      </c>
      <c r="Z11" s="16">
        <v>82290</v>
      </c>
      <c r="AA11" s="16">
        <v>118513</v>
      </c>
      <c r="AB11" s="16">
        <v>208316</v>
      </c>
      <c r="AC11" s="16">
        <v>204691</v>
      </c>
      <c r="AD11" s="16">
        <v>275281</v>
      </c>
      <c r="AE11" s="16">
        <v>379270</v>
      </c>
      <c r="AF11" s="16">
        <v>376668</v>
      </c>
      <c r="AG11" s="16">
        <v>1706366</v>
      </c>
      <c r="AH11" s="16">
        <v>419504</v>
      </c>
      <c r="AI11" s="16">
        <v>410587</v>
      </c>
      <c r="AJ11" s="16">
        <v>303719</v>
      </c>
      <c r="AK11" s="16">
        <v>430416</v>
      </c>
      <c r="AL11" s="16">
        <v>439801</v>
      </c>
      <c r="AM11" s="16">
        <v>420746</v>
      </c>
      <c r="AN11" s="16">
        <v>426901</v>
      </c>
      <c r="AO11" s="16">
        <v>416046</v>
      </c>
      <c r="AP11" s="16">
        <v>394115</v>
      </c>
      <c r="AQ11" s="16">
        <v>376557</v>
      </c>
      <c r="AR11" s="16">
        <v>355469</v>
      </c>
      <c r="AS11" s="16">
        <v>334227</v>
      </c>
      <c r="AT11" s="16">
        <v>4728088</v>
      </c>
      <c r="AU11" s="16">
        <v>293134</v>
      </c>
      <c r="AV11" s="16">
        <v>217113</v>
      </c>
      <c r="AW11" s="16">
        <v>234442</v>
      </c>
      <c r="AX11" s="16">
        <v>129700</v>
      </c>
      <c r="AY11" s="16">
        <v>874389</v>
      </c>
      <c r="AZ11" s="16">
        <v>7308843</v>
      </c>
    </row>
    <row r="12" spans="2:52">
      <c r="C12" s="26" t="s">
        <v>156</v>
      </c>
      <c r="D12" s="16">
        <v>82290</v>
      </c>
      <c r="E12" s="16">
        <v>722084000</v>
      </c>
      <c r="F12" s="16">
        <v>166079320</v>
      </c>
      <c r="G12" s="16">
        <v>31560000</v>
      </c>
      <c r="H12" s="16">
        <v>23688000</v>
      </c>
      <c r="I12" s="199">
        <v>44788500</v>
      </c>
      <c r="J12" s="12">
        <v>221327320</v>
      </c>
      <c r="K12" s="12">
        <v>174990000</v>
      </c>
      <c r="L12" s="12">
        <v>44788500</v>
      </c>
      <c r="M12" s="12">
        <v>219778500</v>
      </c>
      <c r="N12" s="12">
        <v>1548820</v>
      </c>
      <c r="O12" s="13">
        <v>6.9978708457681593E-3</v>
      </c>
      <c r="P12" s="35">
        <v>8774.869364442824</v>
      </c>
      <c r="T12" s="11" t="s">
        <v>200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>
        <v>67</v>
      </c>
      <c r="AI12" s="16">
        <v>236</v>
      </c>
      <c r="AJ12" s="16">
        <v>222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6">
        <v>525</v>
      </c>
      <c r="AU12" s="16"/>
      <c r="AV12" s="16"/>
      <c r="AW12" s="16"/>
      <c r="AX12" s="16"/>
      <c r="AY12" s="16"/>
      <c r="AZ12" s="16">
        <v>525</v>
      </c>
    </row>
    <row r="13" spans="2:52">
      <c r="C13" s="259" t="s">
        <v>162</v>
      </c>
      <c r="D13" s="83">
        <v>118513</v>
      </c>
      <c r="E13" s="83">
        <v>1060639000</v>
      </c>
      <c r="F13" s="83">
        <v>243946970</v>
      </c>
      <c r="G13" s="83">
        <v>64080000</v>
      </c>
      <c r="H13" s="83">
        <v>39474003</v>
      </c>
      <c r="I13" s="272">
        <v>88911000</v>
      </c>
      <c r="J13" s="258">
        <v>347500973</v>
      </c>
      <c r="K13" s="258">
        <v>243273500</v>
      </c>
      <c r="L13" s="258">
        <v>88911000</v>
      </c>
      <c r="M13" s="258">
        <v>332184500</v>
      </c>
      <c r="N13" s="258">
        <v>15316473</v>
      </c>
      <c r="O13" s="84">
        <v>4.4076057882001959E-2</v>
      </c>
      <c r="P13" s="172">
        <v>8949.5582763072398</v>
      </c>
      <c r="T13" s="11" t="s">
        <v>201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>
        <v>122</v>
      </c>
      <c r="AI13" s="16">
        <v>1050</v>
      </c>
      <c r="AJ13" s="16">
        <v>599</v>
      </c>
      <c r="AK13" s="16">
        <v>39</v>
      </c>
      <c r="AL13" s="16"/>
      <c r="AM13" s="16"/>
      <c r="AN13" s="16"/>
      <c r="AO13" s="16"/>
      <c r="AP13" s="16"/>
      <c r="AQ13" s="16"/>
      <c r="AR13" s="16"/>
      <c r="AS13" s="16"/>
      <c r="AT13" s="16">
        <v>1810</v>
      </c>
      <c r="AU13" s="16"/>
      <c r="AV13" s="16"/>
      <c r="AW13" s="16"/>
      <c r="AX13" s="16"/>
      <c r="AY13" s="16"/>
      <c r="AZ13" s="16">
        <v>1810</v>
      </c>
    </row>
    <row r="14" spans="2:52">
      <c r="C14" s="259" t="s">
        <v>163</v>
      </c>
      <c r="D14" s="83">
        <v>208316</v>
      </c>
      <c r="E14" s="83">
        <v>1841906000</v>
      </c>
      <c r="F14" s="83">
        <v>421886580</v>
      </c>
      <c r="G14" s="83">
        <v>86857200</v>
      </c>
      <c r="H14" s="83">
        <v>76330000</v>
      </c>
      <c r="I14" s="272">
        <v>116384100</v>
      </c>
      <c r="J14" s="258">
        <v>585073780</v>
      </c>
      <c r="K14" s="258">
        <v>387603200</v>
      </c>
      <c r="L14" s="258">
        <v>116384100</v>
      </c>
      <c r="M14" s="258">
        <v>503987300</v>
      </c>
      <c r="N14" s="258">
        <v>81086480</v>
      </c>
      <c r="O14" s="84">
        <v>0.13859188835978942</v>
      </c>
      <c r="P14" s="172">
        <v>8841.8844447858064</v>
      </c>
      <c r="T14" s="11" t="s">
        <v>199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>
        <v>52</v>
      </c>
      <c r="AK14" s="16">
        <v>102</v>
      </c>
      <c r="AL14" s="16">
        <v>2</v>
      </c>
      <c r="AM14" s="16"/>
      <c r="AN14" s="16"/>
      <c r="AO14" s="16"/>
      <c r="AP14" s="16"/>
      <c r="AQ14" s="16"/>
      <c r="AR14" s="16"/>
      <c r="AS14" s="16"/>
      <c r="AT14" s="16">
        <v>156</v>
      </c>
      <c r="AU14" s="16"/>
      <c r="AV14" s="16"/>
      <c r="AW14" s="16"/>
      <c r="AX14" s="16"/>
      <c r="AY14" s="16"/>
      <c r="AZ14" s="16">
        <v>156</v>
      </c>
    </row>
    <row r="15" spans="2:52">
      <c r="C15" s="259" t="s">
        <v>164</v>
      </c>
      <c r="D15" s="83">
        <v>204691</v>
      </c>
      <c r="E15" s="83">
        <v>1817637000</v>
      </c>
      <c r="F15" s="83">
        <v>414044230</v>
      </c>
      <c r="G15" s="83">
        <v>94982400</v>
      </c>
      <c r="H15" s="83">
        <v>79992000</v>
      </c>
      <c r="I15" s="272">
        <v>149495400</v>
      </c>
      <c r="J15" s="258">
        <v>589018630</v>
      </c>
      <c r="K15" s="258">
        <v>384594855</v>
      </c>
      <c r="L15" s="258">
        <v>149495400</v>
      </c>
      <c r="M15" s="258">
        <v>534090255</v>
      </c>
      <c r="N15" s="258">
        <v>54928375</v>
      </c>
      <c r="O15" s="84">
        <v>9.3254053780947477E-2</v>
      </c>
      <c r="P15" s="172">
        <v>8879.9067863267064</v>
      </c>
      <c r="T15" s="11" t="s">
        <v>170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>
        <v>851</v>
      </c>
      <c r="AK15" s="16">
        <v>2576</v>
      </c>
      <c r="AL15" s="16">
        <v>2006</v>
      </c>
      <c r="AM15" s="16">
        <v>436</v>
      </c>
      <c r="AN15" s="16"/>
      <c r="AO15" s="16"/>
      <c r="AP15" s="16"/>
      <c r="AQ15" s="16"/>
      <c r="AR15" s="16"/>
      <c r="AS15" s="16"/>
      <c r="AT15" s="16">
        <v>5869</v>
      </c>
      <c r="AU15" s="16"/>
      <c r="AV15" s="16"/>
      <c r="AW15" s="16"/>
      <c r="AX15" s="16"/>
      <c r="AY15" s="16"/>
      <c r="AZ15" s="16">
        <v>5869</v>
      </c>
    </row>
    <row r="16" spans="2:52">
      <c r="C16" s="262" t="s">
        <v>165</v>
      </c>
      <c r="D16" s="77">
        <v>275281</v>
      </c>
      <c r="E16" s="77">
        <v>2456515000</v>
      </c>
      <c r="F16" s="77">
        <v>559113810</v>
      </c>
      <c r="G16" s="77">
        <v>105254400</v>
      </c>
      <c r="H16" s="77">
        <v>108270000</v>
      </c>
      <c r="I16" s="273">
        <v>202697100</v>
      </c>
      <c r="J16" s="261">
        <v>772638210</v>
      </c>
      <c r="K16" s="261">
        <v>520061922</v>
      </c>
      <c r="L16" s="261">
        <v>202697100</v>
      </c>
      <c r="M16" s="261">
        <v>722759022</v>
      </c>
      <c r="N16" s="261">
        <v>49879188</v>
      </c>
      <c r="O16" s="78">
        <v>6.4556978097161419E-2</v>
      </c>
      <c r="P16" s="171">
        <v>8923.6634566134235</v>
      </c>
      <c r="T16" s="11" t="s">
        <v>175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>
        <v>185</v>
      </c>
      <c r="AK16" s="16">
        <v>1022</v>
      </c>
      <c r="AL16" s="16">
        <v>2397</v>
      </c>
      <c r="AM16" s="16">
        <v>1565</v>
      </c>
      <c r="AN16" s="16"/>
      <c r="AO16" s="16"/>
      <c r="AP16" s="16"/>
      <c r="AQ16" s="16"/>
      <c r="AR16" s="16"/>
      <c r="AS16" s="16"/>
      <c r="AT16" s="16">
        <v>5169</v>
      </c>
      <c r="AU16" s="16"/>
      <c r="AV16" s="16"/>
      <c r="AW16" s="16"/>
      <c r="AX16" s="16"/>
      <c r="AY16" s="16"/>
      <c r="AZ16" s="16">
        <v>5169</v>
      </c>
    </row>
    <row r="17" spans="3:52">
      <c r="C17" s="262" t="s">
        <v>36</v>
      </c>
      <c r="D17" s="77">
        <v>379270</v>
      </c>
      <c r="E17" s="77">
        <v>3379194000</v>
      </c>
      <c r="F17" s="77">
        <v>769425260</v>
      </c>
      <c r="G17" s="77">
        <v>157550400</v>
      </c>
      <c r="H17" s="77">
        <v>153270000</v>
      </c>
      <c r="I17" s="273">
        <v>295604100</v>
      </c>
      <c r="J17" s="261">
        <v>1080245660</v>
      </c>
      <c r="K17" s="261">
        <v>726453700</v>
      </c>
      <c r="L17" s="261">
        <v>295604100</v>
      </c>
      <c r="M17" s="261">
        <v>1022057800</v>
      </c>
      <c r="N17" s="261">
        <v>58187860</v>
      </c>
      <c r="O17" s="78">
        <v>5.3865395765626128E-2</v>
      </c>
      <c r="P17" s="171">
        <v>8909.731853297124</v>
      </c>
      <c r="T17" s="11" t="s">
        <v>196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>
        <v>401</v>
      </c>
      <c r="AM17" s="16"/>
      <c r="AN17" s="16"/>
      <c r="AO17" s="16"/>
      <c r="AP17" s="16"/>
      <c r="AQ17" s="16"/>
      <c r="AR17" s="16"/>
      <c r="AS17" s="16"/>
      <c r="AT17" s="16">
        <v>401</v>
      </c>
      <c r="AU17" s="16"/>
      <c r="AV17" s="16"/>
      <c r="AW17" s="16"/>
      <c r="AX17" s="16"/>
      <c r="AY17" s="16"/>
      <c r="AZ17" s="16">
        <v>401</v>
      </c>
    </row>
    <row r="18" spans="3:52">
      <c r="C18" s="262" t="s">
        <v>166</v>
      </c>
      <c r="D18" s="77">
        <v>376668</v>
      </c>
      <c r="E18" s="77">
        <v>3276450000</v>
      </c>
      <c r="F18" s="77">
        <v>745462820</v>
      </c>
      <c r="G18" s="77">
        <v>160827428.57142857</v>
      </c>
      <c r="H18" s="77">
        <v>162589285.71428573</v>
      </c>
      <c r="I18" s="273">
        <v>285899228.57142854</v>
      </c>
      <c r="J18" s="261">
        <v>1071629534.2857143</v>
      </c>
      <c r="K18" s="261">
        <v>712934171.42857146</v>
      </c>
      <c r="L18" s="261">
        <v>286235014.28571427</v>
      </c>
      <c r="M18" s="261">
        <v>999169185.71428573</v>
      </c>
      <c r="N18" s="261">
        <v>72460348.571428567</v>
      </c>
      <c r="O18" s="78">
        <v>6.7616976066011844E-2</v>
      </c>
      <c r="P18" s="171">
        <v>8698.5090318264356</v>
      </c>
      <c r="T18" s="11" t="s">
        <v>176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>
        <v>1889</v>
      </c>
      <c r="AN18" s="16">
        <v>2168</v>
      </c>
      <c r="AO18" s="16">
        <v>5132</v>
      </c>
      <c r="AP18" s="16">
        <v>4611</v>
      </c>
      <c r="AQ18" s="16">
        <v>4573</v>
      </c>
      <c r="AR18" s="16">
        <v>3090</v>
      </c>
      <c r="AS18" s="16">
        <v>2706</v>
      </c>
      <c r="AT18" s="16">
        <v>24169</v>
      </c>
      <c r="AU18" s="16">
        <v>1441</v>
      </c>
      <c r="AV18" s="16">
        <v>701</v>
      </c>
      <c r="AW18" s="16"/>
      <c r="AX18" s="16"/>
      <c r="AY18" s="16">
        <v>2142</v>
      </c>
      <c r="AZ18" s="16">
        <v>26311</v>
      </c>
    </row>
    <row r="19" spans="3:52">
      <c r="C19" s="11">
        <v>2025</v>
      </c>
      <c r="D19" s="16">
        <v>4811475</v>
      </c>
      <c r="E19" s="16">
        <v>42363539794</v>
      </c>
      <c r="F19" s="16">
        <v>10355176550.680002</v>
      </c>
      <c r="G19" s="16">
        <v>945297564</v>
      </c>
      <c r="H19" s="16">
        <v>2462220396.9740257</v>
      </c>
      <c r="I19" s="199">
        <v>4161475781.4285717</v>
      </c>
      <c r="J19" s="12">
        <v>13818772997.368313</v>
      </c>
      <c r="K19" s="12">
        <v>9206071648.1428566</v>
      </c>
      <c r="L19" s="12">
        <v>4404000682.2031851</v>
      </c>
      <c r="M19" s="12">
        <v>13610072330.346043</v>
      </c>
      <c r="N19" s="12">
        <v>208700667.02226973</v>
      </c>
      <c r="O19" s="13">
        <v>1.510269161104357E-2</v>
      </c>
      <c r="P19" s="35">
        <v>8804.6887480450387</v>
      </c>
      <c r="T19" s="11" t="s">
        <v>203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>
        <v>1998</v>
      </c>
      <c r="AO19" s="16">
        <v>338</v>
      </c>
      <c r="AP19" s="16"/>
      <c r="AQ19" s="16"/>
      <c r="AR19" s="16"/>
      <c r="AS19" s="16"/>
      <c r="AT19" s="16">
        <v>2336</v>
      </c>
      <c r="AU19" s="16"/>
      <c r="AV19" s="16"/>
      <c r="AW19" s="16"/>
      <c r="AX19" s="16"/>
      <c r="AY19" s="16"/>
      <c r="AZ19" s="16">
        <v>2336</v>
      </c>
    </row>
    <row r="20" spans="3:52">
      <c r="C20" s="265" t="s">
        <v>21</v>
      </c>
      <c r="D20" s="79">
        <v>422781</v>
      </c>
      <c r="E20" s="79">
        <v>3738551000</v>
      </c>
      <c r="F20" s="79">
        <v>840791030</v>
      </c>
      <c r="G20" s="79">
        <v>172578116.00000006</v>
      </c>
      <c r="H20" s="79">
        <v>179228000</v>
      </c>
      <c r="I20" s="274">
        <v>331477714.28571433</v>
      </c>
      <c r="J20" s="264">
        <v>1195772146</v>
      </c>
      <c r="K20" s="264">
        <v>832049268.14285707</v>
      </c>
      <c r="L20" s="264">
        <v>335667500</v>
      </c>
      <c r="M20" s="264">
        <v>1167716768.1428571</v>
      </c>
      <c r="N20" s="264">
        <v>28055377.857142828</v>
      </c>
      <c r="O20" s="80">
        <v>2.3462143645837045E-2</v>
      </c>
      <c r="P20" s="134">
        <v>8842.7601997251531</v>
      </c>
      <c r="T20" s="11" t="s">
        <v>177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>
        <v>101</v>
      </c>
      <c r="AO20" s="16">
        <v>1226</v>
      </c>
      <c r="AP20" s="16">
        <v>1362</v>
      </c>
      <c r="AQ20" s="16">
        <v>1684</v>
      </c>
      <c r="AR20" s="16">
        <v>557</v>
      </c>
      <c r="AS20" s="16">
        <v>388</v>
      </c>
      <c r="AT20" s="16">
        <v>5318</v>
      </c>
      <c r="AU20" s="16"/>
      <c r="AV20" s="16"/>
      <c r="AW20" s="16"/>
      <c r="AX20" s="16"/>
      <c r="AY20" s="16"/>
      <c r="AZ20" s="16">
        <v>5318</v>
      </c>
    </row>
    <row r="21" spans="3:52">
      <c r="C21" s="265" t="s">
        <v>158</v>
      </c>
      <c r="D21" s="79">
        <v>417406</v>
      </c>
      <c r="E21" s="79">
        <v>3719984000</v>
      </c>
      <c r="F21" s="79">
        <v>849073820</v>
      </c>
      <c r="G21" s="79">
        <v>172352234</v>
      </c>
      <c r="H21" s="79">
        <v>193036928.57142854</v>
      </c>
      <c r="I21" s="274">
        <v>361527700.00000006</v>
      </c>
      <c r="J21" s="264">
        <v>1219612982.5714288</v>
      </c>
      <c r="K21" s="264">
        <v>829476172.28571427</v>
      </c>
      <c r="L21" s="264">
        <v>370353842.85714287</v>
      </c>
      <c r="M21" s="264">
        <v>1199830015.1428571</v>
      </c>
      <c r="N21" s="264">
        <v>19782967.428571414</v>
      </c>
      <c r="O21" s="80">
        <v>1.6220692720785128E-2</v>
      </c>
      <c r="P21" s="134">
        <v>8912.1478847932231</v>
      </c>
      <c r="T21" s="11" t="s">
        <v>178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>
        <v>607</v>
      </c>
      <c r="AQ21" s="16">
        <v>2827</v>
      </c>
      <c r="AR21" s="16">
        <v>1084</v>
      </c>
      <c r="AS21" s="16"/>
      <c r="AT21" s="16">
        <v>4518</v>
      </c>
      <c r="AU21" s="16"/>
      <c r="AV21" s="16"/>
      <c r="AW21" s="16"/>
      <c r="AX21" s="16"/>
      <c r="AY21" s="16"/>
      <c r="AZ21" s="16">
        <v>4518</v>
      </c>
    </row>
    <row r="22" spans="3:52">
      <c r="C22" s="265" t="s">
        <v>159</v>
      </c>
      <c r="D22" s="79">
        <v>309737</v>
      </c>
      <c r="E22" s="79">
        <v>2754822500</v>
      </c>
      <c r="F22" s="79">
        <v>629427190</v>
      </c>
      <c r="G22" s="79">
        <v>195063146.99999997</v>
      </c>
      <c r="H22" s="79">
        <v>215344922.07792208</v>
      </c>
      <c r="I22" s="274">
        <v>402058038.96103895</v>
      </c>
      <c r="J22" s="264">
        <v>1043135259.0779221</v>
      </c>
      <c r="K22" s="264">
        <v>677374202.59740245</v>
      </c>
      <c r="L22" s="264">
        <v>410184936.63636363</v>
      </c>
      <c r="M22" s="264">
        <v>1087559139.2337661</v>
      </c>
      <c r="N22" s="264">
        <v>-44423880.15584413</v>
      </c>
      <c r="O22" s="80">
        <v>-4.2586883886095994E-2</v>
      </c>
      <c r="P22" s="134">
        <v>8894.0698076109729</v>
      </c>
      <c r="T22" s="11" t="s">
        <v>202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>
        <v>250</v>
      </c>
      <c r="AS22" s="16">
        <v>655</v>
      </c>
      <c r="AT22" s="16">
        <v>905</v>
      </c>
      <c r="AU22" s="16">
        <v>446</v>
      </c>
      <c r="AV22" s="16">
        <v>66</v>
      </c>
      <c r="AW22" s="16"/>
      <c r="AX22" s="16"/>
      <c r="AY22" s="16">
        <v>512</v>
      </c>
      <c r="AZ22" s="16">
        <v>1417</v>
      </c>
    </row>
    <row r="23" spans="3:52">
      <c r="C23" s="268" t="s">
        <v>160</v>
      </c>
      <c r="D23" s="127">
        <v>437817</v>
      </c>
      <c r="E23" s="127">
        <v>3890315000</v>
      </c>
      <c r="F23" s="127">
        <v>887181330</v>
      </c>
      <c r="G23" s="127">
        <v>163721367.00000006</v>
      </c>
      <c r="H23" s="127">
        <v>185730689.18181819</v>
      </c>
      <c r="I23" s="275">
        <v>350906818.18181819</v>
      </c>
      <c r="J23" s="267">
        <v>1241183386.1818178</v>
      </c>
      <c r="K23" s="267">
        <v>817216904.5454545</v>
      </c>
      <c r="L23" s="267">
        <v>359336824.36363637</v>
      </c>
      <c r="M23" s="267">
        <v>1176553728.909091</v>
      </c>
      <c r="N23" s="267">
        <v>64629657.272727326</v>
      </c>
      <c r="O23" s="51">
        <v>5.2070997720605881E-2</v>
      </c>
      <c r="P23" s="50">
        <v>8885.7102396663449</v>
      </c>
      <c r="T23" s="11" t="s">
        <v>204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228</v>
      </c>
      <c r="AT23" s="16">
        <v>228</v>
      </c>
      <c r="AU23" s="16">
        <v>32</v>
      </c>
      <c r="AV23" s="16"/>
      <c r="AW23" s="16"/>
      <c r="AX23" s="16"/>
      <c r="AY23" s="16">
        <v>32</v>
      </c>
      <c r="AZ23" s="16">
        <v>260</v>
      </c>
    </row>
    <row r="24" spans="3:52">
      <c r="C24" s="268" t="s">
        <v>161</v>
      </c>
      <c r="D24" s="127">
        <v>450300</v>
      </c>
      <c r="E24" s="127">
        <v>3938590000</v>
      </c>
      <c r="F24" s="127">
        <v>902750320</v>
      </c>
      <c r="G24" s="127">
        <v>180220829.00000003</v>
      </c>
      <c r="H24" s="127">
        <v>194018857.14285713</v>
      </c>
      <c r="I24" s="275">
        <v>374025000</v>
      </c>
      <c r="J24" s="267">
        <v>1279194206.1428571</v>
      </c>
      <c r="K24" s="267">
        <v>830652950</v>
      </c>
      <c r="L24" s="267">
        <v>390883252.18433177</v>
      </c>
      <c r="M24" s="267">
        <v>1221536202.1843319</v>
      </c>
      <c r="N24" s="267">
        <v>57658003.958525382</v>
      </c>
      <c r="O24" s="51">
        <v>4.5073690673116049E-2</v>
      </c>
      <c r="P24" s="50">
        <v>8746.5911614479228</v>
      </c>
      <c r="T24" s="11" t="s">
        <v>167</v>
      </c>
      <c r="U24" s="16">
        <v>1327</v>
      </c>
      <c r="V24" s="16">
        <v>2954</v>
      </c>
      <c r="W24" s="16">
        <v>5309</v>
      </c>
      <c r="X24" s="16">
        <v>17929</v>
      </c>
      <c r="Y24" s="16">
        <v>33818</v>
      </c>
      <c r="Z24" s="16">
        <v>82290</v>
      </c>
      <c r="AA24" s="16">
        <v>118513</v>
      </c>
      <c r="AB24" s="16">
        <v>208316</v>
      </c>
      <c r="AC24" s="16">
        <v>204691</v>
      </c>
      <c r="AD24" s="16">
        <v>275281</v>
      </c>
      <c r="AE24" s="16">
        <v>379270</v>
      </c>
      <c r="AF24" s="16">
        <v>376668</v>
      </c>
      <c r="AG24" s="16">
        <v>1706366</v>
      </c>
      <c r="AH24" s="16">
        <v>422781</v>
      </c>
      <c r="AI24" s="16">
        <v>417406</v>
      </c>
      <c r="AJ24" s="16">
        <v>309737</v>
      </c>
      <c r="AK24" s="16">
        <v>437817</v>
      </c>
      <c r="AL24" s="16">
        <v>450300</v>
      </c>
      <c r="AM24" s="16">
        <v>430055</v>
      </c>
      <c r="AN24" s="16">
        <v>434599</v>
      </c>
      <c r="AO24" s="16">
        <v>423280</v>
      </c>
      <c r="AP24" s="16">
        <v>401205</v>
      </c>
      <c r="AQ24" s="16">
        <v>385641</v>
      </c>
      <c r="AR24" s="16">
        <v>360450</v>
      </c>
      <c r="AS24" s="16">
        <v>338204</v>
      </c>
      <c r="AT24" s="16">
        <v>4811475</v>
      </c>
      <c r="AU24" s="16">
        <v>295053</v>
      </c>
      <c r="AV24" s="16">
        <v>217880</v>
      </c>
      <c r="AW24" s="16">
        <v>234442</v>
      </c>
      <c r="AX24" s="16">
        <v>129700</v>
      </c>
      <c r="AY24" s="16">
        <v>877075</v>
      </c>
      <c r="AZ24" s="16">
        <v>7394916</v>
      </c>
    </row>
    <row r="25" spans="3:52">
      <c r="C25" s="268" t="s">
        <v>156</v>
      </c>
      <c r="D25" s="127">
        <v>430055</v>
      </c>
      <c r="E25" s="127">
        <v>3781515866.6666665</v>
      </c>
      <c r="F25" s="127">
        <v>947309213.33333337</v>
      </c>
      <c r="G25" s="127">
        <v>53206056.714285716</v>
      </c>
      <c r="H25" s="127">
        <v>203796714.2857143</v>
      </c>
      <c r="I25" s="275">
        <v>349445500</v>
      </c>
      <c r="J25" s="267">
        <v>1204511984.3333335</v>
      </c>
      <c r="K25" s="267">
        <v>788838027.71428573</v>
      </c>
      <c r="L25" s="267">
        <v>367910529.59496158</v>
      </c>
      <c r="M25" s="267">
        <v>1156748557.3092473</v>
      </c>
      <c r="N25" s="267">
        <v>47763427.024086051</v>
      </c>
      <c r="O25" s="51">
        <v>3.9653758240124015E-2</v>
      </c>
      <c r="P25" s="50">
        <v>8793.0982471234292</v>
      </c>
    </row>
    <row r="26" spans="3:52">
      <c r="C26" s="259" t="s">
        <v>162</v>
      </c>
      <c r="D26" s="83">
        <v>434599</v>
      </c>
      <c r="E26" s="83">
        <v>3850634190.4761906</v>
      </c>
      <c r="F26" s="83">
        <v>996822305.23809528</v>
      </c>
      <c r="G26" s="271">
        <v>3046428.5714285714</v>
      </c>
      <c r="H26" s="83">
        <v>216503571.42857143</v>
      </c>
      <c r="I26" s="272">
        <v>351140000</v>
      </c>
      <c r="J26" s="258">
        <v>1217297305.238095</v>
      </c>
      <c r="K26" s="258">
        <v>784919029.28571439</v>
      </c>
      <c r="L26" s="258">
        <v>385199938.34857142</v>
      </c>
      <c r="M26" s="258">
        <v>1170118967.6342859</v>
      </c>
      <c r="N26" s="258">
        <v>47178337.603809513</v>
      </c>
      <c r="O26" s="84">
        <v>3.8756626997199957E-2</v>
      </c>
      <c r="P26" s="172">
        <v>8860.200300682216</v>
      </c>
      <c r="T26" t="s">
        <v>106</v>
      </c>
      <c r="U26" t="s">
        <v>24</v>
      </c>
    </row>
    <row r="27" spans="3:52">
      <c r="C27" s="259" t="s">
        <v>163</v>
      </c>
      <c r="D27" s="83">
        <v>423280</v>
      </c>
      <c r="E27" s="83">
        <v>3679609142.8571429</v>
      </c>
      <c r="F27" s="83">
        <v>949053801.42857146</v>
      </c>
      <c r="G27" s="83">
        <v>214285.71428571429</v>
      </c>
      <c r="H27" s="83">
        <v>227457857.14285713</v>
      </c>
      <c r="I27" s="272">
        <v>348950000</v>
      </c>
      <c r="J27" s="258">
        <v>1177100944.2857141</v>
      </c>
      <c r="K27" s="258">
        <v>770255895</v>
      </c>
      <c r="L27" s="258">
        <v>381749756.38095242</v>
      </c>
      <c r="M27" s="258">
        <v>1152005651.3809524</v>
      </c>
      <c r="N27" s="258">
        <v>25095292.904761892</v>
      </c>
      <c r="O27" s="84">
        <v>2.1319575883944401E-2</v>
      </c>
      <c r="P27" s="172">
        <v>8693.0852930852925</v>
      </c>
    </row>
    <row r="28" spans="3:52" ht="15.95">
      <c r="C28" s="259" t="s">
        <v>164</v>
      </c>
      <c r="D28" s="83">
        <v>401205</v>
      </c>
      <c r="E28" s="83">
        <v>3544019002</v>
      </c>
      <c r="F28" s="83">
        <v>915238200.44000006</v>
      </c>
      <c r="G28" s="83">
        <v>765900</v>
      </c>
      <c r="H28" s="83">
        <v>224889285.71428573</v>
      </c>
      <c r="I28" s="272">
        <v>342755000</v>
      </c>
      <c r="J28" s="258">
        <v>1146816243.297143</v>
      </c>
      <c r="K28" s="258">
        <v>797190212.14285719</v>
      </c>
      <c r="L28" s="258">
        <v>369789693.43777776</v>
      </c>
      <c r="M28" s="258">
        <v>1166979905.5806351</v>
      </c>
      <c r="N28" s="258">
        <v>-20163662.283492059</v>
      </c>
      <c r="O28" s="84">
        <v>-1.7582295682803301E-2</v>
      </c>
      <c r="P28" s="172">
        <v>8833.4367767101612</v>
      </c>
      <c r="T28" t="s">
        <v>120</v>
      </c>
      <c r="U28" s="32" t="s">
        <v>157</v>
      </c>
    </row>
    <row r="29" spans="3:52">
      <c r="C29" s="26" t="s">
        <v>165</v>
      </c>
      <c r="D29" s="16">
        <v>385641</v>
      </c>
      <c r="E29" s="16">
        <v>3387799402</v>
      </c>
      <c r="F29" s="16">
        <v>872496138.44000006</v>
      </c>
      <c r="G29" s="16">
        <v>2749628.5714285714</v>
      </c>
      <c r="H29" s="16">
        <v>222221428.57142854</v>
      </c>
      <c r="I29" s="199">
        <v>337740010</v>
      </c>
      <c r="J29" s="12">
        <v>1105349338.4399998</v>
      </c>
      <c r="K29" s="12">
        <v>737540120</v>
      </c>
      <c r="L29" s="12">
        <v>366366087.9308756</v>
      </c>
      <c r="M29" s="12">
        <v>1103906207.9308755</v>
      </c>
      <c r="N29" s="12">
        <v>1443130.5091243873</v>
      </c>
      <c r="O29" s="206">
        <v>1.3055877078291867E-3</v>
      </c>
      <c r="P29" s="35">
        <v>8784.8527568386144</v>
      </c>
      <c r="U29">
        <v>2026</v>
      </c>
      <c r="X29" t="s">
        <v>217</v>
      </c>
      <c r="Y29" t="s">
        <v>167</v>
      </c>
    </row>
    <row r="30" spans="3:52" ht="15.95">
      <c r="C30" s="26" t="s">
        <v>36</v>
      </c>
      <c r="D30" s="16">
        <v>360450</v>
      </c>
      <c r="E30" s="16">
        <v>3137056310</v>
      </c>
      <c r="F30" s="16">
        <v>808298583.20000005</v>
      </c>
      <c r="G30" s="16">
        <v>1379571.4285714286</v>
      </c>
      <c r="H30" s="16">
        <v>203209285.71428573</v>
      </c>
      <c r="I30" s="199">
        <v>311710000</v>
      </c>
      <c r="J30" s="12">
        <v>1025142440.3428571</v>
      </c>
      <c r="K30" s="12">
        <v>686849027.85714293</v>
      </c>
      <c r="L30" s="12">
        <v>336470969.01428574</v>
      </c>
      <c r="M30" s="12">
        <v>1023319996.8714287</v>
      </c>
      <c r="N30" s="12">
        <v>1822443.4714286027</v>
      </c>
      <c r="O30" s="206">
        <v>1.777746583995771E-3</v>
      </c>
      <c r="P30" s="35">
        <v>8703.1663476210288</v>
      </c>
      <c r="T30" s="32" t="s">
        <v>113</v>
      </c>
      <c r="U30" t="s">
        <v>21</v>
      </c>
      <c r="V30" t="s">
        <v>158</v>
      </c>
      <c r="W30" t="s">
        <v>160</v>
      </c>
    </row>
    <row r="31" spans="3:52">
      <c r="C31" s="26" t="s">
        <v>166</v>
      </c>
      <c r="D31" s="16">
        <v>338204</v>
      </c>
      <c r="E31" s="16">
        <v>2940643380</v>
      </c>
      <c r="F31" s="16">
        <v>756734618.60000002</v>
      </c>
      <c r="G31" s="16">
        <v>0</v>
      </c>
      <c r="H31" s="16">
        <v>196782857.14285713</v>
      </c>
      <c r="I31" s="199">
        <v>299740000</v>
      </c>
      <c r="J31" s="12">
        <v>963656761.45714283</v>
      </c>
      <c r="K31" s="12">
        <v>653709838.57142866</v>
      </c>
      <c r="L31" s="12">
        <v>330087351.45428574</v>
      </c>
      <c r="M31" s="12">
        <v>983797190.0257144</v>
      </c>
      <c r="N31" s="12">
        <v>-20140428.568571493</v>
      </c>
      <c r="O31" s="13">
        <v>-2.0900002339128722E-2</v>
      </c>
      <c r="P31" s="35">
        <v>8694.8805454695976</v>
      </c>
      <c r="T31" s="11" t="s">
        <v>23</v>
      </c>
      <c r="U31" s="12">
        <v>68341853.900000006</v>
      </c>
      <c r="V31" s="12">
        <v>46127380.200000003</v>
      </c>
      <c r="W31" s="12">
        <v>16636851.4</v>
      </c>
      <c r="X31" s="12">
        <v>131106085.50000001</v>
      </c>
      <c r="Y31" s="12">
        <v>131106085.50000001</v>
      </c>
    </row>
    <row r="32" spans="3:52">
      <c r="C32" s="11">
        <v>2026</v>
      </c>
      <c r="D32" s="16">
        <v>877075</v>
      </c>
      <c r="E32" s="16">
        <v>7609486879</v>
      </c>
      <c r="F32" s="16">
        <v>1963720596.0999999</v>
      </c>
      <c r="G32" s="16">
        <v>0</v>
      </c>
      <c r="H32" s="16">
        <v>549272142.85714281</v>
      </c>
      <c r="I32" s="199">
        <v>874300000</v>
      </c>
      <c r="J32" s="12">
        <v>2532803453.242857</v>
      </c>
      <c r="K32" s="12">
        <v>1623943451.4285717</v>
      </c>
      <c r="L32" s="12">
        <v>960725567.85087562</v>
      </c>
      <c r="M32" s="12">
        <v>2584669019.2794466</v>
      </c>
      <c r="N32" s="12">
        <v>-51865566.036589943</v>
      </c>
      <c r="O32" s="13">
        <v>-2.0477532897463555E-2</v>
      </c>
      <c r="P32" s="35">
        <v>8675.9819616338391</v>
      </c>
      <c r="T32" s="11" t="s">
        <v>202</v>
      </c>
      <c r="U32" s="12">
        <v>422800</v>
      </c>
      <c r="V32" s="12">
        <v>62700</v>
      </c>
      <c r="W32" s="12"/>
      <c r="X32" s="12">
        <v>485500</v>
      </c>
      <c r="Y32" s="12">
        <v>485500</v>
      </c>
    </row>
    <row r="33" spans="3:30">
      <c r="C33" s="26" t="s">
        <v>21</v>
      </c>
      <c r="D33" s="16">
        <v>295053</v>
      </c>
      <c r="E33" s="16">
        <v>2553409379</v>
      </c>
      <c r="F33" s="16">
        <v>658464063.89999998</v>
      </c>
      <c r="G33" s="16">
        <v>0</v>
      </c>
      <c r="H33" s="16">
        <v>189658571.42857143</v>
      </c>
      <c r="I33" s="199">
        <v>297115000</v>
      </c>
      <c r="J33" s="12">
        <v>855908349.61428559</v>
      </c>
      <c r="K33" s="12">
        <v>574371877.14285719</v>
      </c>
      <c r="L33" s="12">
        <v>326655922.8828572</v>
      </c>
      <c r="M33" s="12">
        <v>901027800.0257144</v>
      </c>
      <c r="N33" s="12">
        <v>-45119450.411428623</v>
      </c>
      <c r="O33" s="13">
        <v>-5.2715282461915071E-2</v>
      </c>
      <c r="P33" s="35">
        <v>8654.070214503834</v>
      </c>
      <c r="T33" s="11" t="s">
        <v>167</v>
      </c>
      <c r="U33" s="12">
        <v>68764653.900000006</v>
      </c>
      <c r="V33" s="12">
        <v>46190080.200000003</v>
      </c>
      <c r="W33" s="12">
        <v>16636851.4</v>
      </c>
      <c r="X33" s="12">
        <v>131591585.50000001</v>
      </c>
      <c r="Y33" s="12">
        <v>131591585.50000001</v>
      </c>
    </row>
    <row r="34" spans="3:30">
      <c r="C34" s="26" t="s">
        <v>158</v>
      </c>
      <c r="D34" s="16">
        <v>217880</v>
      </c>
      <c r="E34" s="16">
        <v>1886144900</v>
      </c>
      <c r="F34" s="16">
        <v>484484290.19999999</v>
      </c>
      <c r="G34" s="16">
        <v>0</v>
      </c>
      <c r="H34" s="16">
        <v>155108571.42857143</v>
      </c>
      <c r="I34" s="199">
        <v>238910000</v>
      </c>
      <c r="J34" s="12">
        <v>643317861.62857139</v>
      </c>
      <c r="K34" s="12">
        <v>394355142.14285713</v>
      </c>
      <c r="L34" s="12">
        <v>261636637.16857141</v>
      </c>
      <c r="M34" s="12">
        <v>655991779.31142855</v>
      </c>
      <c r="N34" s="12">
        <v>-12673917.682857102</v>
      </c>
      <c r="O34" s="13">
        <v>-1.9700863972240471E-2</v>
      </c>
      <c r="P34" s="35">
        <v>8656.8060400220311</v>
      </c>
    </row>
    <row r="35" spans="3:30">
      <c r="C35" s="26" t="s">
        <v>159</v>
      </c>
      <c r="D35" s="16">
        <v>234442</v>
      </c>
      <c r="E35" s="16">
        <v>2047015580</v>
      </c>
      <c r="F35" s="16">
        <v>529758310.59999996</v>
      </c>
      <c r="G35" s="16">
        <v>0</v>
      </c>
      <c r="H35" s="16">
        <v>146943571.4285714</v>
      </c>
      <c r="I35" s="199">
        <v>243425000</v>
      </c>
      <c r="J35" s="12">
        <v>682573310.60000002</v>
      </c>
      <c r="K35" s="12">
        <v>423417334.28571427</v>
      </c>
      <c r="L35" s="12">
        <v>268387055.25907835</v>
      </c>
      <c r="M35" s="12">
        <v>691804389.54479265</v>
      </c>
      <c r="N35" s="12">
        <v>-9231078.9447926693</v>
      </c>
      <c r="O35" s="13">
        <v>-1.3523937724254566E-2</v>
      </c>
      <c r="P35" s="35">
        <v>8731.4371145101995</v>
      </c>
    </row>
    <row r="36" spans="3:30">
      <c r="C36" s="26" t="s">
        <v>160</v>
      </c>
      <c r="D36" s="16">
        <v>129700</v>
      </c>
      <c r="E36" s="16">
        <v>1122917020</v>
      </c>
      <c r="F36" s="16">
        <v>291013931.39999998</v>
      </c>
      <c r="G36" s="16">
        <v>0</v>
      </c>
      <c r="H36" s="16">
        <v>57561428.571428575</v>
      </c>
      <c r="I36" s="199">
        <v>94850000</v>
      </c>
      <c r="J36" s="12">
        <v>351003931.39999998</v>
      </c>
      <c r="K36" s="12">
        <v>231799097.85714287</v>
      </c>
      <c r="L36" s="12">
        <v>104045952.54036866</v>
      </c>
      <c r="M36" s="12">
        <v>335845050.39751154</v>
      </c>
      <c r="N36" s="12">
        <v>15158881.002488459</v>
      </c>
      <c r="O36" s="13">
        <v>4.318721144240853E-2</v>
      </c>
      <c r="P36" s="35">
        <v>8657.8027756360825</v>
      </c>
      <c r="T36" t="s">
        <v>106</v>
      </c>
      <c r="U36" t="s">
        <v>24</v>
      </c>
    </row>
    <row r="37" spans="3:30">
      <c r="C37" s="11" t="s">
        <v>167</v>
      </c>
      <c r="D37" s="16">
        <v>7394916</v>
      </c>
      <c r="E37" s="16">
        <v>65064117672.999992</v>
      </c>
      <c r="F37" s="16">
        <v>15762289316.780003</v>
      </c>
      <c r="G37" s="16">
        <v>1662225392.5714283</v>
      </c>
      <c r="H37" s="16">
        <v>3675701828.5454545</v>
      </c>
      <c r="I37" s="199">
        <v>6244008510</v>
      </c>
      <c r="J37" s="12">
        <v>21178855737.896877</v>
      </c>
      <c r="K37" s="12">
        <v>14100381448</v>
      </c>
      <c r="L37" s="12">
        <v>6573294764.3397751</v>
      </c>
      <c r="M37" s="12">
        <v>20673676212.339787</v>
      </c>
      <c r="N37" s="12">
        <v>505179525.55710828</v>
      </c>
      <c r="O37" s="13">
        <v>2.3853013203784801E-2</v>
      </c>
      <c r="P37" s="35">
        <v>8798.4931367712634</v>
      </c>
    </row>
    <row r="38" spans="3:30" ht="15.95">
      <c r="U38" s="32" t="s">
        <v>157</v>
      </c>
    </row>
    <row r="39" spans="3:30">
      <c r="U39">
        <v>2026</v>
      </c>
      <c r="AA39" t="s">
        <v>218</v>
      </c>
      <c r="AB39" t="s">
        <v>219</v>
      </c>
      <c r="AC39" t="s">
        <v>220</v>
      </c>
      <c r="AD39" t="s">
        <v>221</v>
      </c>
    </row>
    <row r="40" spans="3:30">
      <c r="U40" t="s">
        <v>21</v>
      </c>
      <c r="W40" t="s">
        <v>158</v>
      </c>
      <c r="Y40" t="s">
        <v>160</v>
      </c>
    </row>
    <row r="41" spans="3:30" ht="15.95">
      <c r="T41" s="32" t="s">
        <v>113</v>
      </c>
      <c r="U41" t="s">
        <v>120</v>
      </c>
      <c r="V41" t="s">
        <v>114</v>
      </c>
      <c r="W41" t="s">
        <v>120</v>
      </c>
      <c r="X41" t="s">
        <v>114</v>
      </c>
      <c r="Y41" t="s">
        <v>120</v>
      </c>
      <c r="Z41" t="s">
        <v>114</v>
      </c>
    </row>
    <row r="42" spans="3:30">
      <c r="T42" s="11" t="s">
        <v>23</v>
      </c>
      <c r="U42" s="12">
        <v>68341853.900000006</v>
      </c>
      <c r="V42">
        <v>26731</v>
      </c>
      <c r="W42" s="12">
        <v>46127380.200000003</v>
      </c>
      <c r="X42">
        <v>18348</v>
      </c>
      <c r="Y42" s="12">
        <v>16636851.4</v>
      </c>
      <c r="Z42">
        <v>8245</v>
      </c>
      <c r="AA42" s="12">
        <v>131106085.50000001</v>
      </c>
      <c r="AB42">
        <v>53324</v>
      </c>
      <c r="AC42" s="12">
        <v>131106085.50000001</v>
      </c>
      <c r="AD42">
        <v>53324</v>
      </c>
    </row>
    <row r="43" spans="3:30">
      <c r="T43" s="11" t="s">
        <v>202</v>
      </c>
      <c r="U43" s="12">
        <v>422800</v>
      </c>
      <c r="V43">
        <v>446</v>
      </c>
      <c r="W43" s="12">
        <v>62700</v>
      </c>
      <c r="X43">
        <v>66</v>
      </c>
      <c r="Y43" s="12"/>
      <c r="AA43" s="12">
        <v>485500</v>
      </c>
      <c r="AB43">
        <v>512</v>
      </c>
      <c r="AC43" s="12">
        <v>485500</v>
      </c>
      <c r="AD43">
        <v>512</v>
      </c>
    </row>
    <row r="44" spans="3:30">
      <c r="T44" s="11" t="s">
        <v>167</v>
      </c>
      <c r="U44" s="12">
        <v>68764653.900000006</v>
      </c>
      <c r="V44">
        <v>27177</v>
      </c>
      <c r="W44" s="12">
        <v>46190080.200000003</v>
      </c>
      <c r="X44">
        <v>18414</v>
      </c>
      <c r="Y44" s="12">
        <v>16636851.4</v>
      </c>
      <c r="Z44">
        <v>8245</v>
      </c>
      <c r="AA44" s="12">
        <v>131591585.50000001</v>
      </c>
      <c r="AB44">
        <v>53836</v>
      </c>
      <c r="AC44" s="12">
        <v>131591585.50000001</v>
      </c>
      <c r="AD44">
        <v>53836</v>
      </c>
    </row>
    <row r="51" spans="20:25" ht="15.95">
      <c r="T51" t="s">
        <v>123</v>
      </c>
      <c r="U51" s="32" t="s">
        <v>157</v>
      </c>
    </row>
    <row r="52" spans="20:25">
      <c r="U52">
        <v>2026</v>
      </c>
      <c r="X52" t="s">
        <v>217</v>
      </c>
      <c r="Y52" t="s">
        <v>167</v>
      </c>
    </row>
    <row r="53" spans="20:25">
      <c r="T53" t="s">
        <v>113</v>
      </c>
      <c r="U53" t="s">
        <v>21</v>
      </c>
      <c r="V53" t="s">
        <v>158</v>
      </c>
      <c r="W53" t="s">
        <v>160</v>
      </c>
    </row>
    <row r="54" spans="20:25">
      <c r="T54" s="11" t="s">
        <v>24</v>
      </c>
      <c r="U54">
        <v>73084065.714285716</v>
      </c>
      <c r="V54">
        <v>49300614.285714284</v>
      </c>
      <c r="W54">
        <v>16841400</v>
      </c>
      <c r="X54">
        <v>139226080</v>
      </c>
      <c r="Y54">
        <v>139226080</v>
      </c>
    </row>
    <row r="55" spans="20:25">
      <c r="T55" s="11" t="s">
        <v>167</v>
      </c>
      <c r="U55">
        <v>73084065.714285716</v>
      </c>
      <c r="V55">
        <v>49300614.285714284</v>
      </c>
      <c r="W55">
        <v>16841400</v>
      </c>
      <c r="X55">
        <v>139226080</v>
      </c>
      <c r="Y55">
        <v>139226080</v>
      </c>
    </row>
  </sheetData>
  <pageMargins left="0.7" right="0.7" top="0.75" bottom="0.75" header="0.3" footer="0.3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18AE-2B98-DB4C-9589-9B0E63190EEF}">
  <sheetPr>
    <tabColor rgb="FF92D050"/>
  </sheetPr>
  <dimension ref="A1:DD389"/>
  <sheetViews>
    <sheetView workbookViewId="0">
      <pane ySplit="7" topLeftCell="A8" activePane="bottomLeft" state="frozen"/>
      <selection pane="bottomLeft" activeCell="H70" sqref="H70"/>
    </sheetView>
  </sheetViews>
  <sheetFormatPr defaultColWidth="16.85546875" defaultRowHeight="15"/>
  <cols>
    <col min="1" max="1" width="16" customWidth="1"/>
    <col min="2" max="2" width="10.28515625" customWidth="1"/>
    <col min="3" max="3" width="10" style="123" bestFit="1" customWidth="1"/>
    <col min="4" max="4" width="13.42578125" bestFit="1" customWidth="1"/>
    <col min="5" max="5" width="12.42578125" customWidth="1"/>
    <col min="6" max="6" width="8.85546875" customWidth="1"/>
    <col min="7" max="9" width="15.28515625" customWidth="1"/>
    <col min="10" max="10" width="13" customWidth="1"/>
    <col min="11" max="11" width="13.7109375" bestFit="1" customWidth="1"/>
    <col min="12" max="12" width="15.140625" customWidth="1"/>
    <col min="13" max="13" width="14.42578125" customWidth="1"/>
    <col min="14" max="14" width="14.42578125" bestFit="1" customWidth="1"/>
    <col min="15" max="15" width="17.140625" customWidth="1"/>
    <col min="16" max="16" width="11.42578125" customWidth="1"/>
    <col min="17" max="17" width="15.7109375" customWidth="1"/>
    <col min="18" max="18" width="14.7109375" customWidth="1"/>
    <col min="19" max="19" width="15.140625" customWidth="1"/>
    <col min="20" max="20" width="13.42578125" customWidth="1"/>
    <col min="21" max="21" width="8.7109375" customWidth="1"/>
    <col min="22" max="22" width="11.85546875" customWidth="1"/>
    <col min="23" max="23" width="14.42578125" style="27" bestFit="1" customWidth="1"/>
    <col min="24" max="24" width="12.85546875" bestFit="1" customWidth="1"/>
    <col min="25" max="25" width="10.140625" style="27" customWidth="1"/>
    <col min="26" max="26" width="12.7109375" customWidth="1"/>
    <col min="27" max="29" width="8.7109375" customWidth="1"/>
    <col min="30" max="30" width="12.42578125" bestFit="1" customWidth="1"/>
    <col min="31" max="31" width="8.7109375" customWidth="1"/>
    <col min="33" max="33" width="14.140625" customWidth="1"/>
    <col min="34" max="34" width="10.85546875" customWidth="1"/>
    <col min="35" max="35" width="9" customWidth="1"/>
    <col min="49" max="49" width="13" customWidth="1"/>
    <col min="50" max="50" width="12.140625" customWidth="1"/>
    <col min="53" max="53" width="6.7109375" customWidth="1"/>
    <col min="54" max="54" width="12.140625" customWidth="1"/>
    <col min="55" max="55" width="10.140625" customWidth="1"/>
    <col min="56" max="56" width="11.28515625" customWidth="1"/>
    <col min="59" max="59" width="10" customWidth="1"/>
    <col min="60" max="60" width="8.85546875" customWidth="1"/>
    <col min="70" max="70" width="13.85546875" customWidth="1"/>
    <col min="72" max="72" width="12.28515625" customWidth="1"/>
    <col min="73" max="73" width="13.28515625" customWidth="1"/>
    <col min="74" max="74" width="12.85546875" bestFit="1" customWidth="1"/>
    <col min="75" max="75" width="12.28515625" customWidth="1"/>
    <col min="76" max="76" width="14.42578125" customWidth="1"/>
    <col min="77" max="77" width="17" customWidth="1"/>
    <col min="78" max="78" width="15" customWidth="1"/>
    <col min="79" max="79" width="16.140625" customWidth="1"/>
    <col min="80" max="81" width="7.7109375" customWidth="1"/>
    <col min="85" max="108" width="11.7109375" customWidth="1"/>
  </cols>
  <sheetData>
    <row r="1" spans="1:108">
      <c r="L1" s="35">
        <f>SUM(L2:L3)</f>
        <v>66988835.100000001</v>
      </c>
      <c r="M1" t="s">
        <v>222</v>
      </c>
      <c r="O1" s="13">
        <f>1-(L1/L42)</f>
        <v>0.75105797517983675</v>
      </c>
      <c r="P1" t="s">
        <v>223</v>
      </c>
    </row>
    <row r="2" spans="1:108">
      <c r="D2" s="10" t="s">
        <v>104</v>
      </c>
      <c r="E2" t="s">
        <v>105</v>
      </c>
      <c r="L2" s="35">
        <f>(M42+N42)*M2</f>
        <v>13118835.100000001</v>
      </c>
      <c r="M2" s="13">
        <v>7.0000000000000007E-2</v>
      </c>
      <c r="AG2" s="10" t="s">
        <v>104</v>
      </c>
      <c r="AH2" s="11">
        <v>2026</v>
      </c>
      <c r="AZ2" s="27"/>
      <c r="BB2" s="27"/>
      <c r="BY2" s="27"/>
      <c r="CA2" s="27"/>
    </row>
    <row r="3" spans="1:108">
      <c r="D3" s="10" t="s">
        <v>106</v>
      </c>
      <c r="E3" t="s">
        <v>101</v>
      </c>
      <c r="H3" s="393" t="s">
        <v>224</v>
      </c>
      <c r="I3" s="394"/>
      <c r="J3" s="394"/>
      <c r="K3" s="395"/>
      <c r="L3" s="16">
        <f>I42</f>
        <v>53870000</v>
      </c>
      <c r="M3" s="393" t="s">
        <v>225</v>
      </c>
      <c r="N3" s="394"/>
      <c r="O3" s="394"/>
      <c r="P3" s="395"/>
      <c r="R3" s="393" t="s">
        <v>226</v>
      </c>
      <c r="S3" s="394"/>
      <c r="T3" s="394"/>
      <c r="U3" s="395"/>
      <c r="AG3" s="10" t="s">
        <v>106</v>
      </c>
      <c r="AH3" t="s">
        <v>101</v>
      </c>
      <c r="AK3" s="393" t="s">
        <v>224</v>
      </c>
      <c r="AL3" s="394"/>
      <c r="AM3" s="394"/>
      <c r="AN3" s="395"/>
      <c r="AP3" s="393" t="s">
        <v>225</v>
      </c>
      <c r="AQ3" s="394"/>
      <c r="AR3" s="394"/>
      <c r="AS3" s="395"/>
      <c r="AU3" s="393" t="s">
        <v>226</v>
      </c>
      <c r="AV3" s="394"/>
      <c r="AW3" s="394"/>
      <c r="AX3" s="395"/>
      <c r="AZ3" s="27"/>
      <c r="BB3" s="27"/>
      <c r="BF3" s="10" t="s">
        <v>3</v>
      </c>
      <c r="BG3" t="s">
        <v>101</v>
      </c>
      <c r="BJ3" s="393" t="s">
        <v>224</v>
      </c>
      <c r="BK3" s="394"/>
      <c r="BL3" s="394"/>
      <c r="BM3" s="395"/>
      <c r="BO3" s="393" t="s">
        <v>225</v>
      </c>
      <c r="BP3" s="394"/>
      <c r="BQ3" s="394"/>
      <c r="BR3" s="395"/>
      <c r="BT3" s="393" t="s">
        <v>226</v>
      </c>
      <c r="BU3" s="394"/>
      <c r="BV3" s="394"/>
      <c r="BW3" s="395"/>
      <c r="BY3" s="27"/>
      <c r="CA3" s="27"/>
    </row>
    <row r="4" spans="1:108" s="32" customFormat="1" ht="20.100000000000001" customHeight="1">
      <c r="C4" s="204"/>
      <c r="D4" s="10" t="s">
        <v>100</v>
      </c>
      <c r="E4" t="s">
        <v>101</v>
      </c>
      <c r="F4"/>
      <c r="G4"/>
      <c r="H4" s="27">
        <f>H36/G36</f>
        <v>0.26</v>
      </c>
      <c r="I4"/>
      <c r="J4"/>
      <c r="K4"/>
      <c r="L4"/>
      <c r="M4" s="109">
        <f>M8/H8</f>
        <v>0.54589753043891864</v>
      </c>
      <c r="N4"/>
      <c r="O4"/>
      <c r="P4"/>
      <c r="Q4"/>
      <c r="R4" t="s">
        <v>227</v>
      </c>
      <c r="S4"/>
      <c r="T4"/>
      <c r="U4"/>
      <c r="V4"/>
      <c r="W4"/>
      <c r="X4"/>
      <c r="Y4"/>
      <c r="Z4"/>
      <c r="AA4"/>
      <c r="AB4"/>
      <c r="AC4"/>
      <c r="AD4"/>
      <c r="AE4"/>
      <c r="AG4" s="10" t="s">
        <v>100</v>
      </c>
      <c r="AH4" t="s">
        <v>105</v>
      </c>
      <c r="AI4"/>
      <c r="AJ4"/>
      <c r="AK4" s="27" t="e">
        <f>AK36/AJ36</f>
        <v>#DIV/0!</v>
      </c>
      <c r="AL4"/>
      <c r="AM4"/>
      <c r="AN4"/>
      <c r="AO4"/>
      <c r="AP4"/>
      <c r="AQ4"/>
      <c r="AR4"/>
      <c r="AS4"/>
      <c r="AT4"/>
      <c r="AU4" t="s">
        <v>227</v>
      </c>
      <c r="AV4"/>
      <c r="AW4"/>
      <c r="AX4"/>
      <c r="AY4"/>
      <c r="AZ4"/>
      <c r="BA4"/>
      <c r="BB4"/>
      <c r="BC4"/>
      <c r="BD4"/>
      <c r="BF4" s="10" t="s">
        <v>106</v>
      </c>
      <c r="BG4" t="s">
        <v>24</v>
      </c>
      <c r="BH4"/>
      <c r="BI4"/>
      <c r="BJ4" s="27" t="e">
        <f>BJ36/BI36</f>
        <v>#DIV/0!</v>
      </c>
      <c r="BK4"/>
      <c r="BL4"/>
      <c r="BM4"/>
      <c r="BN4"/>
      <c r="BO4"/>
      <c r="BP4"/>
      <c r="BQ4"/>
      <c r="BR4"/>
      <c r="BS4"/>
      <c r="BT4" t="s">
        <v>227</v>
      </c>
      <c r="BU4"/>
      <c r="BV4"/>
      <c r="BW4"/>
      <c r="BX4"/>
      <c r="BY4"/>
      <c r="BZ4"/>
      <c r="CA4"/>
      <c r="CB4"/>
      <c r="CC4"/>
    </row>
    <row r="5" spans="1:108" ht="16.5" customHeight="1" thickBot="1">
      <c r="P5" s="124"/>
      <c r="W5"/>
      <c r="Y5"/>
      <c r="AS5" s="124"/>
      <c r="BR5" s="124"/>
    </row>
    <row r="6" spans="1:108" s="155" customFormat="1" ht="41.25" customHeight="1">
      <c r="A6" s="207" t="s">
        <v>228</v>
      </c>
      <c r="B6" s="207" t="s">
        <v>229</v>
      </c>
      <c r="C6" s="209" t="s">
        <v>230</v>
      </c>
      <c r="D6" s="314" t="s">
        <v>113</v>
      </c>
      <c r="E6" s="40" t="s">
        <v>114</v>
      </c>
      <c r="F6" s="40" t="s">
        <v>115</v>
      </c>
      <c r="G6" s="40" t="s">
        <v>116</v>
      </c>
      <c r="H6" s="315" t="s">
        <v>117</v>
      </c>
      <c r="I6" s="315" t="s">
        <v>119</v>
      </c>
      <c r="J6" s="316" t="s">
        <v>118</v>
      </c>
      <c r="K6" s="316" t="s">
        <v>140</v>
      </c>
      <c r="L6" s="317" t="s">
        <v>120</v>
      </c>
      <c r="M6" s="318" t="s">
        <v>142</v>
      </c>
      <c r="N6" s="318" t="s">
        <v>143</v>
      </c>
      <c r="O6" s="319" t="s">
        <v>144</v>
      </c>
      <c r="P6" s="319" t="s">
        <v>231</v>
      </c>
      <c r="Q6" s="319" t="s">
        <v>145</v>
      </c>
      <c r="R6" s="320" t="s">
        <v>121</v>
      </c>
      <c r="S6" s="319" t="s">
        <v>146</v>
      </c>
      <c r="T6" s="319" t="s">
        <v>133</v>
      </c>
      <c r="U6" s="319" t="s">
        <v>191</v>
      </c>
      <c r="V6" s="319" t="s">
        <v>147</v>
      </c>
      <c r="W6" s="320" t="s">
        <v>122</v>
      </c>
      <c r="X6" s="321" t="s">
        <v>124</v>
      </c>
      <c r="Y6" s="154" t="s">
        <v>125</v>
      </c>
      <c r="Z6" s="154" t="s">
        <v>232</v>
      </c>
      <c r="AA6" s="154" t="s">
        <v>126</v>
      </c>
      <c r="AB6" s="154" t="s">
        <v>233</v>
      </c>
      <c r="AC6" s="154" t="s">
        <v>234</v>
      </c>
      <c r="AD6" s="154" t="s">
        <v>128</v>
      </c>
      <c r="AE6" s="154" t="s">
        <v>129</v>
      </c>
      <c r="AG6" s="314" t="s">
        <v>113</v>
      </c>
      <c r="AH6" s="40" t="s">
        <v>114</v>
      </c>
      <c r="AI6" s="40" t="s">
        <v>115</v>
      </c>
      <c r="AJ6" s="40" t="s">
        <v>116</v>
      </c>
      <c r="AK6" s="315" t="s">
        <v>117</v>
      </c>
      <c r="AL6" s="315" t="s">
        <v>119</v>
      </c>
      <c r="AM6" s="316" t="s">
        <v>118</v>
      </c>
      <c r="AN6" s="316" t="s">
        <v>140</v>
      </c>
      <c r="AO6" s="317" t="s">
        <v>120</v>
      </c>
      <c r="AP6" s="318" t="s">
        <v>142</v>
      </c>
      <c r="AQ6" s="318" t="s">
        <v>143</v>
      </c>
      <c r="AR6" s="319" t="s">
        <v>144</v>
      </c>
      <c r="AS6" s="319" t="s">
        <v>145</v>
      </c>
      <c r="AT6" s="320" t="s">
        <v>121</v>
      </c>
      <c r="AU6" s="319" t="s">
        <v>146</v>
      </c>
      <c r="AV6" s="319" t="s">
        <v>133</v>
      </c>
      <c r="AW6" s="319" t="s">
        <v>191</v>
      </c>
      <c r="AX6" s="319" t="s">
        <v>147</v>
      </c>
      <c r="AY6" s="320" t="s">
        <v>122</v>
      </c>
      <c r="AZ6" s="321" t="s">
        <v>124</v>
      </c>
      <c r="BA6" s="154" t="s">
        <v>125</v>
      </c>
      <c r="BB6" s="154" t="s">
        <v>232</v>
      </c>
      <c r="BC6" s="154" t="s">
        <v>126</v>
      </c>
      <c r="BD6" s="154" t="s">
        <v>233</v>
      </c>
      <c r="BF6" s="10" t="s">
        <v>113</v>
      </c>
      <c r="BG6" s="40" t="s">
        <v>114</v>
      </c>
      <c r="BH6" s="40" t="s">
        <v>115</v>
      </c>
      <c r="BI6" s="40" t="s">
        <v>116</v>
      </c>
      <c r="BJ6" s="315" t="s">
        <v>117</v>
      </c>
      <c r="BK6" s="315" t="s">
        <v>119</v>
      </c>
      <c r="BL6" s="316" t="s">
        <v>118</v>
      </c>
      <c r="BM6" t="s">
        <v>235</v>
      </c>
      <c r="BN6" s="316" t="s">
        <v>140</v>
      </c>
      <c r="BO6" s="317" t="s">
        <v>120</v>
      </c>
      <c r="BP6" s="318" t="s">
        <v>142</v>
      </c>
      <c r="BQ6" s="318" t="s">
        <v>143</v>
      </c>
      <c r="BR6" s="319" t="s">
        <v>144</v>
      </c>
      <c r="BS6" s="319" t="s">
        <v>145</v>
      </c>
      <c r="BT6" t="s">
        <v>231</v>
      </c>
      <c r="BU6" s="320" t="s">
        <v>121</v>
      </c>
      <c r="BV6" s="319" t="s">
        <v>146</v>
      </c>
      <c r="BW6" s="319" t="s">
        <v>133</v>
      </c>
      <c r="BX6" s="319" t="s">
        <v>191</v>
      </c>
      <c r="BY6" s="319" t="s">
        <v>147</v>
      </c>
      <c r="BZ6" s="320" t="s">
        <v>122</v>
      </c>
      <c r="CA6" s="321" t="s">
        <v>124</v>
      </c>
      <c r="CB6" s="154" t="s">
        <v>125</v>
      </c>
      <c r="CC6" s="154" t="s">
        <v>232</v>
      </c>
      <c r="CD6" s="154" t="s">
        <v>126</v>
      </c>
      <c r="CE6" s="154" t="s">
        <v>233</v>
      </c>
      <c r="CG6" s="350" t="s">
        <v>113</v>
      </c>
      <c r="CH6" s="350" t="s">
        <v>114</v>
      </c>
      <c r="CI6" s="350" t="s">
        <v>115</v>
      </c>
      <c r="CJ6" s="350" t="s">
        <v>116</v>
      </c>
      <c r="CK6" s="351" t="s">
        <v>117</v>
      </c>
      <c r="CL6" s="351" t="s">
        <v>119</v>
      </c>
      <c r="CM6" s="352" t="s">
        <v>118</v>
      </c>
      <c r="CN6" s="352" t="s">
        <v>140</v>
      </c>
      <c r="CO6" s="353" t="s">
        <v>120</v>
      </c>
      <c r="CP6" s="354" t="s">
        <v>142</v>
      </c>
      <c r="CQ6" s="354" t="s">
        <v>143</v>
      </c>
      <c r="CR6" s="355" t="s">
        <v>144</v>
      </c>
      <c r="CS6" s="355" t="s">
        <v>145</v>
      </c>
      <c r="CT6" s="356" t="s">
        <v>121</v>
      </c>
      <c r="CU6" s="355" t="s">
        <v>146</v>
      </c>
      <c r="CV6" s="355" t="s">
        <v>133</v>
      </c>
      <c r="CW6" s="355" t="s">
        <v>191</v>
      </c>
      <c r="CX6" s="355" t="s">
        <v>147</v>
      </c>
      <c r="CY6" s="356" t="s">
        <v>122</v>
      </c>
      <c r="CZ6" s="357" t="s">
        <v>124</v>
      </c>
      <c r="DA6" s="358" t="s">
        <v>125</v>
      </c>
      <c r="DB6" s="358" t="s">
        <v>232</v>
      </c>
      <c r="DC6" s="358" t="s">
        <v>126</v>
      </c>
      <c r="DD6" s="358" t="s">
        <v>233</v>
      </c>
    </row>
    <row r="7" spans="1:108">
      <c r="D7" s="11" t="s">
        <v>23</v>
      </c>
      <c r="E7" s="12">
        <v>5166613.2832826702</v>
      </c>
      <c r="F7" s="312">
        <v>293</v>
      </c>
      <c r="G7" s="313">
        <v>45447760959.277718</v>
      </c>
      <c r="H7" s="16">
        <v>11179905113.982185</v>
      </c>
      <c r="I7" s="16">
        <v>2686467539.8845992</v>
      </c>
      <c r="J7" s="35">
        <v>931152463.99999917</v>
      </c>
      <c r="K7" s="35">
        <v>19804200</v>
      </c>
      <c r="L7" s="35">
        <v>14862614317.766659</v>
      </c>
      <c r="M7" s="35">
        <v>4991440141.6927919</v>
      </c>
      <c r="N7" s="12">
        <v>4535203974.5398445</v>
      </c>
      <c r="O7" s="35">
        <v>313759569</v>
      </c>
      <c r="P7" s="16">
        <v>13199999</v>
      </c>
      <c r="Q7" s="35">
        <v>58199999</v>
      </c>
      <c r="R7" s="35">
        <v>9911803684.9039783</v>
      </c>
      <c r="S7" s="35">
        <v>223713333.58962473</v>
      </c>
      <c r="T7" s="35">
        <v>4443803171.479538</v>
      </c>
      <c r="U7" s="35">
        <v>3345159.1770043853</v>
      </c>
      <c r="V7" s="35">
        <v>44602101.068791054</v>
      </c>
      <c r="W7" s="35">
        <v>4715338765.0211782</v>
      </c>
      <c r="X7" s="280">
        <v>235471868.32447422</v>
      </c>
      <c r="Y7" s="13">
        <v>1.5843233450725615E-2</v>
      </c>
      <c r="Z7" s="13">
        <v>0.10982807593459316</v>
      </c>
      <c r="AA7" s="35">
        <v>8796.4317179167574</v>
      </c>
      <c r="AB7" s="13">
        <v>9.9789381892839465E-2</v>
      </c>
      <c r="AC7" s="35"/>
      <c r="AD7" s="35"/>
      <c r="AE7" s="35"/>
      <c r="AG7" s="11" t="s">
        <v>21</v>
      </c>
      <c r="AH7" s="12">
        <v>27177</v>
      </c>
      <c r="AI7" s="12">
        <v>27</v>
      </c>
      <c r="AJ7" s="313">
        <v>203144379</v>
      </c>
      <c r="AK7" s="16">
        <v>50009653.899999999</v>
      </c>
      <c r="AL7" s="16">
        <v>18755000</v>
      </c>
      <c r="AM7" s="35">
        <v>0</v>
      </c>
      <c r="AN7" s="35">
        <v>0</v>
      </c>
      <c r="AO7" s="35">
        <v>68764653.900000006</v>
      </c>
      <c r="AP7" s="35">
        <v>16954140</v>
      </c>
      <c r="AQ7" s="12">
        <v>24570640</v>
      </c>
      <c r="AR7" s="35">
        <v>0</v>
      </c>
      <c r="AS7" s="35">
        <v>0</v>
      </c>
      <c r="AT7" s="35">
        <v>41524780</v>
      </c>
      <c r="AU7" s="35">
        <v>5764285.7142857146</v>
      </c>
      <c r="AV7" s="35">
        <v>25795000</v>
      </c>
      <c r="AW7" s="35">
        <v>0</v>
      </c>
      <c r="AX7" s="35">
        <v>0</v>
      </c>
      <c r="AY7" s="35">
        <v>31559285.714285716</v>
      </c>
      <c r="AZ7" s="280">
        <v>-4319411.8142857142</v>
      </c>
      <c r="BA7" s="13">
        <v>-6.2814419462754165E-2</v>
      </c>
      <c r="BB7" s="13">
        <v>8.3458573077229967E-2</v>
      </c>
      <c r="BC7" s="35">
        <v>7474.8640026492994</v>
      </c>
      <c r="BD7" s="13">
        <v>0.12095161146447474</v>
      </c>
      <c r="BF7" s="11">
        <v>2025</v>
      </c>
      <c r="BG7" s="12">
        <v>571337</v>
      </c>
      <c r="BH7" s="12">
        <v>65</v>
      </c>
      <c r="BI7" s="313">
        <v>5163010080</v>
      </c>
      <c r="BJ7" s="16">
        <v>1201926597.5999999</v>
      </c>
      <c r="BK7" s="16">
        <v>398526357.14285713</v>
      </c>
      <c r="BL7" s="35">
        <v>106395559.99999999</v>
      </c>
      <c r="BM7">
        <v>80000</v>
      </c>
      <c r="BN7" s="35">
        <v>20829200</v>
      </c>
      <c r="BO7" s="35">
        <v>1727757714.742857</v>
      </c>
      <c r="BP7" s="35">
        <v>454325641.4285714</v>
      </c>
      <c r="BQ7" s="12">
        <v>648577474.28571427</v>
      </c>
      <c r="BR7" s="35">
        <v>34258569</v>
      </c>
      <c r="BS7" s="35">
        <v>800000</v>
      </c>
      <c r="BT7">
        <v>0</v>
      </c>
      <c r="BU7" s="35">
        <v>1137521284.7142856</v>
      </c>
      <c r="BV7" s="35">
        <v>58580000</v>
      </c>
      <c r="BW7" s="35">
        <v>557539285.71428573</v>
      </c>
      <c r="BX7" s="35">
        <v>0</v>
      </c>
      <c r="BY7" s="35">
        <v>2209515</v>
      </c>
      <c r="BZ7" s="35">
        <v>618203800.71428573</v>
      </c>
      <c r="CA7" s="280">
        <v>-27967370.685714275</v>
      </c>
      <c r="CB7" s="13">
        <v>-1.6187090612920035E-2</v>
      </c>
      <c r="CC7" s="13">
        <v>8.7996272404831599E-2</v>
      </c>
      <c r="CD7" s="35">
        <v>9036.7157737027355</v>
      </c>
      <c r="CE7" s="13">
        <v>0.1256200286724434</v>
      </c>
      <c r="CG7" s="359" t="s">
        <v>21</v>
      </c>
      <c r="CH7" s="360">
        <v>27177</v>
      </c>
      <c r="CI7" s="360">
        <v>27</v>
      </c>
      <c r="CJ7" s="361">
        <v>203144379</v>
      </c>
      <c r="CK7" s="162">
        <v>50009653.899999999</v>
      </c>
      <c r="CL7" s="162">
        <v>18755000</v>
      </c>
      <c r="CM7" s="362">
        <v>0</v>
      </c>
      <c r="CN7" s="362">
        <v>0</v>
      </c>
      <c r="CO7" s="362">
        <v>68764653.900000006</v>
      </c>
      <c r="CP7" s="362">
        <v>16954140</v>
      </c>
      <c r="CQ7" s="360">
        <v>24570640</v>
      </c>
      <c r="CR7" s="362">
        <v>0</v>
      </c>
      <c r="CS7" s="362">
        <v>0</v>
      </c>
      <c r="CT7" s="362">
        <v>41524780</v>
      </c>
      <c r="CU7" s="362">
        <v>5764285.7142857146</v>
      </c>
      <c r="CV7" s="362">
        <v>25795000</v>
      </c>
      <c r="CW7" s="362">
        <v>0</v>
      </c>
      <c r="CX7" s="362">
        <v>0</v>
      </c>
      <c r="CY7" s="362">
        <v>31559285.714285716</v>
      </c>
      <c r="CZ7" s="363">
        <v>-4319411.8142857142</v>
      </c>
      <c r="DA7" s="364">
        <v>-6.2814419462754165E-2</v>
      </c>
      <c r="DB7" s="364">
        <v>8.3458573077229967E-2</v>
      </c>
      <c r="DC7" s="362">
        <v>7474.8640026492994</v>
      </c>
      <c r="DD7" s="364">
        <v>0.12095161146447474</v>
      </c>
    </row>
    <row r="8" spans="1:108" s="109" customFormat="1">
      <c r="A8" s="109">
        <f>M8/G8</f>
        <v>0.11450082360471016</v>
      </c>
      <c r="B8" s="109">
        <f t="shared" ref="B8:B27" si="0">N8/G8</f>
        <v>8.5912925911843824E-2</v>
      </c>
      <c r="C8" s="123">
        <f t="shared" ref="C8:C27" si="1">N8/AC8</f>
        <v>134044.52690166974</v>
      </c>
      <c r="D8" s="26">
        <v>1</v>
      </c>
      <c r="E8" s="12">
        <v>54215</v>
      </c>
      <c r="F8" s="312">
        <v>237</v>
      </c>
      <c r="G8" s="313">
        <v>480553000</v>
      </c>
      <c r="H8" s="16">
        <v>100794950</v>
      </c>
      <c r="I8" s="16">
        <v>22145714.285714284</v>
      </c>
      <c r="J8" s="35">
        <v>22268144</v>
      </c>
      <c r="K8" s="35"/>
      <c r="L8" s="35">
        <v>145208808.28571427</v>
      </c>
      <c r="M8" s="35">
        <v>55023714.285714284</v>
      </c>
      <c r="N8" s="12">
        <v>41285714.285714284</v>
      </c>
      <c r="O8" s="35"/>
      <c r="P8" s="16"/>
      <c r="Q8" s="35"/>
      <c r="R8" s="35">
        <v>96309428.571428567</v>
      </c>
      <c r="S8" s="35"/>
      <c r="T8" s="35">
        <v>38875371.428571425</v>
      </c>
      <c r="U8" s="35"/>
      <c r="V8" s="35">
        <v>447714.28571428568</v>
      </c>
      <c r="W8" s="35">
        <v>39323085.714285709</v>
      </c>
      <c r="X8" s="280">
        <v>9576294</v>
      </c>
      <c r="Y8" s="13">
        <v>6.594843737824492E-2</v>
      </c>
      <c r="Z8" s="13">
        <v>0.11450082360471016</v>
      </c>
      <c r="AA8" s="35">
        <v>8863.8384211011708</v>
      </c>
      <c r="AB8" s="13">
        <v>8.5912925911843824E-2</v>
      </c>
      <c r="AC8" s="35">
        <v>308</v>
      </c>
      <c r="AD8" s="35">
        <f>G8/AC8</f>
        <v>1560237.012987013</v>
      </c>
      <c r="AE8" s="35">
        <f>E8/AC8</f>
        <v>176.02272727272728</v>
      </c>
      <c r="AF8" s="1">
        <f>T8/7</f>
        <v>5553624.4897959176</v>
      </c>
      <c r="AG8" s="26" t="s">
        <v>23</v>
      </c>
      <c r="AH8" s="12">
        <v>26731</v>
      </c>
      <c r="AI8" s="311">
        <v>27</v>
      </c>
      <c r="AJ8" s="313">
        <v>198916379</v>
      </c>
      <c r="AK8" s="16">
        <v>49586853.899999999</v>
      </c>
      <c r="AL8" s="16">
        <v>18755000</v>
      </c>
      <c r="AM8" s="35">
        <v>0</v>
      </c>
      <c r="AN8" s="35">
        <v>0</v>
      </c>
      <c r="AO8" s="35">
        <v>68341853.900000006</v>
      </c>
      <c r="AP8" s="35">
        <v>16954140</v>
      </c>
      <c r="AQ8" s="12">
        <v>24570640</v>
      </c>
      <c r="AR8" s="35">
        <v>0</v>
      </c>
      <c r="AS8" s="35">
        <v>0</v>
      </c>
      <c r="AT8" s="35">
        <v>41524780</v>
      </c>
      <c r="AU8" s="35">
        <v>4164285.7142857146</v>
      </c>
      <c r="AV8" s="35">
        <v>25795000</v>
      </c>
      <c r="AW8" s="35">
        <v>0</v>
      </c>
      <c r="AX8" s="35">
        <v>0</v>
      </c>
      <c r="AY8" s="35">
        <v>29959285.714285716</v>
      </c>
      <c r="AZ8" s="280">
        <v>-3142211.8142857142</v>
      </c>
      <c r="BA8" s="13">
        <v>-4.5977854491385313E-2</v>
      </c>
      <c r="BB8" s="13">
        <v>8.5232498626973296E-2</v>
      </c>
      <c r="BC8" s="35">
        <v>7441.4118065167786</v>
      </c>
      <c r="BD8" s="13">
        <v>0.12352245764538072</v>
      </c>
      <c r="BF8" s="26" t="s">
        <v>21</v>
      </c>
      <c r="BG8" s="12">
        <v>68490</v>
      </c>
      <c r="BH8" s="312">
        <v>53</v>
      </c>
      <c r="BI8" s="313">
        <v>626447000</v>
      </c>
      <c r="BJ8" s="16">
        <v>123090510</v>
      </c>
      <c r="BK8" s="16">
        <v>30110000</v>
      </c>
      <c r="BL8" s="35">
        <v>19695019</v>
      </c>
      <c r="BM8" s="12"/>
      <c r="BN8" s="35">
        <v>3175000</v>
      </c>
      <c r="BO8" s="35">
        <v>176070529</v>
      </c>
      <c r="BP8" s="35">
        <v>46126728.571428575</v>
      </c>
      <c r="BQ8" s="12">
        <v>104594285.71428572</v>
      </c>
      <c r="BR8" s="35">
        <v>6865111</v>
      </c>
      <c r="BS8" s="35">
        <v>0</v>
      </c>
      <c r="BT8" s="12"/>
      <c r="BU8" s="35">
        <v>157586125.28571427</v>
      </c>
      <c r="BV8" s="35">
        <v>720000</v>
      </c>
      <c r="BW8" s="35">
        <v>49526614.285714284</v>
      </c>
      <c r="BX8" s="35"/>
      <c r="BY8" s="35"/>
      <c r="BZ8" s="35">
        <v>50246614.285714284</v>
      </c>
      <c r="CA8" s="280">
        <v>-31762210.571428567</v>
      </c>
      <c r="CB8" s="206">
        <v>-0.18039481537213173</v>
      </c>
      <c r="CC8" s="13">
        <v>7.3632292231311791E-2</v>
      </c>
      <c r="CD8" s="35">
        <v>9146.5469411592931</v>
      </c>
      <c r="CE8" s="13">
        <v>0.16696430139227375</v>
      </c>
      <c r="CG8" s="26" t="s">
        <v>23</v>
      </c>
      <c r="CH8" s="12">
        <v>26731</v>
      </c>
      <c r="CI8" s="311">
        <v>27</v>
      </c>
      <c r="CJ8" s="313">
        <v>198916379</v>
      </c>
      <c r="CK8" s="16">
        <v>49586853.899999999</v>
      </c>
      <c r="CL8" s="16">
        <v>18755000</v>
      </c>
      <c r="CM8" s="35">
        <v>0</v>
      </c>
      <c r="CN8" s="35">
        <v>0</v>
      </c>
      <c r="CO8" s="35">
        <f>SUM(CK8:CN8)</f>
        <v>68341853.900000006</v>
      </c>
      <c r="CP8" s="35">
        <v>16954140</v>
      </c>
      <c r="CQ8" s="12">
        <v>24570640</v>
      </c>
      <c r="CR8" s="35">
        <v>0</v>
      </c>
      <c r="CS8" s="35">
        <v>0</v>
      </c>
      <c r="CT8" s="35">
        <f>SUM(CP8:CS8)</f>
        <v>41524780</v>
      </c>
      <c r="CU8" s="35">
        <v>4164285.7142857146</v>
      </c>
      <c r="CV8" s="35">
        <v>25795000</v>
      </c>
      <c r="CW8" s="35">
        <v>0</v>
      </c>
      <c r="CX8" s="35">
        <v>0</v>
      </c>
      <c r="CY8" s="35">
        <f>SUM(CU8:CX8)</f>
        <v>29959285.714285716</v>
      </c>
      <c r="CZ8" s="280">
        <f>CO8-CT8-CY8</f>
        <v>-3142211.8142857105</v>
      </c>
      <c r="DA8" s="13">
        <v>-4.5977854491385313E-2</v>
      </c>
      <c r="DB8" s="13">
        <v>8.5232498626973296E-2</v>
      </c>
      <c r="DC8" s="35">
        <v>7441.4118065167786</v>
      </c>
      <c r="DD8" s="13">
        <v>0.12352245764538072</v>
      </c>
    </row>
    <row r="9" spans="1:108">
      <c r="A9" s="109">
        <f t="shared" ref="A9:A27" si="2">M9/G9</f>
        <v>0.10971550336050588</v>
      </c>
      <c r="B9" s="109">
        <f t="shared" si="0"/>
        <v>8.4877547645769491E-2</v>
      </c>
      <c r="C9" s="123">
        <f t="shared" si="1"/>
        <v>216044.77611940299</v>
      </c>
      <c r="D9" s="26">
        <v>2</v>
      </c>
      <c r="E9" s="12">
        <v>96367</v>
      </c>
      <c r="F9" s="312">
        <v>257</v>
      </c>
      <c r="G9" s="313">
        <v>852699000</v>
      </c>
      <c r="H9" s="16">
        <v>193676870</v>
      </c>
      <c r="I9" s="16">
        <v>41087000</v>
      </c>
      <c r="J9" s="35">
        <v>38969252</v>
      </c>
      <c r="K9" s="35">
        <v>0</v>
      </c>
      <c r="L9" s="35">
        <v>273733122</v>
      </c>
      <c r="M9" s="35">
        <v>93554300</v>
      </c>
      <c r="N9" s="12">
        <v>72375000</v>
      </c>
      <c r="O9" s="35">
        <v>0</v>
      </c>
      <c r="P9" s="16"/>
      <c r="Q9" s="35">
        <v>0</v>
      </c>
      <c r="R9" s="35">
        <v>165929300</v>
      </c>
      <c r="S9" s="35">
        <v>0</v>
      </c>
      <c r="T9" s="35">
        <v>74725200</v>
      </c>
      <c r="U9" s="35"/>
      <c r="V9" s="35">
        <v>783500</v>
      </c>
      <c r="W9" s="35">
        <v>75508700</v>
      </c>
      <c r="X9" s="280">
        <v>32295121.999999996</v>
      </c>
      <c r="Y9" s="13">
        <v>0.11798032245436486</v>
      </c>
      <c r="Z9" s="13">
        <v>0.10971550336050588</v>
      </c>
      <c r="AA9" s="35">
        <v>8848.4543464048893</v>
      </c>
      <c r="AB9" s="13">
        <v>8.4877547645769491E-2</v>
      </c>
      <c r="AC9" s="35">
        <v>335</v>
      </c>
      <c r="AD9" s="35">
        <f t="shared" ref="AD9:AD47" si="3">G9/AC9</f>
        <v>2545370.1492537311</v>
      </c>
      <c r="AE9" s="35">
        <f t="shared" ref="AE9:AE39" si="4">E9/AC9</f>
        <v>287.6626865671642</v>
      </c>
      <c r="AF9" s="1">
        <f t="shared" ref="AF9:AF23" si="5">T9/7</f>
        <v>10675028.571428571</v>
      </c>
      <c r="AG9" s="26" t="s">
        <v>202</v>
      </c>
      <c r="AH9" s="12">
        <v>446</v>
      </c>
      <c r="AI9" s="12">
        <v>1</v>
      </c>
      <c r="AJ9" s="313">
        <v>4228000</v>
      </c>
      <c r="AK9" s="16">
        <v>422800</v>
      </c>
      <c r="AL9" s="16">
        <v>0</v>
      </c>
      <c r="AM9" s="35">
        <v>0</v>
      </c>
      <c r="AN9" s="35">
        <v>0</v>
      </c>
      <c r="AO9" s="35">
        <v>422800</v>
      </c>
      <c r="AP9" s="35">
        <v>0</v>
      </c>
      <c r="AQ9" s="12">
        <v>0</v>
      </c>
      <c r="AR9" s="35">
        <v>0</v>
      </c>
      <c r="AS9" s="35">
        <v>0</v>
      </c>
      <c r="AT9" s="35">
        <v>0</v>
      </c>
      <c r="AU9" s="35">
        <v>1600000</v>
      </c>
      <c r="AV9" s="35">
        <v>0</v>
      </c>
      <c r="AW9" s="35">
        <v>0</v>
      </c>
      <c r="AX9" s="35">
        <v>0</v>
      </c>
      <c r="AY9" s="35">
        <v>1600000</v>
      </c>
      <c r="AZ9" s="280">
        <v>-1177200</v>
      </c>
      <c r="BA9" s="13">
        <v>-2.7842951750236518</v>
      </c>
      <c r="BB9" s="13">
        <v>0</v>
      </c>
      <c r="BC9" s="35">
        <v>9479.8206278026901</v>
      </c>
      <c r="BD9" s="13">
        <v>0</v>
      </c>
      <c r="BF9" s="26" t="s">
        <v>158</v>
      </c>
      <c r="BG9" s="12">
        <v>58643</v>
      </c>
      <c r="BH9" s="312">
        <v>63</v>
      </c>
      <c r="BI9" s="313">
        <v>572086000</v>
      </c>
      <c r="BJ9" s="16">
        <v>120373660</v>
      </c>
      <c r="BK9" s="16">
        <v>41403214.285714284</v>
      </c>
      <c r="BL9" s="35">
        <v>21762713</v>
      </c>
      <c r="BM9" s="12"/>
      <c r="BN9" s="35">
        <v>5150000</v>
      </c>
      <c r="BO9" s="35">
        <v>188689587.28571427</v>
      </c>
      <c r="BP9" s="35">
        <v>48415285.714285716</v>
      </c>
      <c r="BQ9" s="12">
        <v>80085714.285714284</v>
      </c>
      <c r="BR9" s="35">
        <v>8163458</v>
      </c>
      <c r="BS9" s="35">
        <v>200000</v>
      </c>
      <c r="BT9" s="12"/>
      <c r="BU9" s="35">
        <v>136864458</v>
      </c>
      <c r="BV9" s="35">
        <v>3360000</v>
      </c>
      <c r="BW9" s="35">
        <v>56082671.428571433</v>
      </c>
      <c r="BX9" s="35">
        <v>0</v>
      </c>
      <c r="BY9" s="35">
        <v>232142.85714285713</v>
      </c>
      <c r="BZ9" s="35">
        <v>59674814.285714291</v>
      </c>
      <c r="CA9" s="280">
        <v>-7849684.9999999972</v>
      </c>
      <c r="CB9" s="206">
        <v>-4.1601050237679432E-2</v>
      </c>
      <c r="CC9" s="13">
        <v>8.4629383893830151E-2</v>
      </c>
      <c r="CD9" s="35">
        <v>9755.4013266715556</v>
      </c>
      <c r="CE9" s="13">
        <v>0.13998894272139903</v>
      </c>
      <c r="CG9" s="26" t="s">
        <v>202</v>
      </c>
      <c r="CH9" s="12">
        <v>446</v>
      </c>
      <c r="CI9" s="12">
        <v>1</v>
      </c>
      <c r="CJ9" s="313">
        <v>4228000</v>
      </c>
      <c r="CK9" s="16">
        <v>422800</v>
      </c>
      <c r="CL9" s="16">
        <v>0</v>
      </c>
      <c r="CM9" s="35">
        <v>0</v>
      </c>
      <c r="CN9" s="35">
        <v>0</v>
      </c>
      <c r="CO9" s="35">
        <f>SUM(CK9:CN9)</f>
        <v>422800</v>
      </c>
      <c r="CP9" s="35">
        <v>0</v>
      </c>
      <c r="CQ9" s="12">
        <v>0</v>
      </c>
      <c r="CR9" s="35">
        <v>0</v>
      </c>
      <c r="CS9" s="35">
        <v>0</v>
      </c>
      <c r="CT9" s="35">
        <f>SUM(CP9:CS9)</f>
        <v>0</v>
      </c>
      <c r="CU9" s="35">
        <v>1600000</v>
      </c>
      <c r="CV9" s="35">
        <v>0</v>
      </c>
      <c r="CW9" s="35">
        <v>0</v>
      </c>
      <c r="CX9" s="35">
        <v>0</v>
      </c>
      <c r="CY9" s="35">
        <f>SUM(CU9:CX9)</f>
        <v>1600000</v>
      </c>
      <c r="CZ9" s="280">
        <f>CO9-CT9-CY9</f>
        <v>-1177200</v>
      </c>
      <c r="DA9" s="13">
        <v>-4.5977854491385313E-2</v>
      </c>
      <c r="DB9" s="13">
        <v>0</v>
      </c>
      <c r="DC9" s="35">
        <v>9479.8206278026901</v>
      </c>
      <c r="DD9" s="13">
        <v>0</v>
      </c>
    </row>
    <row r="10" spans="1:108">
      <c r="A10" s="109">
        <f t="shared" si="2"/>
        <v>0.10894162198086978</v>
      </c>
      <c r="B10" s="109">
        <f t="shared" si="0"/>
        <v>8.8783884903093774E-2</v>
      </c>
      <c r="C10" s="123">
        <f t="shared" si="1"/>
        <v>220400.59347181008</v>
      </c>
      <c r="D10" s="26">
        <v>3</v>
      </c>
      <c r="E10" s="12">
        <v>94488</v>
      </c>
      <c r="F10" s="312">
        <v>256</v>
      </c>
      <c r="G10" s="313">
        <v>836582000</v>
      </c>
      <c r="H10" s="16">
        <v>189936300</v>
      </c>
      <c r="I10" s="16">
        <v>41694000</v>
      </c>
      <c r="J10" s="35">
        <v>38969252.000000007</v>
      </c>
      <c r="K10" s="35">
        <v>850000</v>
      </c>
      <c r="L10" s="35">
        <v>271449551.99999994</v>
      </c>
      <c r="M10" s="35">
        <v>91138600</v>
      </c>
      <c r="N10" s="12">
        <v>74275000</v>
      </c>
      <c r="O10" s="35">
        <v>0</v>
      </c>
      <c r="P10" s="16"/>
      <c r="Q10" s="35">
        <v>0</v>
      </c>
      <c r="R10" s="35">
        <v>165413600</v>
      </c>
      <c r="S10" s="35">
        <v>0</v>
      </c>
      <c r="T10" s="35">
        <v>73093500</v>
      </c>
      <c r="U10" s="35"/>
      <c r="V10" s="35">
        <v>783500</v>
      </c>
      <c r="W10" s="35">
        <v>73877000</v>
      </c>
      <c r="X10" s="280">
        <v>32158951.999999996</v>
      </c>
      <c r="Y10" s="13">
        <v>0.11847119202466028</v>
      </c>
      <c r="Z10" s="13">
        <v>0.10894162198086978</v>
      </c>
      <c r="AA10" s="35">
        <v>8853.8438743544157</v>
      </c>
      <c r="AB10" s="13">
        <v>8.8783884903093774E-2</v>
      </c>
      <c r="AC10" s="35">
        <v>337</v>
      </c>
      <c r="AD10" s="35">
        <f t="shared" si="3"/>
        <v>2482439.1691394658</v>
      </c>
      <c r="AE10" s="35">
        <f t="shared" si="4"/>
        <v>280.379821958457</v>
      </c>
      <c r="AF10" s="1">
        <f t="shared" si="5"/>
        <v>10441928.571428571</v>
      </c>
      <c r="AG10" s="11" t="s">
        <v>158</v>
      </c>
      <c r="AH10" s="12">
        <v>18414</v>
      </c>
      <c r="AI10" s="12">
        <v>20</v>
      </c>
      <c r="AJ10" s="313">
        <v>130877900</v>
      </c>
      <c r="AK10" s="16">
        <v>32060080.199999999</v>
      </c>
      <c r="AL10" s="16">
        <v>14130000</v>
      </c>
      <c r="AM10" s="35">
        <v>0</v>
      </c>
      <c r="AN10" s="35">
        <v>0</v>
      </c>
      <c r="AO10" s="35">
        <v>46190080.200000003</v>
      </c>
      <c r="AP10" s="35">
        <v>9966240</v>
      </c>
      <c r="AQ10" s="12">
        <v>17733660</v>
      </c>
      <c r="AR10" s="35">
        <v>0</v>
      </c>
      <c r="AS10" s="35">
        <v>0</v>
      </c>
      <c r="AT10" s="35">
        <v>27699900</v>
      </c>
      <c r="AU10" s="35">
        <v>2735714.2857142859</v>
      </c>
      <c r="AV10" s="35">
        <v>18865000</v>
      </c>
      <c r="AW10" s="35">
        <v>0</v>
      </c>
      <c r="AX10" s="35">
        <v>0</v>
      </c>
      <c r="AY10" s="35">
        <v>21600714.285714287</v>
      </c>
      <c r="AZ10" s="280">
        <v>-3110534.0857142853</v>
      </c>
      <c r="BA10" s="13">
        <v>-6.7342036910217035E-2</v>
      </c>
      <c r="BB10" s="13">
        <v>7.614914359108757E-2</v>
      </c>
      <c r="BC10" s="35">
        <v>7107.5214510698379</v>
      </c>
      <c r="BD10" s="13">
        <v>0.13549774255240954</v>
      </c>
      <c r="BF10" s="26" t="s">
        <v>159</v>
      </c>
      <c r="BG10" s="12">
        <v>43803</v>
      </c>
      <c r="BH10" s="312">
        <v>65</v>
      </c>
      <c r="BI10" s="313">
        <v>401878500</v>
      </c>
      <c r="BJ10" s="16">
        <v>85126320</v>
      </c>
      <c r="BK10" s="16">
        <v>45732142.857142858</v>
      </c>
      <c r="BL10" s="35">
        <v>25628151.000000004</v>
      </c>
      <c r="BM10" s="12"/>
      <c r="BN10" s="35">
        <v>3300000</v>
      </c>
      <c r="BO10" s="35">
        <v>159786613.85714287</v>
      </c>
      <c r="BP10" s="35">
        <v>37442957.142857142</v>
      </c>
      <c r="BQ10" s="12">
        <v>94412114.285714284</v>
      </c>
      <c r="BR10" s="35">
        <v>250000</v>
      </c>
      <c r="BS10" s="35">
        <v>0</v>
      </c>
      <c r="BT10" s="12"/>
      <c r="BU10" s="35">
        <v>132105071.42857143</v>
      </c>
      <c r="BV10" s="35">
        <v>2520000</v>
      </c>
      <c r="BW10" s="35">
        <v>67570000</v>
      </c>
      <c r="BX10" s="35">
        <v>0</v>
      </c>
      <c r="BY10" s="35">
        <v>501727.14285714284</v>
      </c>
      <c r="BZ10" s="35">
        <v>70591727.142857134</v>
      </c>
      <c r="CA10" s="280">
        <v>-42910184.714285716</v>
      </c>
      <c r="CB10" s="206">
        <v>-0.26854680550806054</v>
      </c>
      <c r="CC10" s="13">
        <v>9.3169843977364164E-2</v>
      </c>
      <c r="CD10" s="35">
        <v>9174.6798164509273</v>
      </c>
      <c r="CE10" s="13">
        <v>0.23492700974477182</v>
      </c>
      <c r="CG10" s="359" t="s">
        <v>158</v>
      </c>
      <c r="CH10" s="360">
        <v>18414</v>
      </c>
      <c r="CI10" s="360">
        <v>20</v>
      </c>
      <c r="CJ10" s="361">
        <v>130877900</v>
      </c>
      <c r="CK10" s="162">
        <v>32060080.199999999</v>
      </c>
      <c r="CL10" s="162">
        <v>14130000</v>
      </c>
      <c r="CM10" s="362">
        <v>0</v>
      </c>
      <c r="CN10" s="362">
        <v>0</v>
      </c>
      <c r="CO10" s="362">
        <v>46190080.200000003</v>
      </c>
      <c r="CP10" s="362">
        <v>9966240</v>
      </c>
      <c r="CQ10" s="360">
        <v>17733660</v>
      </c>
      <c r="CR10" s="362">
        <v>0</v>
      </c>
      <c r="CS10" s="362">
        <v>0</v>
      </c>
      <c r="CT10" s="362">
        <v>27699900</v>
      </c>
      <c r="CU10" s="362">
        <v>2735714.2857142859</v>
      </c>
      <c r="CV10" s="362">
        <v>18865000</v>
      </c>
      <c r="CW10" s="362">
        <v>0</v>
      </c>
      <c r="CX10" s="362">
        <v>0</v>
      </c>
      <c r="CY10" s="362">
        <v>21600714.285714287</v>
      </c>
      <c r="CZ10" s="363">
        <v>-3110534.0857142853</v>
      </c>
      <c r="DA10" s="364">
        <v>-6.7342036910217035E-2</v>
      </c>
      <c r="DB10" s="364">
        <v>7.614914359108757E-2</v>
      </c>
      <c r="DC10" s="362">
        <v>7107.5214510698379</v>
      </c>
      <c r="DD10" s="364">
        <v>0.13549774255240954</v>
      </c>
    </row>
    <row r="11" spans="1:108">
      <c r="A11" s="109">
        <f t="shared" si="2"/>
        <v>0.10937510305865401</v>
      </c>
      <c r="B11" s="109">
        <f t="shared" si="0"/>
        <v>0.13804151773369897</v>
      </c>
      <c r="C11" s="123">
        <f t="shared" si="1"/>
        <v>310056.98005698004</v>
      </c>
      <c r="D11" s="26">
        <v>4</v>
      </c>
      <c r="E11" s="12">
        <v>89310</v>
      </c>
      <c r="F11" s="312">
        <v>255</v>
      </c>
      <c r="G11" s="313">
        <v>788386000</v>
      </c>
      <c r="H11" s="16">
        <v>178790620</v>
      </c>
      <c r="I11" s="16">
        <v>42164000</v>
      </c>
      <c r="J11" s="35">
        <v>38969252.000000007</v>
      </c>
      <c r="K11" s="35">
        <v>625000</v>
      </c>
      <c r="L11" s="35">
        <v>260548871.99999997</v>
      </c>
      <c r="M11" s="35">
        <v>86229800</v>
      </c>
      <c r="N11" s="12">
        <v>108830000</v>
      </c>
      <c r="O11" s="128">
        <v>57865111</v>
      </c>
      <c r="P11" s="16"/>
      <c r="Q11" s="128">
        <v>5300000</v>
      </c>
      <c r="R11" s="35">
        <v>258224911</v>
      </c>
      <c r="S11" s="35">
        <v>0</v>
      </c>
      <c r="T11" s="35">
        <v>73626300</v>
      </c>
      <c r="U11" s="35"/>
      <c r="V11" s="35">
        <v>783500</v>
      </c>
      <c r="W11" s="35">
        <v>74409800</v>
      </c>
      <c r="X11" s="280">
        <v>-72085839</v>
      </c>
      <c r="Y11" s="245">
        <v>-0.27666916554526477</v>
      </c>
      <c r="Z11" s="13">
        <v>0.10937510305865401</v>
      </c>
      <c r="AA11" s="35">
        <v>8827.5221139849964</v>
      </c>
      <c r="AB11" s="13">
        <v>0.13804151773369897</v>
      </c>
      <c r="AC11" s="35">
        <v>351</v>
      </c>
      <c r="AD11" s="35">
        <f t="shared" si="3"/>
        <v>2246113.9601139603</v>
      </c>
      <c r="AE11" s="35">
        <f>E11/AC11</f>
        <v>254.44444444444446</v>
      </c>
      <c r="AF11" s="1">
        <f t="shared" si="5"/>
        <v>10518042.857142856</v>
      </c>
      <c r="AG11" s="26" t="s">
        <v>23</v>
      </c>
      <c r="AH11" s="12">
        <v>18348</v>
      </c>
      <c r="AI11" s="311">
        <v>20</v>
      </c>
      <c r="AJ11" s="313">
        <v>130250900</v>
      </c>
      <c r="AK11" s="16">
        <v>31997380.199999999</v>
      </c>
      <c r="AL11" s="16">
        <v>14130000</v>
      </c>
      <c r="AM11" s="35">
        <v>0</v>
      </c>
      <c r="AN11" s="35">
        <v>0</v>
      </c>
      <c r="AO11" s="35">
        <v>46127380.200000003</v>
      </c>
      <c r="AP11" s="35">
        <v>9966240</v>
      </c>
      <c r="AQ11" s="12">
        <v>17733660</v>
      </c>
      <c r="AR11" s="35">
        <v>0</v>
      </c>
      <c r="AS11" s="35">
        <v>0</v>
      </c>
      <c r="AT11" s="35">
        <v>27699900</v>
      </c>
      <c r="AU11" s="35">
        <v>2735714.2857142859</v>
      </c>
      <c r="AV11" s="35">
        <v>18865000</v>
      </c>
      <c r="AW11" s="35">
        <v>0</v>
      </c>
      <c r="AX11" s="35">
        <v>0</v>
      </c>
      <c r="AY11" s="35">
        <v>21600714.285714287</v>
      </c>
      <c r="AZ11" s="280">
        <v>-3173234.0857142853</v>
      </c>
      <c r="BA11" s="13">
        <v>-6.8792853007383345E-2</v>
      </c>
      <c r="BB11" s="13">
        <v>7.6515709296442483E-2</v>
      </c>
      <c r="BC11" s="35">
        <v>7098.9154131240466</v>
      </c>
      <c r="BD11" s="13">
        <v>0.13614999973128786</v>
      </c>
      <c r="BF11" s="26" t="s">
        <v>160</v>
      </c>
      <c r="BG11" s="12">
        <v>67369</v>
      </c>
      <c r="BH11" s="312">
        <v>56</v>
      </c>
      <c r="BI11" s="313">
        <v>612385000</v>
      </c>
      <c r="BJ11" s="16">
        <v>130665270</v>
      </c>
      <c r="BK11" s="16">
        <v>38787000</v>
      </c>
      <c r="BL11" s="35">
        <v>20628076.999999996</v>
      </c>
      <c r="BM11" s="12"/>
      <c r="BN11" s="35">
        <v>4550000</v>
      </c>
      <c r="BO11" s="35">
        <v>194630346.99999997</v>
      </c>
      <c r="BP11" s="35">
        <v>54299450</v>
      </c>
      <c r="BQ11" s="12">
        <v>62172000</v>
      </c>
      <c r="BR11" s="35">
        <v>7750000</v>
      </c>
      <c r="BS11" s="35">
        <v>0</v>
      </c>
      <c r="BT11" s="12"/>
      <c r="BU11" s="35">
        <v>124221450</v>
      </c>
      <c r="BV11" s="35">
        <v>1860000</v>
      </c>
      <c r="BW11" s="35">
        <v>61180000</v>
      </c>
      <c r="BX11" s="35">
        <v>0</v>
      </c>
      <c r="BY11" s="35">
        <v>80645</v>
      </c>
      <c r="BZ11" s="35">
        <v>63120645</v>
      </c>
      <c r="CA11" s="280">
        <v>7288252.0000000028</v>
      </c>
      <c r="CB11" s="206">
        <v>3.7446637239977813E-2</v>
      </c>
      <c r="CC11" s="13">
        <v>8.866881128701716E-2</v>
      </c>
      <c r="CD11" s="35">
        <v>9090.0117264617256</v>
      </c>
      <c r="CE11" s="13">
        <v>0.1015243678404925</v>
      </c>
      <c r="CG11" s="26" t="s">
        <v>23</v>
      </c>
      <c r="CH11" s="12">
        <v>18348</v>
      </c>
      <c r="CI11" s="311">
        <v>20</v>
      </c>
      <c r="CJ11" s="313">
        <v>130250900</v>
      </c>
      <c r="CK11" s="16">
        <v>31997380.199999999</v>
      </c>
      <c r="CL11" s="16">
        <v>14130000</v>
      </c>
      <c r="CM11" s="35">
        <v>0</v>
      </c>
      <c r="CN11" s="35">
        <v>0</v>
      </c>
      <c r="CO11" s="35">
        <v>46127380.200000003</v>
      </c>
      <c r="CP11" s="35">
        <v>9966240</v>
      </c>
      <c r="CQ11" s="12">
        <v>17733660</v>
      </c>
      <c r="CR11" s="35">
        <v>0</v>
      </c>
      <c r="CS11" s="35">
        <v>0</v>
      </c>
      <c r="CT11" s="35">
        <v>27699900</v>
      </c>
      <c r="CU11" s="35">
        <v>2735714.2857142859</v>
      </c>
      <c r="CV11" s="35">
        <v>18865000</v>
      </c>
      <c r="CW11" s="35">
        <v>0</v>
      </c>
      <c r="CX11" s="35">
        <v>0</v>
      </c>
      <c r="CY11" s="35">
        <v>21600714.285714287</v>
      </c>
      <c r="CZ11" s="280">
        <v>-3173234.0857142853</v>
      </c>
      <c r="DA11" s="13">
        <v>-6.8792853007383345E-2</v>
      </c>
      <c r="DB11" s="13">
        <v>7.6515709296442483E-2</v>
      </c>
      <c r="DC11" s="35">
        <v>7098.9154131240466</v>
      </c>
      <c r="DD11" s="13">
        <v>0.13614999973128786</v>
      </c>
    </row>
    <row r="12" spans="1:108">
      <c r="A12" s="109">
        <f t="shared" si="2"/>
        <v>9.623055749013365E-2</v>
      </c>
      <c r="B12" s="109">
        <f t="shared" si="0"/>
        <v>8.302103715495418E-2</v>
      </c>
      <c r="C12" s="123">
        <f t="shared" si="1"/>
        <v>215804.59770114944</v>
      </c>
      <c r="D12" s="26">
        <v>5</v>
      </c>
      <c r="E12" s="12">
        <v>102013</v>
      </c>
      <c r="F12" s="312">
        <v>250</v>
      </c>
      <c r="G12" s="313">
        <v>904590000</v>
      </c>
      <c r="H12" s="16">
        <v>203813500</v>
      </c>
      <c r="I12" s="16">
        <v>37423500</v>
      </c>
      <c r="J12" s="35">
        <v>39557652.928571425</v>
      </c>
      <c r="K12" s="35">
        <v>1700000</v>
      </c>
      <c r="L12" s="35">
        <v>282494652.9285714</v>
      </c>
      <c r="M12" s="35">
        <v>87049200</v>
      </c>
      <c r="N12" s="12">
        <v>75100000</v>
      </c>
      <c r="O12" s="35"/>
      <c r="P12" s="16"/>
      <c r="Q12" s="35"/>
      <c r="R12" s="35">
        <v>162149199.99999997</v>
      </c>
      <c r="S12" s="35">
        <v>840000</v>
      </c>
      <c r="T12" s="35">
        <v>75790799.999999985</v>
      </c>
      <c r="U12" s="35"/>
      <c r="V12" s="35">
        <v>783499.99999999988</v>
      </c>
      <c r="W12" s="35">
        <v>77414299.999999985</v>
      </c>
      <c r="X12" s="280">
        <v>42931152.928571403</v>
      </c>
      <c r="Y12" s="13">
        <v>0.15197155940302529</v>
      </c>
      <c r="Z12" s="13">
        <v>9.623055749013365E-2</v>
      </c>
      <c r="AA12" s="35">
        <v>8867.3992530363776</v>
      </c>
      <c r="AB12" s="13">
        <v>8.302103715495418E-2</v>
      </c>
      <c r="AC12" s="35">
        <v>348</v>
      </c>
      <c r="AD12" s="35">
        <f t="shared" si="3"/>
        <v>2599396.5517241377</v>
      </c>
      <c r="AE12" s="35">
        <f t="shared" si="4"/>
        <v>293.14080459770116</v>
      </c>
      <c r="AF12" s="1">
        <f t="shared" si="5"/>
        <v>10827257.14285714</v>
      </c>
      <c r="AG12" s="26" t="s">
        <v>202</v>
      </c>
      <c r="AH12" s="12">
        <v>66</v>
      </c>
      <c r="AI12" s="12">
        <v>1</v>
      </c>
      <c r="AJ12" s="313">
        <v>627000</v>
      </c>
      <c r="AK12" s="16">
        <v>62700</v>
      </c>
      <c r="AL12" s="16">
        <v>0</v>
      </c>
      <c r="AM12" s="35">
        <v>0</v>
      </c>
      <c r="AN12" s="35">
        <v>0</v>
      </c>
      <c r="AO12" s="35">
        <v>62700</v>
      </c>
      <c r="AP12" s="35">
        <v>0</v>
      </c>
      <c r="AQ12" s="12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280">
        <v>62700</v>
      </c>
      <c r="BA12" s="13">
        <v>1</v>
      </c>
      <c r="BB12" s="13">
        <v>0</v>
      </c>
      <c r="BC12" s="35">
        <v>9500</v>
      </c>
      <c r="BD12" s="13">
        <v>0</v>
      </c>
      <c r="BF12" s="26" t="s">
        <v>161</v>
      </c>
      <c r="BG12" s="12">
        <v>47723</v>
      </c>
      <c r="BH12" s="312">
        <v>34</v>
      </c>
      <c r="BI12" s="313">
        <v>430428000</v>
      </c>
      <c r="BJ12" s="16">
        <v>91901340</v>
      </c>
      <c r="BK12" s="16">
        <v>22345714.285714284</v>
      </c>
      <c r="BL12" s="35">
        <v>15316114</v>
      </c>
      <c r="BM12" s="12"/>
      <c r="BN12" s="35">
        <v>2204200</v>
      </c>
      <c r="BO12" s="35">
        <v>131767368.28571428</v>
      </c>
      <c r="BP12" s="35">
        <v>41542907.142857142</v>
      </c>
      <c r="BQ12" s="12">
        <v>12000714.285714285</v>
      </c>
      <c r="BR12" s="35">
        <v>7680000</v>
      </c>
      <c r="BS12" s="35">
        <v>0</v>
      </c>
      <c r="BT12" s="12"/>
      <c r="BU12" s="35">
        <v>60783221.428571425</v>
      </c>
      <c r="BV12" s="35">
        <v>3660000</v>
      </c>
      <c r="BW12" s="35">
        <v>44455000</v>
      </c>
      <c r="BX12" s="35">
        <v>0</v>
      </c>
      <c r="BY12" s="35">
        <v>0</v>
      </c>
      <c r="BZ12" s="35">
        <v>48115000</v>
      </c>
      <c r="CA12" s="280">
        <v>22869146.857142854</v>
      </c>
      <c r="CB12" s="206">
        <v>0.17355698269358424</v>
      </c>
      <c r="CC12" s="13">
        <v>9.6515345523193519E-2</v>
      </c>
      <c r="CD12" s="35">
        <v>9019.2988705655553</v>
      </c>
      <c r="CE12" s="13">
        <v>2.7880886665631151E-2</v>
      </c>
      <c r="CG12" s="26" t="s">
        <v>202</v>
      </c>
      <c r="CH12" s="12">
        <v>66</v>
      </c>
      <c r="CI12" s="12">
        <v>1</v>
      </c>
      <c r="CJ12" s="313">
        <v>627000</v>
      </c>
      <c r="CK12" s="16">
        <v>62700</v>
      </c>
      <c r="CL12" s="16">
        <v>0</v>
      </c>
      <c r="CM12" s="35">
        <v>0</v>
      </c>
      <c r="CN12" s="35">
        <v>0</v>
      </c>
      <c r="CO12" s="35">
        <v>62700</v>
      </c>
      <c r="CP12" s="35">
        <v>0</v>
      </c>
      <c r="CQ12" s="12">
        <v>0</v>
      </c>
      <c r="CR12" s="35">
        <v>0</v>
      </c>
      <c r="CS12" s="35">
        <v>0</v>
      </c>
      <c r="CT12" s="35">
        <v>0</v>
      </c>
      <c r="CU12" s="35">
        <v>0</v>
      </c>
      <c r="CV12" s="35">
        <v>0</v>
      </c>
      <c r="CW12" s="35">
        <v>0</v>
      </c>
      <c r="CX12" s="35">
        <v>0</v>
      </c>
      <c r="CY12" s="35">
        <v>0</v>
      </c>
      <c r="CZ12" s="280">
        <v>62700</v>
      </c>
      <c r="DA12" s="13">
        <v>1</v>
      </c>
      <c r="DB12" s="13">
        <v>0</v>
      </c>
      <c r="DC12" s="35">
        <v>9500</v>
      </c>
      <c r="DD12" s="13">
        <v>0</v>
      </c>
    </row>
    <row r="13" spans="1:108">
      <c r="A13" s="109">
        <f t="shared" si="2"/>
        <v>0.11015175140002197</v>
      </c>
      <c r="B13" s="109">
        <f t="shared" si="0"/>
        <v>9.4103436916657512E-2</v>
      </c>
      <c r="C13" s="123">
        <f t="shared" si="1"/>
        <v>227925.53191489363</v>
      </c>
      <c r="D13" s="26">
        <v>6</v>
      </c>
      <c r="E13" s="12">
        <v>103235</v>
      </c>
      <c r="F13" s="312">
        <v>270</v>
      </c>
      <c r="G13" s="313">
        <v>910700000</v>
      </c>
      <c r="H13" s="16">
        <v>207146320</v>
      </c>
      <c r="I13" s="16">
        <v>48392000</v>
      </c>
      <c r="J13" s="35">
        <v>43088058.5</v>
      </c>
      <c r="K13" s="35">
        <v>750000</v>
      </c>
      <c r="L13" s="35">
        <v>299376378.5</v>
      </c>
      <c r="M13" s="35">
        <v>100315200</v>
      </c>
      <c r="N13" s="35">
        <v>85700000</v>
      </c>
      <c r="O13" s="35">
        <v>0</v>
      </c>
      <c r="P13" s="16"/>
      <c r="Q13" s="35">
        <v>0</v>
      </c>
      <c r="R13" s="35">
        <v>186015200</v>
      </c>
      <c r="S13" s="35">
        <v>940000</v>
      </c>
      <c r="T13" s="35">
        <v>87325000</v>
      </c>
      <c r="U13" s="35"/>
      <c r="V13" s="35">
        <v>783500</v>
      </c>
      <c r="W13" s="35">
        <v>89048500</v>
      </c>
      <c r="X13" s="280">
        <v>24312678.5</v>
      </c>
      <c r="Y13" s="13">
        <v>8.1211078248112356E-2</v>
      </c>
      <c r="Z13" s="13">
        <v>0.11015175140002197</v>
      </c>
      <c r="AA13" s="35">
        <v>8821.6205744175913</v>
      </c>
      <c r="AB13" s="13">
        <v>9.4103436916657512E-2</v>
      </c>
      <c r="AC13" s="35">
        <v>376</v>
      </c>
      <c r="AD13" s="35">
        <f t="shared" si="3"/>
        <v>2422074.4680851065</v>
      </c>
      <c r="AE13" s="35">
        <f t="shared" si="4"/>
        <v>274.56117021276594</v>
      </c>
      <c r="AF13" s="1">
        <f t="shared" si="5"/>
        <v>12475000</v>
      </c>
      <c r="AG13" s="11" t="s">
        <v>159</v>
      </c>
      <c r="AH13" s="12">
        <v>14517</v>
      </c>
      <c r="AI13" s="12">
        <v>15</v>
      </c>
      <c r="AJ13" s="313">
        <v>99237580</v>
      </c>
      <c r="AK13" s="16">
        <v>23336030.600000001</v>
      </c>
      <c r="AL13" s="16">
        <v>9515000</v>
      </c>
      <c r="AM13" s="35">
        <v>0</v>
      </c>
      <c r="AN13" s="35">
        <v>0</v>
      </c>
      <c r="AO13" s="35">
        <v>32851030.600000001</v>
      </c>
      <c r="AP13" s="35">
        <v>7458620</v>
      </c>
      <c r="AQ13" s="12">
        <v>12625000</v>
      </c>
      <c r="AR13" s="35">
        <v>0</v>
      </c>
      <c r="AS13" s="35">
        <v>0</v>
      </c>
      <c r="AT13" s="35">
        <v>20083620</v>
      </c>
      <c r="AU13" s="35">
        <v>2800000</v>
      </c>
      <c r="AV13" s="35">
        <v>12915000</v>
      </c>
      <c r="AW13" s="35">
        <v>0</v>
      </c>
      <c r="AX13" s="35">
        <v>0</v>
      </c>
      <c r="AY13" s="35">
        <v>15715000</v>
      </c>
      <c r="AZ13" s="280">
        <v>-2947589.4</v>
      </c>
      <c r="BA13" s="13">
        <v>-8.9725933895054108E-2</v>
      </c>
      <c r="BB13" s="13">
        <v>7.5159228993693719E-2</v>
      </c>
      <c r="BC13" s="35">
        <v>6835.9564648343321</v>
      </c>
      <c r="BD13" s="13">
        <v>0.12721995034542358</v>
      </c>
      <c r="BF13" s="26" t="s">
        <v>156</v>
      </c>
      <c r="BG13" s="12">
        <v>36211</v>
      </c>
      <c r="BH13" s="312">
        <v>28</v>
      </c>
      <c r="BI13" s="313">
        <v>318872500</v>
      </c>
      <c r="BJ13" s="16">
        <v>78639560</v>
      </c>
      <c r="BK13" s="16">
        <v>23243285.714285716</v>
      </c>
      <c r="BL13" s="35">
        <v>3365486</v>
      </c>
      <c r="BM13" s="12"/>
      <c r="BN13" s="35">
        <v>200000</v>
      </c>
      <c r="BO13" s="35">
        <v>105448331.7142857</v>
      </c>
      <c r="BP13" s="35">
        <v>28088402.857142858</v>
      </c>
      <c r="BQ13" s="12">
        <v>22530285.714285716</v>
      </c>
      <c r="BR13" s="35">
        <v>3550000</v>
      </c>
      <c r="BS13" s="35">
        <v>200000</v>
      </c>
      <c r="BT13" s="12"/>
      <c r="BU13" s="35">
        <v>54368688.571428575</v>
      </c>
      <c r="BV13" s="35">
        <v>3600000</v>
      </c>
      <c r="BW13" s="35">
        <v>32405000</v>
      </c>
      <c r="BX13" s="35">
        <v>0</v>
      </c>
      <c r="BY13" s="35">
        <v>0</v>
      </c>
      <c r="BZ13" s="35">
        <v>36005000</v>
      </c>
      <c r="CA13" s="280">
        <v>15074643.142857142</v>
      </c>
      <c r="CB13" s="206">
        <v>0.14295762576597398</v>
      </c>
      <c r="CC13" s="13">
        <v>8.8086626652166169E-2</v>
      </c>
      <c r="CD13" s="35">
        <v>8805.9567534727012</v>
      </c>
      <c r="CE13" s="13">
        <v>7.0656095192547855E-2</v>
      </c>
      <c r="CG13" s="359" t="s">
        <v>159</v>
      </c>
      <c r="CH13" s="360">
        <v>9236</v>
      </c>
      <c r="CI13" s="360">
        <v>15</v>
      </c>
      <c r="CJ13" s="361">
        <v>62582200</v>
      </c>
      <c r="CK13" s="162">
        <v>14414274</v>
      </c>
      <c r="CL13" s="162">
        <v>7550000</v>
      </c>
      <c r="CM13" s="362">
        <v>0</v>
      </c>
      <c r="CN13" s="362">
        <v>0</v>
      </c>
      <c r="CO13" s="362">
        <v>21964274</v>
      </c>
      <c r="CP13" s="362">
        <v>4024080</v>
      </c>
      <c r="CQ13" s="360">
        <v>9250000</v>
      </c>
      <c r="CR13" s="362">
        <v>0</v>
      </c>
      <c r="CS13" s="362">
        <v>0</v>
      </c>
      <c r="CT13" s="362">
        <v>13274080</v>
      </c>
      <c r="CU13" s="362">
        <v>1900000</v>
      </c>
      <c r="CV13" s="362">
        <v>9835000</v>
      </c>
      <c r="CW13" s="362">
        <v>0</v>
      </c>
      <c r="CX13" s="362">
        <v>0</v>
      </c>
      <c r="CY13" s="362">
        <v>11735000</v>
      </c>
      <c r="CZ13" s="363">
        <v>-3044806</v>
      </c>
      <c r="DA13" s="364">
        <v>-0.13862538775467834</v>
      </c>
      <c r="DB13" s="364">
        <v>6.4300711703966937E-2</v>
      </c>
      <c r="DC13" s="362">
        <v>6775.8986574274577</v>
      </c>
      <c r="DD13" s="364">
        <v>0.14780560606690082</v>
      </c>
    </row>
    <row r="14" spans="1:108">
      <c r="A14" s="109">
        <f t="shared" si="2"/>
        <v>0.10977369489574619</v>
      </c>
      <c r="B14" s="109">
        <f t="shared" si="0"/>
        <v>9.3729851279127391E-2</v>
      </c>
      <c r="C14" s="123">
        <f t="shared" si="1"/>
        <v>232671.95767195767</v>
      </c>
      <c r="D14" s="26">
        <v>7</v>
      </c>
      <c r="E14" s="12">
        <v>106459</v>
      </c>
      <c r="F14" s="312">
        <v>269</v>
      </c>
      <c r="G14" s="313">
        <v>938335000</v>
      </c>
      <c r="H14" s="16">
        <v>212817990</v>
      </c>
      <c r="I14" s="16">
        <v>47174000</v>
      </c>
      <c r="J14" s="35">
        <v>43088058.5</v>
      </c>
      <c r="K14" s="35">
        <v>1000000</v>
      </c>
      <c r="L14" s="35">
        <v>304080048.5</v>
      </c>
      <c r="M14" s="35">
        <v>103004500</v>
      </c>
      <c r="N14" s="35">
        <v>87950000</v>
      </c>
      <c r="O14" s="35">
        <v>0</v>
      </c>
      <c r="P14" s="16"/>
      <c r="Q14" s="35">
        <v>0</v>
      </c>
      <c r="R14" s="35">
        <v>190954500</v>
      </c>
      <c r="S14" s="35">
        <v>1540000</v>
      </c>
      <c r="T14" s="35">
        <v>85820000</v>
      </c>
      <c r="U14" s="35"/>
      <c r="V14" s="35">
        <v>783500</v>
      </c>
      <c r="W14" s="35">
        <v>88143500</v>
      </c>
      <c r="X14" s="280">
        <v>24982048.5</v>
      </c>
      <c r="Y14" s="13">
        <v>8.2156157969699883E-2</v>
      </c>
      <c r="Z14" s="13">
        <v>0.10977369489574619</v>
      </c>
      <c r="AA14" s="35">
        <v>8814.05047952733</v>
      </c>
      <c r="AB14" s="13">
        <v>9.3729851279127391E-2</v>
      </c>
      <c r="AC14" s="35">
        <v>378</v>
      </c>
      <c r="AD14" s="35">
        <f t="shared" si="3"/>
        <v>2482367.7248677248</v>
      </c>
      <c r="AE14" s="35">
        <f t="shared" si="4"/>
        <v>281.63756613756613</v>
      </c>
      <c r="AF14" s="1">
        <f t="shared" si="5"/>
        <v>12260000</v>
      </c>
      <c r="AG14" s="26" t="s">
        <v>23</v>
      </c>
      <c r="AH14" s="12">
        <v>14517</v>
      </c>
      <c r="AI14" s="311">
        <v>15</v>
      </c>
      <c r="AJ14" s="313">
        <v>99237580</v>
      </c>
      <c r="AK14" s="16">
        <v>23336030.600000001</v>
      </c>
      <c r="AL14" s="16">
        <v>9515000</v>
      </c>
      <c r="AM14" s="35">
        <v>0</v>
      </c>
      <c r="AN14" s="35">
        <v>0</v>
      </c>
      <c r="AO14" s="35">
        <v>32851030.600000001</v>
      </c>
      <c r="AP14" s="35">
        <v>7458620</v>
      </c>
      <c r="AQ14" s="12">
        <v>12625000</v>
      </c>
      <c r="AR14" s="35">
        <v>0</v>
      </c>
      <c r="AS14" s="35">
        <v>0</v>
      </c>
      <c r="AT14" s="35">
        <v>20083620</v>
      </c>
      <c r="AU14" s="35">
        <v>2800000</v>
      </c>
      <c r="AV14" s="35">
        <v>12915000</v>
      </c>
      <c r="AW14" s="35">
        <v>0</v>
      </c>
      <c r="AX14" s="35">
        <v>0</v>
      </c>
      <c r="AY14" s="35">
        <v>15715000</v>
      </c>
      <c r="AZ14" s="280">
        <v>-2947589.4</v>
      </c>
      <c r="BA14" s="13">
        <v>-8.9725933895054108E-2</v>
      </c>
      <c r="BB14" s="13">
        <v>7.5159228993693719E-2</v>
      </c>
      <c r="BC14" s="35">
        <v>6835.9564648343321</v>
      </c>
      <c r="BD14" s="13">
        <v>0.12721995034542358</v>
      </c>
      <c r="BF14" s="26" t="s">
        <v>162</v>
      </c>
      <c r="BG14" s="12">
        <v>40902</v>
      </c>
      <c r="BH14" s="312">
        <v>31</v>
      </c>
      <c r="BI14" s="313">
        <v>370158000</v>
      </c>
      <c r="BJ14" s="16">
        <v>96288920</v>
      </c>
      <c r="BK14" s="16">
        <v>32675000</v>
      </c>
      <c r="BL14" s="35">
        <v>0</v>
      </c>
      <c r="BM14" s="12"/>
      <c r="BN14" s="35">
        <v>925000</v>
      </c>
      <c r="BO14" s="35">
        <v>129888920</v>
      </c>
      <c r="BP14" s="35">
        <v>33545050</v>
      </c>
      <c r="BQ14" s="12">
        <v>38282500</v>
      </c>
      <c r="BR14" s="35">
        <v>0</v>
      </c>
      <c r="BS14" s="35">
        <v>0</v>
      </c>
      <c r="BT14" s="12"/>
      <c r="BU14" s="35">
        <v>71827550</v>
      </c>
      <c r="BV14" s="35">
        <v>6600000</v>
      </c>
      <c r="BW14" s="35">
        <v>40180000</v>
      </c>
      <c r="BX14" s="35">
        <v>0</v>
      </c>
      <c r="BY14" s="35">
        <v>0</v>
      </c>
      <c r="BZ14" s="35">
        <v>46780000</v>
      </c>
      <c r="CA14" s="280">
        <v>11281370</v>
      </c>
      <c r="CB14" s="206">
        <v>8.6853982618378844E-2</v>
      </c>
      <c r="CC14" s="13">
        <v>9.0623598571420855E-2</v>
      </c>
      <c r="CD14" s="35">
        <v>9049.8753117206979</v>
      </c>
      <c r="CE14" s="13">
        <v>0.10342205220473419</v>
      </c>
      <c r="CG14" s="26" t="s">
        <v>23</v>
      </c>
      <c r="CH14" s="12">
        <v>9236</v>
      </c>
      <c r="CI14" s="311">
        <v>15</v>
      </c>
      <c r="CJ14" s="313">
        <v>62582200</v>
      </c>
      <c r="CK14" s="16">
        <v>14414274</v>
      </c>
      <c r="CL14" s="16">
        <v>7550000</v>
      </c>
      <c r="CM14" s="35">
        <v>0</v>
      </c>
      <c r="CN14" s="35">
        <v>0</v>
      </c>
      <c r="CO14" s="35">
        <v>21964274</v>
      </c>
      <c r="CP14" s="35">
        <v>4024080</v>
      </c>
      <c r="CQ14" s="12">
        <v>9250000</v>
      </c>
      <c r="CR14" s="35">
        <v>0</v>
      </c>
      <c r="CS14" s="35">
        <v>0</v>
      </c>
      <c r="CT14" s="35">
        <v>13274080</v>
      </c>
      <c r="CU14" s="35">
        <v>1900000</v>
      </c>
      <c r="CV14" s="35">
        <v>9835000</v>
      </c>
      <c r="CW14" s="35">
        <v>0</v>
      </c>
      <c r="CX14" s="35">
        <v>0</v>
      </c>
      <c r="CY14" s="35">
        <v>11735000</v>
      </c>
      <c r="CZ14" s="280">
        <v>-3044806</v>
      </c>
      <c r="DA14" s="13">
        <v>-0.13862538775467834</v>
      </c>
      <c r="DB14" s="13">
        <v>6.4300711703966937E-2</v>
      </c>
      <c r="DC14" s="35">
        <v>6775.8986574274577</v>
      </c>
      <c r="DD14" s="13">
        <v>0.14780560606690082</v>
      </c>
    </row>
    <row r="15" spans="1:108">
      <c r="A15" s="109">
        <f t="shared" si="2"/>
        <v>0.109923065979404</v>
      </c>
      <c r="B15" s="109">
        <f t="shared" si="0"/>
        <v>9.6441117567878126E-2</v>
      </c>
      <c r="C15" s="123">
        <f>N15/AC15</f>
        <v>228896.10389610389</v>
      </c>
      <c r="D15" s="26">
        <v>8</v>
      </c>
      <c r="E15" s="12">
        <v>99161</v>
      </c>
      <c r="F15" s="312">
        <v>275</v>
      </c>
      <c r="G15" s="313">
        <v>913770000</v>
      </c>
      <c r="H15" s="16">
        <v>207286800</v>
      </c>
      <c r="I15" s="16">
        <v>47885000</v>
      </c>
      <c r="J15" s="35">
        <v>43088058.5</v>
      </c>
      <c r="K15" s="35">
        <v>1550000</v>
      </c>
      <c r="L15" s="35">
        <v>299809858.5</v>
      </c>
      <c r="M15" s="35">
        <v>100444400</v>
      </c>
      <c r="N15" s="35">
        <v>88125000</v>
      </c>
      <c r="O15" s="128">
        <v>69288458</v>
      </c>
      <c r="P15" s="16"/>
      <c r="Q15" s="128">
        <v>6800000</v>
      </c>
      <c r="R15" s="35">
        <v>264657858</v>
      </c>
      <c r="S15" s="35">
        <v>1540000</v>
      </c>
      <c r="T15" s="35">
        <v>87570000</v>
      </c>
      <c r="U15" s="35">
        <v>0</v>
      </c>
      <c r="V15" s="35">
        <v>908500</v>
      </c>
      <c r="W15" s="35">
        <v>90018500</v>
      </c>
      <c r="X15" s="280">
        <v>-54866499.5</v>
      </c>
      <c r="Y15" s="245">
        <v>-0.18300432072016071</v>
      </c>
      <c r="Z15" s="13">
        <v>0.109923065979404</v>
      </c>
      <c r="AA15" s="35">
        <v>9215.0139671846791</v>
      </c>
      <c r="AB15" s="13">
        <v>9.6441117567878126E-2</v>
      </c>
      <c r="AC15" s="35">
        <v>385</v>
      </c>
      <c r="AD15" s="35">
        <f t="shared" si="3"/>
        <v>2373428.5714285714</v>
      </c>
      <c r="AE15" s="35">
        <f t="shared" si="4"/>
        <v>257.56103896103895</v>
      </c>
      <c r="AF15" s="1">
        <f t="shared" si="5"/>
        <v>12510000</v>
      </c>
      <c r="AG15" s="11" t="s">
        <v>160</v>
      </c>
      <c r="AH15" s="12">
        <v>8245</v>
      </c>
      <c r="AI15" s="12">
        <v>11</v>
      </c>
      <c r="AJ15" s="313">
        <v>53909020</v>
      </c>
      <c r="AK15" s="16">
        <v>13071851.4</v>
      </c>
      <c r="AL15" s="16">
        <v>3565000</v>
      </c>
      <c r="AM15" s="35">
        <v>0</v>
      </c>
      <c r="AN15" s="35">
        <v>0</v>
      </c>
      <c r="AO15" s="35">
        <v>16636851.4</v>
      </c>
      <c r="AP15" s="35">
        <v>4926400</v>
      </c>
      <c r="AQ15" s="12">
        <v>5875000</v>
      </c>
      <c r="AR15" s="35">
        <v>0</v>
      </c>
      <c r="AS15" s="35">
        <v>0</v>
      </c>
      <c r="AT15" s="35">
        <v>10801400</v>
      </c>
      <c r="AU15" s="35">
        <v>1000000</v>
      </c>
      <c r="AV15" s="35">
        <v>5040000</v>
      </c>
      <c r="AW15" s="35">
        <v>0</v>
      </c>
      <c r="AX15" s="35">
        <v>0</v>
      </c>
      <c r="AY15" s="35">
        <v>6040000</v>
      </c>
      <c r="AZ15" s="280">
        <v>-204548.59999999995</v>
      </c>
      <c r="BA15" s="13">
        <v>-1.2294910562223326E-2</v>
      </c>
      <c r="BB15" s="13">
        <v>9.138359406273755E-2</v>
      </c>
      <c r="BC15" s="35">
        <v>6538.3893268647662</v>
      </c>
      <c r="BD15" s="13">
        <v>0.10897990725856267</v>
      </c>
      <c r="BF15" s="26" t="s">
        <v>163</v>
      </c>
      <c r="BG15" s="12">
        <v>49165</v>
      </c>
      <c r="BH15" s="312">
        <v>40</v>
      </c>
      <c r="BI15" s="313">
        <v>447197000</v>
      </c>
      <c r="BJ15" s="16">
        <v>117858560</v>
      </c>
      <c r="BK15" s="16">
        <v>39570000</v>
      </c>
      <c r="BL15" s="35">
        <v>0</v>
      </c>
      <c r="BM15" s="12"/>
      <c r="BN15" s="35">
        <v>375000</v>
      </c>
      <c r="BO15" s="35">
        <v>157803560</v>
      </c>
      <c r="BP15" s="35">
        <v>42252870</v>
      </c>
      <c r="BQ15" s="12">
        <v>53575000</v>
      </c>
      <c r="BR15" s="35">
        <v>0</v>
      </c>
      <c r="BS15" s="35">
        <v>200000</v>
      </c>
      <c r="BT15" s="12"/>
      <c r="BU15" s="35">
        <v>96027870</v>
      </c>
      <c r="BV15" s="35">
        <v>7360000</v>
      </c>
      <c r="BW15" s="35">
        <v>47390000</v>
      </c>
      <c r="BX15" s="35">
        <v>0</v>
      </c>
      <c r="BY15" s="35">
        <v>690000</v>
      </c>
      <c r="BZ15" s="35">
        <v>55440000</v>
      </c>
      <c r="CA15" s="280">
        <v>6335690</v>
      </c>
      <c r="CB15" s="206">
        <v>4.0149220968145459E-2</v>
      </c>
      <c r="CC15" s="13">
        <v>9.4483795732082279E-2</v>
      </c>
      <c r="CD15" s="35">
        <v>9095.8405369673546</v>
      </c>
      <c r="CE15" s="13">
        <v>0.11980178757907589</v>
      </c>
      <c r="CG15" s="365" t="s">
        <v>167</v>
      </c>
      <c r="CH15" s="366">
        <v>54827</v>
      </c>
      <c r="CI15" s="366">
        <v>27</v>
      </c>
      <c r="CJ15" s="367">
        <v>396604479</v>
      </c>
      <c r="CK15" s="368">
        <v>96484008.100000009</v>
      </c>
      <c r="CL15" s="368">
        <v>40435000</v>
      </c>
      <c r="CM15" s="157">
        <v>0</v>
      </c>
      <c r="CN15" s="157">
        <v>0</v>
      </c>
      <c r="CO15" s="157">
        <v>136919008.10000002</v>
      </c>
      <c r="CP15" s="157">
        <v>30944460</v>
      </c>
      <c r="CQ15" s="366">
        <v>51554300</v>
      </c>
      <c r="CR15" s="157">
        <v>0</v>
      </c>
      <c r="CS15" s="157">
        <v>0</v>
      </c>
      <c r="CT15" s="157">
        <v>82498760</v>
      </c>
      <c r="CU15" s="157">
        <v>10400000</v>
      </c>
      <c r="CV15" s="157">
        <v>54495000</v>
      </c>
      <c r="CW15" s="157">
        <v>0</v>
      </c>
      <c r="CX15" s="157">
        <v>0</v>
      </c>
      <c r="CY15" s="157">
        <v>64895000</v>
      </c>
      <c r="CZ15" s="369">
        <v>-10474751.9</v>
      </c>
      <c r="DA15" s="370">
        <v>-7.6503270403110654E-2</v>
      </c>
      <c r="DB15" s="370">
        <v>7.8023475877084081E-2</v>
      </c>
      <c r="DC15" s="157">
        <v>7233.743940029547</v>
      </c>
      <c r="DD15" s="370">
        <v>0.1299892026685861</v>
      </c>
    </row>
    <row r="16" spans="1:108">
      <c r="A16" s="109">
        <f t="shared" si="2"/>
        <v>0.10977484663741856</v>
      </c>
      <c r="B16" s="109">
        <f t="shared" si="0"/>
        <v>9.7543112453231523E-2</v>
      </c>
      <c r="C16" s="123">
        <f t="shared" si="1"/>
        <v>219719.25133689836</v>
      </c>
      <c r="D16" s="26">
        <v>9</v>
      </c>
      <c r="E16" s="12">
        <v>95442</v>
      </c>
      <c r="F16" s="312">
        <v>265</v>
      </c>
      <c r="G16" s="313">
        <v>842448000</v>
      </c>
      <c r="H16" s="16">
        <v>191133120</v>
      </c>
      <c r="I16" s="16">
        <v>46958000</v>
      </c>
      <c r="J16" s="35">
        <v>43224981.152073726</v>
      </c>
      <c r="K16" s="35">
        <v>1850000</v>
      </c>
      <c r="L16" s="35">
        <v>283166101.15207368</v>
      </c>
      <c r="M16" s="35">
        <v>92479599.999999985</v>
      </c>
      <c r="N16" s="12">
        <v>82174999.999999985</v>
      </c>
      <c r="O16" s="35">
        <v>0</v>
      </c>
      <c r="P16" s="16"/>
      <c r="Q16" s="35">
        <v>0</v>
      </c>
      <c r="R16" s="35">
        <v>174654600</v>
      </c>
      <c r="S16" s="35">
        <v>1540000</v>
      </c>
      <c r="T16" s="35">
        <v>83152000</v>
      </c>
      <c r="U16" s="35">
        <v>0</v>
      </c>
      <c r="V16" s="35">
        <v>908500</v>
      </c>
      <c r="W16" s="35">
        <v>85600500</v>
      </c>
      <c r="X16" s="280">
        <v>22911001.152073722</v>
      </c>
      <c r="Y16" s="13">
        <v>8.0910112682483215E-2</v>
      </c>
      <c r="Z16" s="13">
        <v>0.10977484663741856</v>
      </c>
      <c r="AA16" s="35">
        <v>8826.8058087634381</v>
      </c>
      <c r="AB16" s="13">
        <v>9.7543112453231523E-2</v>
      </c>
      <c r="AC16" s="35">
        <v>374</v>
      </c>
      <c r="AD16" s="35">
        <f t="shared" si="3"/>
        <v>2252534.7593582887</v>
      </c>
      <c r="AE16" s="35">
        <f t="shared" si="4"/>
        <v>255.19251336898395</v>
      </c>
      <c r="AF16" s="1">
        <f t="shared" si="5"/>
        <v>11878857.142857144</v>
      </c>
      <c r="AG16" s="26" t="s">
        <v>23</v>
      </c>
      <c r="AH16" s="12">
        <v>8245</v>
      </c>
      <c r="AI16" s="311">
        <v>11</v>
      </c>
      <c r="AJ16" s="313">
        <v>53909020</v>
      </c>
      <c r="AK16" s="16">
        <v>13071851.4</v>
      </c>
      <c r="AL16" s="16">
        <v>3565000</v>
      </c>
      <c r="AM16" s="35">
        <v>0</v>
      </c>
      <c r="AN16" s="35">
        <v>0</v>
      </c>
      <c r="AO16" s="35">
        <v>16636851.4</v>
      </c>
      <c r="AP16" s="35">
        <v>4926400</v>
      </c>
      <c r="AQ16" s="12">
        <v>5875000</v>
      </c>
      <c r="AR16" s="35">
        <v>0</v>
      </c>
      <c r="AS16" s="35">
        <v>0</v>
      </c>
      <c r="AT16" s="35">
        <v>10801400</v>
      </c>
      <c r="AU16" s="35">
        <v>1000000</v>
      </c>
      <c r="AV16" s="35">
        <v>5040000</v>
      </c>
      <c r="AW16" s="35">
        <v>0</v>
      </c>
      <c r="AX16" s="35">
        <v>0</v>
      </c>
      <c r="AY16" s="35">
        <v>6040000</v>
      </c>
      <c r="AZ16" s="280">
        <v>-204548.59999999995</v>
      </c>
      <c r="BA16" s="13">
        <v>-1.2294910562223326E-2</v>
      </c>
      <c r="BB16" s="13">
        <v>9.138359406273755E-2</v>
      </c>
      <c r="BC16" s="35">
        <v>6538.3893268647662</v>
      </c>
      <c r="BD16" s="13">
        <v>0.10897990725856267</v>
      </c>
      <c r="BF16" s="26" t="s">
        <v>164</v>
      </c>
      <c r="BG16" s="12">
        <v>54498</v>
      </c>
      <c r="BH16" s="312">
        <v>44</v>
      </c>
      <c r="BI16" s="313">
        <v>506513000</v>
      </c>
      <c r="BJ16" s="16">
        <v>134054240</v>
      </c>
      <c r="BK16" s="16">
        <v>46300000</v>
      </c>
      <c r="BL16" s="35">
        <v>0</v>
      </c>
      <c r="BM16" s="12">
        <v>0</v>
      </c>
      <c r="BN16" s="35">
        <v>750000</v>
      </c>
      <c r="BO16" s="35">
        <v>181104240</v>
      </c>
      <c r="BP16" s="35">
        <v>46821710</v>
      </c>
      <c r="BQ16" s="12">
        <v>77312500</v>
      </c>
      <c r="BR16" s="35">
        <v>0</v>
      </c>
      <c r="BS16" s="35">
        <v>200000</v>
      </c>
      <c r="BT16" s="12"/>
      <c r="BU16" s="35">
        <v>124334210</v>
      </c>
      <c r="BV16" s="35">
        <v>8340000</v>
      </c>
      <c r="BW16" s="35">
        <v>58135000</v>
      </c>
      <c r="BX16" s="35">
        <v>0</v>
      </c>
      <c r="BY16" s="35">
        <v>705000</v>
      </c>
      <c r="BZ16" s="35">
        <v>67180000</v>
      </c>
      <c r="CA16" s="280">
        <v>-10409970</v>
      </c>
      <c r="CB16" s="206">
        <v>-5.7480542697399023E-2</v>
      </c>
      <c r="CC16" s="13">
        <v>9.2439305605186831E-2</v>
      </c>
      <c r="CD16" s="35">
        <v>9294.1575837645414</v>
      </c>
      <c r="CE16" s="13">
        <v>0.15263675364699425</v>
      </c>
    </row>
    <row r="17" spans="1:83">
      <c r="A17" s="109">
        <f t="shared" si="2"/>
        <v>0.10890323731654036</v>
      </c>
      <c r="B17" s="109">
        <f t="shared" si="0"/>
        <v>0.12687730006623812</v>
      </c>
      <c r="C17" s="123">
        <f t="shared" si="1"/>
        <v>168387.90931989925</v>
      </c>
      <c r="D17" s="26">
        <v>10</v>
      </c>
      <c r="E17" s="12">
        <v>59242</v>
      </c>
      <c r="F17" s="312">
        <v>293</v>
      </c>
      <c r="G17" s="313">
        <v>526887000</v>
      </c>
      <c r="H17" s="16">
        <v>119498710</v>
      </c>
      <c r="I17" s="16">
        <v>48146000</v>
      </c>
      <c r="J17" s="35">
        <v>44046517.06451612</v>
      </c>
      <c r="K17" s="35">
        <v>1450000</v>
      </c>
      <c r="L17" s="35">
        <v>213141227.06451613</v>
      </c>
      <c r="M17" s="35">
        <v>57379700</v>
      </c>
      <c r="N17" s="12">
        <v>66850000</v>
      </c>
      <c r="O17" s="35">
        <v>0</v>
      </c>
      <c r="P17" s="16"/>
      <c r="Q17" s="35">
        <v>0</v>
      </c>
      <c r="R17" s="35">
        <v>124229700</v>
      </c>
      <c r="S17" s="35">
        <v>0</v>
      </c>
      <c r="T17" s="35">
        <v>90230000</v>
      </c>
      <c r="U17" s="35">
        <v>0</v>
      </c>
      <c r="V17" s="35">
        <v>820580</v>
      </c>
      <c r="W17" s="35">
        <v>91050580</v>
      </c>
      <c r="X17" s="280">
        <v>-2139052.9354838682</v>
      </c>
      <c r="Y17" s="13">
        <v>-1.0035847897396191E-2</v>
      </c>
      <c r="Z17" s="13">
        <v>0.10890323731654036</v>
      </c>
      <c r="AA17" s="35">
        <v>8893.8084467101035</v>
      </c>
      <c r="AB17" s="13">
        <v>0.12687730006623812</v>
      </c>
      <c r="AC17" s="35">
        <v>397</v>
      </c>
      <c r="AD17" s="35">
        <f t="shared" si="3"/>
        <v>1327171.2846347608</v>
      </c>
      <c r="AE17" s="35">
        <f t="shared" si="4"/>
        <v>149.2241813602015</v>
      </c>
      <c r="AF17" s="1">
        <f t="shared" si="5"/>
        <v>12890000</v>
      </c>
      <c r="AG17" s="11" t="s">
        <v>167</v>
      </c>
      <c r="AH17" s="12">
        <v>68353</v>
      </c>
      <c r="AI17" s="12">
        <v>27</v>
      </c>
      <c r="AJ17" s="313">
        <v>487168879</v>
      </c>
      <c r="AK17" s="16">
        <v>118477616.10000002</v>
      </c>
      <c r="AL17" s="16">
        <v>45965000</v>
      </c>
      <c r="AM17" s="35">
        <v>0</v>
      </c>
      <c r="AN17" s="35">
        <v>0</v>
      </c>
      <c r="AO17" s="35">
        <v>164442616.10000002</v>
      </c>
      <c r="AP17" s="35">
        <v>39305400</v>
      </c>
      <c r="AQ17" s="12">
        <v>60804300</v>
      </c>
      <c r="AR17" s="35">
        <v>0</v>
      </c>
      <c r="AS17" s="35">
        <v>0</v>
      </c>
      <c r="AT17" s="35">
        <v>100109700</v>
      </c>
      <c r="AU17" s="35">
        <v>12300000</v>
      </c>
      <c r="AV17" s="35">
        <v>62615000</v>
      </c>
      <c r="AW17" s="35">
        <v>0</v>
      </c>
      <c r="AX17" s="35">
        <v>0</v>
      </c>
      <c r="AY17" s="35">
        <v>74915000</v>
      </c>
      <c r="AZ17" s="280">
        <v>-10582083.899999999</v>
      </c>
      <c r="BA17" s="13">
        <v>-6.435122567963085E-2</v>
      </c>
      <c r="BB17" s="13">
        <v>8.0681262072161225E-2</v>
      </c>
      <c r="BC17" s="35">
        <v>7127.2494111450851</v>
      </c>
      <c r="BD17" s="13">
        <v>0.12481154404774694</v>
      </c>
      <c r="BF17" s="26" t="s">
        <v>165</v>
      </c>
      <c r="BG17" s="12">
        <v>41625</v>
      </c>
      <c r="BH17" s="312">
        <v>44</v>
      </c>
      <c r="BI17" s="313">
        <v>373221400</v>
      </c>
      <c r="BJ17" s="16">
        <v>97440398</v>
      </c>
      <c r="BK17" s="16">
        <v>34225000</v>
      </c>
      <c r="BL17" s="35">
        <v>0</v>
      </c>
      <c r="BM17" s="12">
        <v>0</v>
      </c>
      <c r="BN17" s="35">
        <v>150000</v>
      </c>
      <c r="BO17" s="35">
        <v>131815398</v>
      </c>
      <c r="BP17" s="35">
        <v>32842100</v>
      </c>
      <c r="BQ17" s="12">
        <v>43425000</v>
      </c>
      <c r="BR17" s="35">
        <v>0</v>
      </c>
      <c r="BS17" s="35">
        <v>0</v>
      </c>
      <c r="BT17" s="12"/>
      <c r="BU17" s="35">
        <v>76267100</v>
      </c>
      <c r="BV17" s="35">
        <v>7900000</v>
      </c>
      <c r="BW17" s="35">
        <v>43075000</v>
      </c>
      <c r="BX17" s="35">
        <v>0</v>
      </c>
      <c r="BY17" s="35">
        <v>0</v>
      </c>
      <c r="BZ17" s="35">
        <v>50850000</v>
      </c>
      <c r="CA17" s="280">
        <v>4698298</v>
      </c>
      <c r="CB17" s="206">
        <v>3.5643013420935843E-2</v>
      </c>
      <c r="CC17" s="13">
        <v>8.7996293888828458E-2</v>
      </c>
      <c r="CD17" s="35">
        <v>8966.2798798798794</v>
      </c>
      <c r="CE17" s="13">
        <v>0.11635184906331737</v>
      </c>
    </row>
    <row r="18" spans="1:83">
      <c r="A18" s="109">
        <f t="shared" si="2"/>
        <v>0.11116334489476586</v>
      </c>
      <c r="B18" s="109">
        <f t="shared" si="0"/>
        <v>0.12279268513984996</v>
      </c>
      <c r="C18" s="123">
        <f t="shared" si="1"/>
        <v>190761.70212765958</v>
      </c>
      <c r="D18" s="26">
        <v>11</v>
      </c>
      <c r="E18" s="12">
        <v>65653</v>
      </c>
      <c r="F18" s="312">
        <v>279</v>
      </c>
      <c r="G18" s="313">
        <v>584126000</v>
      </c>
      <c r="H18" s="16">
        <v>132681220</v>
      </c>
      <c r="I18" s="16">
        <v>46247000</v>
      </c>
      <c r="J18" s="35">
        <v>44046517.06451612</v>
      </c>
      <c r="K18" s="35">
        <v>900000</v>
      </c>
      <c r="L18" s="35">
        <v>223874737.06451613</v>
      </c>
      <c r="M18" s="35">
        <v>64933400</v>
      </c>
      <c r="N18" s="12">
        <v>71726400</v>
      </c>
      <c r="O18" s="35">
        <v>0</v>
      </c>
      <c r="P18" s="16"/>
      <c r="Q18" s="35">
        <v>0</v>
      </c>
      <c r="R18" s="35">
        <v>136659800</v>
      </c>
      <c r="S18" s="35">
        <v>1180000</v>
      </c>
      <c r="T18" s="35">
        <v>84730000</v>
      </c>
      <c r="U18" s="35">
        <v>0</v>
      </c>
      <c r="V18" s="35">
        <v>820580</v>
      </c>
      <c r="W18" s="35">
        <v>86730580</v>
      </c>
      <c r="X18" s="280">
        <v>484357.06451613177</v>
      </c>
      <c r="Y18" s="13">
        <v>2.1635181837267774E-3</v>
      </c>
      <c r="Z18" s="13">
        <v>0.11116334489476586</v>
      </c>
      <c r="AA18" s="35">
        <v>8897.1714925441338</v>
      </c>
      <c r="AB18" s="13">
        <v>0.12279268513984996</v>
      </c>
      <c r="AC18" s="35">
        <v>376</v>
      </c>
      <c r="AD18" s="35">
        <f t="shared" si="3"/>
        <v>1553526.5957446808</v>
      </c>
      <c r="AE18" s="35">
        <f t="shared" si="4"/>
        <v>174.6090425531915</v>
      </c>
      <c r="AF18" s="1">
        <f t="shared" si="5"/>
        <v>12104285.714285715</v>
      </c>
      <c r="BF18" s="82" t="s">
        <v>36</v>
      </c>
      <c r="BG18" s="246">
        <v>30471</v>
      </c>
      <c r="BH18" s="312">
        <v>26</v>
      </c>
      <c r="BI18" s="322">
        <v>249797300</v>
      </c>
      <c r="BJ18" s="81">
        <v>63430111</v>
      </c>
      <c r="BK18" s="81">
        <v>21945000</v>
      </c>
      <c r="BL18" s="37">
        <v>0</v>
      </c>
      <c r="BM18" s="246">
        <v>80000</v>
      </c>
      <c r="BN18" s="37">
        <v>50000</v>
      </c>
      <c r="BO18" s="37">
        <v>85505111</v>
      </c>
      <c r="BP18" s="37">
        <v>21874710</v>
      </c>
      <c r="BQ18" s="246">
        <v>29602360</v>
      </c>
      <c r="BR18" s="37">
        <v>0</v>
      </c>
      <c r="BS18" s="37">
        <v>0</v>
      </c>
      <c r="BT18" s="246"/>
      <c r="BU18" s="37">
        <v>51477070</v>
      </c>
      <c r="BV18" s="37">
        <v>6400000</v>
      </c>
      <c r="BW18" s="37">
        <v>28035000</v>
      </c>
      <c r="BX18" s="37">
        <v>0</v>
      </c>
      <c r="BY18" s="37">
        <v>0</v>
      </c>
      <c r="BZ18" s="37">
        <v>34435000</v>
      </c>
      <c r="CA18" s="283">
        <v>-406959.00000000396</v>
      </c>
      <c r="CB18" s="373">
        <v>-4.7594698754324051E-3</v>
      </c>
      <c r="CC18" s="244">
        <v>8.7569841627591655E-2</v>
      </c>
      <c r="CD18" s="37">
        <v>8197.8701060024287</v>
      </c>
      <c r="CE18" s="244">
        <v>0.11850552427908548</v>
      </c>
    </row>
    <row r="19" spans="1:83">
      <c r="A19" s="109">
        <f t="shared" si="2"/>
        <v>0.11085006611430853</v>
      </c>
      <c r="B19" s="109">
        <f>N19/G19</f>
        <v>0.12522734252303658</v>
      </c>
      <c r="C19" s="123">
        <f t="shared" si="1"/>
        <v>207651.71503957783</v>
      </c>
      <c r="D19" s="26">
        <v>12</v>
      </c>
      <c r="E19" s="12">
        <v>70654</v>
      </c>
      <c r="F19" s="312">
        <v>278</v>
      </c>
      <c r="G19" s="313">
        <v>628457000</v>
      </c>
      <c r="H19" s="16">
        <v>142932750</v>
      </c>
      <c r="I19" s="16">
        <v>47701000</v>
      </c>
      <c r="J19" s="35">
        <v>44046517.064516127</v>
      </c>
      <c r="K19" s="35">
        <v>850000</v>
      </c>
      <c r="L19" s="35">
        <v>235530267.06451613</v>
      </c>
      <c r="M19" s="35">
        <v>69664500</v>
      </c>
      <c r="N19" s="12">
        <v>78700000</v>
      </c>
      <c r="O19" s="35">
        <v>0</v>
      </c>
      <c r="P19" s="16"/>
      <c r="Q19" s="35">
        <v>0</v>
      </c>
      <c r="R19" s="35">
        <v>148364500</v>
      </c>
      <c r="S19" s="35">
        <v>1540000</v>
      </c>
      <c r="T19" s="35">
        <v>86695000</v>
      </c>
      <c r="U19" s="35">
        <v>0</v>
      </c>
      <c r="V19" s="35">
        <v>819677</v>
      </c>
      <c r="W19" s="35">
        <v>89054677</v>
      </c>
      <c r="X19" s="280">
        <v>-1888909.9354838673</v>
      </c>
      <c r="Y19" s="13">
        <v>-8.019818255317732E-3</v>
      </c>
      <c r="Z19" s="13">
        <v>0.11085006611430853</v>
      </c>
      <c r="AA19" s="35">
        <v>8894.8537945480803</v>
      </c>
      <c r="AB19" s="13">
        <v>0.12522734252303658</v>
      </c>
      <c r="AC19" s="35">
        <v>379</v>
      </c>
      <c r="AD19" s="35">
        <f t="shared" si="3"/>
        <v>1658197.8891820582</v>
      </c>
      <c r="AE19" s="35">
        <f t="shared" si="4"/>
        <v>186.4221635883905</v>
      </c>
      <c r="AF19" s="1">
        <f t="shared" si="5"/>
        <v>12385000</v>
      </c>
      <c r="BF19" s="26" t="s">
        <v>166</v>
      </c>
      <c r="BG19" s="12">
        <v>32437</v>
      </c>
      <c r="BH19" s="12">
        <v>24</v>
      </c>
      <c r="BI19" s="313">
        <v>254026380</v>
      </c>
      <c r="BJ19" s="16">
        <v>63057708.600000001</v>
      </c>
      <c r="BK19" s="16">
        <v>22190000</v>
      </c>
      <c r="BL19" s="35">
        <v>0</v>
      </c>
      <c r="BM19" s="12">
        <v>0</v>
      </c>
      <c r="BN19" s="35">
        <v>0</v>
      </c>
      <c r="BO19" s="35">
        <v>85247708.599999994</v>
      </c>
      <c r="BP19" s="35">
        <v>21073470</v>
      </c>
      <c r="BQ19" s="12">
        <v>30585000</v>
      </c>
      <c r="BR19" s="35">
        <v>0</v>
      </c>
      <c r="BS19" s="35">
        <v>0</v>
      </c>
      <c r="BT19" s="12">
        <v>0</v>
      </c>
      <c r="BU19" s="35">
        <v>51658470</v>
      </c>
      <c r="BV19" s="35">
        <v>6260000</v>
      </c>
      <c r="BW19" s="35">
        <v>29505000</v>
      </c>
      <c r="BX19" s="35">
        <v>0</v>
      </c>
      <c r="BY19" s="35">
        <v>0</v>
      </c>
      <c r="BZ19" s="35">
        <v>35765000</v>
      </c>
      <c r="CA19" s="280">
        <v>-2175761.4000000055</v>
      </c>
      <c r="CB19" s="206">
        <v>-2.5522813876548062E-2</v>
      </c>
      <c r="CC19" s="13">
        <v>8.2957801469280473E-2</v>
      </c>
      <c r="CD19" s="35">
        <v>7831.3771310540433</v>
      </c>
      <c r="CE19" s="13">
        <v>0.12040088119981869</v>
      </c>
    </row>
    <row r="20" spans="1:83">
      <c r="A20" s="109">
        <f t="shared" si="2"/>
        <v>0.10475207800642929</v>
      </c>
      <c r="B20" s="109">
        <f t="shared" si="0"/>
        <v>0.12243315163623308</v>
      </c>
      <c r="C20" s="123">
        <f t="shared" si="1"/>
        <v>124442.89693593315</v>
      </c>
      <c r="D20" s="26">
        <v>13</v>
      </c>
      <c r="E20" s="12">
        <v>40739</v>
      </c>
      <c r="F20" s="312">
        <v>262</v>
      </c>
      <c r="G20" s="313">
        <v>364893000</v>
      </c>
      <c r="H20" s="16">
        <v>81637790</v>
      </c>
      <c r="I20" s="16">
        <v>25867000</v>
      </c>
      <c r="J20" s="35">
        <v>22183936.935483869</v>
      </c>
      <c r="K20" s="35">
        <v>0</v>
      </c>
      <c r="L20" s="35">
        <v>129688726.93548387</v>
      </c>
      <c r="M20" s="35">
        <v>38223300</v>
      </c>
      <c r="N20" s="12">
        <v>44675000</v>
      </c>
      <c r="O20" s="128">
        <v>27625000</v>
      </c>
      <c r="P20" s="16"/>
      <c r="Q20" s="128">
        <v>200000</v>
      </c>
      <c r="R20" s="35">
        <v>110723300</v>
      </c>
      <c r="S20" s="35">
        <v>1140000</v>
      </c>
      <c r="T20" s="35">
        <v>44555000</v>
      </c>
      <c r="U20" s="35">
        <v>0</v>
      </c>
      <c r="V20" s="35">
        <v>416193.14285714284</v>
      </c>
      <c r="W20" s="35">
        <v>46111193.142857142</v>
      </c>
      <c r="X20" s="280">
        <v>-27145766.207373265</v>
      </c>
      <c r="Y20" s="245">
        <v>-0.2093147712127473</v>
      </c>
      <c r="Z20" s="13">
        <v>0.10475207800642929</v>
      </c>
      <c r="AA20" s="35">
        <v>8956.8472471096484</v>
      </c>
      <c r="AB20" s="13">
        <v>0.12243315163623308</v>
      </c>
      <c r="AC20" s="35">
        <v>359</v>
      </c>
      <c r="AD20" s="35">
        <f t="shared" si="3"/>
        <v>1016415.0417827298</v>
      </c>
      <c r="AE20" s="35">
        <f t="shared" si="4"/>
        <v>113.47910863509749</v>
      </c>
      <c r="AF20" s="1">
        <f t="shared" si="5"/>
        <v>6365000</v>
      </c>
      <c r="BF20" s="11">
        <v>2026</v>
      </c>
      <c r="BG20" s="12">
        <v>68353</v>
      </c>
      <c r="BH20" s="12">
        <v>27</v>
      </c>
      <c r="BI20" s="313">
        <v>487168879</v>
      </c>
      <c r="BJ20" s="16">
        <v>118477616.10000002</v>
      </c>
      <c r="BK20" s="16">
        <v>45965000</v>
      </c>
      <c r="BL20" s="35">
        <v>0</v>
      </c>
      <c r="BM20">
        <v>0</v>
      </c>
      <c r="BN20" s="35">
        <v>0</v>
      </c>
      <c r="BO20" s="35">
        <v>164442616.10000002</v>
      </c>
      <c r="BP20" s="35">
        <v>39305400</v>
      </c>
      <c r="BQ20" s="12">
        <v>60804300</v>
      </c>
      <c r="BR20" s="35">
        <v>0</v>
      </c>
      <c r="BS20" s="35">
        <v>0</v>
      </c>
      <c r="BT20">
        <v>0</v>
      </c>
      <c r="BU20" s="35">
        <v>100109700</v>
      </c>
      <c r="BV20" s="35">
        <v>12300000</v>
      </c>
      <c r="BW20" s="35">
        <v>62615000</v>
      </c>
      <c r="BX20" s="35">
        <v>0</v>
      </c>
      <c r="BY20" s="35">
        <v>0</v>
      </c>
      <c r="BZ20" s="35">
        <v>74915000</v>
      </c>
      <c r="CA20" s="280">
        <v>-10582083.899999999</v>
      </c>
      <c r="CB20" s="13">
        <v>-6.435122567963085E-2</v>
      </c>
      <c r="CC20" s="13">
        <v>8.0681262072161225E-2</v>
      </c>
      <c r="CD20" s="35">
        <v>7127.2494111450851</v>
      </c>
      <c r="CE20" s="13">
        <v>0.12481154404774694</v>
      </c>
    </row>
    <row r="21" spans="1:83">
      <c r="A21" s="109">
        <f t="shared" si="2"/>
        <v>0.11055029759087205</v>
      </c>
      <c r="B21" s="109">
        <f t="shared" si="0"/>
        <v>8.5379869638652933E-2</v>
      </c>
      <c r="C21" s="123">
        <f t="shared" si="1"/>
        <v>288059.70149253734</v>
      </c>
      <c r="D21" s="26">
        <v>14</v>
      </c>
      <c r="E21" s="12">
        <v>123604</v>
      </c>
      <c r="F21" s="312">
        <v>253</v>
      </c>
      <c r="G21" s="313">
        <v>1130243000</v>
      </c>
      <c r="H21" s="16">
        <v>257792770</v>
      </c>
      <c r="I21" s="16">
        <v>62135433.045454547</v>
      </c>
      <c r="J21" s="35">
        <v>61734193.790322579</v>
      </c>
      <c r="K21" s="35">
        <v>0</v>
      </c>
      <c r="L21" s="35">
        <v>381662396.83577716</v>
      </c>
      <c r="M21" s="35">
        <v>124948700</v>
      </c>
      <c r="N21" s="12">
        <v>96500000</v>
      </c>
      <c r="O21" s="35">
        <v>0</v>
      </c>
      <c r="P21" s="16"/>
      <c r="Q21" s="35">
        <v>0</v>
      </c>
      <c r="R21" s="35">
        <v>221448699.99999997</v>
      </c>
      <c r="S21" s="35">
        <v>1539999.9999999998</v>
      </c>
      <c r="T21" s="35">
        <v>114765000</v>
      </c>
      <c r="U21" s="35">
        <v>0</v>
      </c>
      <c r="V21" s="35">
        <v>820580</v>
      </c>
      <c r="W21" s="35">
        <v>117125580</v>
      </c>
      <c r="X21" s="280">
        <v>43088116.835777149</v>
      </c>
      <c r="Y21" s="13">
        <v>0.11289589226762947</v>
      </c>
      <c r="Z21" s="13">
        <v>0.11055029759087205</v>
      </c>
      <c r="AA21" s="35">
        <v>9144.0649169929784</v>
      </c>
      <c r="AB21" s="13">
        <v>8.5379869638652933E-2</v>
      </c>
      <c r="AC21" s="35">
        <v>335</v>
      </c>
      <c r="AD21" s="35">
        <f t="shared" si="3"/>
        <v>3373859.7014925373</v>
      </c>
      <c r="AE21" s="35">
        <f t="shared" si="4"/>
        <v>368.96716417910449</v>
      </c>
      <c r="AF21" s="1">
        <f t="shared" si="5"/>
        <v>16395000</v>
      </c>
      <c r="BF21" s="26" t="s">
        <v>21</v>
      </c>
      <c r="BG21" s="12">
        <v>27177</v>
      </c>
      <c r="BH21" s="312">
        <v>27</v>
      </c>
      <c r="BI21" s="313">
        <v>203144379</v>
      </c>
      <c r="BJ21" s="16">
        <v>50009653.899999999</v>
      </c>
      <c r="BK21" s="16">
        <v>18755000</v>
      </c>
      <c r="BL21" s="35">
        <v>0</v>
      </c>
      <c r="BM21" s="12">
        <v>0</v>
      </c>
      <c r="BN21" s="35">
        <v>0</v>
      </c>
      <c r="BO21" s="35">
        <v>68764653.900000006</v>
      </c>
      <c r="BP21" s="35">
        <v>16954140</v>
      </c>
      <c r="BQ21" s="12">
        <v>24570640</v>
      </c>
      <c r="BR21" s="35">
        <v>0</v>
      </c>
      <c r="BS21" s="35">
        <v>0</v>
      </c>
      <c r="BT21" s="12">
        <v>0</v>
      </c>
      <c r="BU21" s="35">
        <v>41524780</v>
      </c>
      <c r="BV21" s="35">
        <v>5764285.7142857146</v>
      </c>
      <c r="BW21" s="35">
        <v>25795000</v>
      </c>
      <c r="BX21" s="35">
        <v>0</v>
      </c>
      <c r="BY21" s="35">
        <v>0</v>
      </c>
      <c r="BZ21" s="35">
        <v>31559285.714285716</v>
      </c>
      <c r="CA21" s="280">
        <v>-4319411.8142857142</v>
      </c>
      <c r="CB21" s="206">
        <v>-6.2814419462754165E-2</v>
      </c>
      <c r="CC21" s="13">
        <v>8.3458573077229967E-2</v>
      </c>
      <c r="CD21" s="35">
        <v>7474.8640026492994</v>
      </c>
      <c r="CE21" s="13">
        <v>0.12095161146447474</v>
      </c>
    </row>
    <row r="22" spans="1:83">
      <c r="A22" s="109">
        <f t="shared" si="2"/>
        <v>0.11019029093169522</v>
      </c>
      <c r="B22" s="109">
        <f t="shared" si="0"/>
        <v>9.3331426721091779E-2</v>
      </c>
      <c r="C22" s="123">
        <f t="shared" si="1"/>
        <v>235044.64285714287</v>
      </c>
      <c r="D22" s="26">
        <v>15</v>
      </c>
      <c r="E22" s="12">
        <v>95781</v>
      </c>
      <c r="F22" s="312">
        <v>242</v>
      </c>
      <c r="G22" s="313">
        <v>846178000</v>
      </c>
      <c r="H22" s="16">
        <v>191775900</v>
      </c>
      <c r="I22" s="16">
        <v>42586169.900000006</v>
      </c>
      <c r="J22" s="35">
        <v>38201652.300000004</v>
      </c>
      <c r="K22" s="35">
        <v>1050000</v>
      </c>
      <c r="L22" s="35">
        <v>273613722.19999999</v>
      </c>
      <c r="M22" s="35">
        <v>93240600</v>
      </c>
      <c r="N22" s="12">
        <v>78975000</v>
      </c>
      <c r="O22" s="35">
        <v>0</v>
      </c>
      <c r="P22" s="16"/>
      <c r="Q22" s="35">
        <v>0</v>
      </c>
      <c r="R22" s="35">
        <v>172215600</v>
      </c>
      <c r="S22" s="35">
        <v>700000</v>
      </c>
      <c r="T22" s="35">
        <v>74795000</v>
      </c>
      <c r="U22" s="35">
        <v>0</v>
      </c>
      <c r="V22" s="35">
        <v>707000</v>
      </c>
      <c r="W22" s="35">
        <v>76202000</v>
      </c>
      <c r="X22" s="280">
        <v>25196122.200000014</v>
      </c>
      <c r="Y22" s="13">
        <v>9.2086471385315685E-2</v>
      </c>
      <c r="Z22" s="13">
        <v>0.11019029093169522</v>
      </c>
      <c r="AA22" s="35">
        <v>8834.5078877856777</v>
      </c>
      <c r="AB22" s="13">
        <v>9.3331426721091779E-2</v>
      </c>
      <c r="AC22" s="35">
        <v>336</v>
      </c>
      <c r="AD22" s="35">
        <f t="shared" si="3"/>
        <v>2518386.9047619049</v>
      </c>
      <c r="AE22" s="35">
        <f t="shared" si="4"/>
        <v>285.0625</v>
      </c>
      <c r="AF22" s="1">
        <f t="shared" si="5"/>
        <v>10685000</v>
      </c>
      <c r="BF22" s="26" t="s">
        <v>158</v>
      </c>
      <c r="BG22" s="12">
        <v>18414</v>
      </c>
      <c r="BH22" s="312">
        <v>20</v>
      </c>
      <c r="BI22" s="313">
        <v>130877900</v>
      </c>
      <c r="BJ22" s="16">
        <v>32060080.199999999</v>
      </c>
      <c r="BK22" s="16">
        <v>14130000</v>
      </c>
      <c r="BL22" s="35">
        <v>0</v>
      </c>
      <c r="BM22" s="12">
        <v>0</v>
      </c>
      <c r="BN22" s="35">
        <v>0</v>
      </c>
      <c r="BO22" s="35">
        <v>46190080.200000003</v>
      </c>
      <c r="BP22" s="35">
        <v>9966240</v>
      </c>
      <c r="BQ22" s="12">
        <v>17733660</v>
      </c>
      <c r="BR22" s="35">
        <v>0</v>
      </c>
      <c r="BS22" s="35">
        <v>0</v>
      </c>
      <c r="BT22" s="12">
        <v>0</v>
      </c>
      <c r="BU22" s="35">
        <v>27699900</v>
      </c>
      <c r="BV22" s="35">
        <v>2735714.2857142859</v>
      </c>
      <c r="BW22" s="35">
        <v>18865000</v>
      </c>
      <c r="BX22" s="35">
        <v>0</v>
      </c>
      <c r="BY22" s="35">
        <v>0</v>
      </c>
      <c r="BZ22" s="35">
        <v>21600714.285714287</v>
      </c>
      <c r="CA22" s="280">
        <v>-3110534.0857142853</v>
      </c>
      <c r="CB22" s="206">
        <v>-6.7342036910217035E-2</v>
      </c>
      <c r="CC22" s="13">
        <v>7.614914359108757E-2</v>
      </c>
      <c r="CD22" s="35">
        <v>7107.5214510698379</v>
      </c>
      <c r="CE22" s="13">
        <v>0.13549774255240954</v>
      </c>
    </row>
    <row r="23" spans="1:83">
      <c r="A23" s="109">
        <f t="shared" si="2"/>
        <v>0.1097512839439547</v>
      </c>
      <c r="B23" s="109">
        <f t="shared" si="0"/>
        <v>9.070676571005501E-2</v>
      </c>
      <c r="C23" s="123">
        <f t="shared" si="1"/>
        <v>242835.8208955224</v>
      </c>
      <c r="D23" s="26">
        <v>16</v>
      </c>
      <c r="E23" s="12">
        <v>101822</v>
      </c>
      <c r="F23" s="312">
        <v>244</v>
      </c>
      <c r="G23" s="313">
        <v>896846000</v>
      </c>
      <c r="H23" s="16">
        <v>203221160</v>
      </c>
      <c r="I23" s="16">
        <v>42685169.900000006</v>
      </c>
      <c r="J23" s="35">
        <v>38201652.299999997</v>
      </c>
      <c r="K23" s="35">
        <v>950000</v>
      </c>
      <c r="L23" s="35">
        <v>285057982.19999999</v>
      </c>
      <c r="M23" s="35">
        <v>98430000</v>
      </c>
      <c r="N23" s="12">
        <v>81350000</v>
      </c>
      <c r="O23" s="35">
        <v>0</v>
      </c>
      <c r="P23" s="16"/>
      <c r="Q23" s="35">
        <v>0</v>
      </c>
      <c r="R23" s="35">
        <v>179780000</v>
      </c>
      <c r="S23" s="35">
        <v>700000</v>
      </c>
      <c r="T23" s="35">
        <v>76125000</v>
      </c>
      <c r="U23" s="35">
        <v>0</v>
      </c>
      <c r="V23" s="35">
        <v>707000</v>
      </c>
      <c r="W23" s="35">
        <v>77532000</v>
      </c>
      <c r="X23" s="280">
        <v>27745982.200000014</v>
      </c>
      <c r="Y23" s="13">
        <v>9.733452115904305E-2</v>
      </c>
      <c r="Z23" s="13">
        <v>0.1097512839439547</v>
      </c>
      <c r="AA23" s="35">
        <v>8807.9786293728266</v>
      </c>
      <c r="AB23" s="13">
        <v>9.070676571005501E-2</v>
      </c>
      <c r="AC23" s="35">
        <v>335</v>
      </c>
      <c r="AD23" s="35">
        <f t="shared" si="3"/>
        <v>2677152.2388059702</v>
      </c>
      <c r="AE23" s="35">
        <f t="shared" si="4"/>
        <v>303.94626865671643</v>
      </c>
      <c r="AF23" s="1">
        <f t="shared" si="5"/>
        <v>10875000</v>
      </c>
      <c r="BF23" s="26" t="s">
        <v>159</v>
      </c>
      <c r="BG23" s="12">
        <v>14517</v>
      </c>
      <c r="BH23" s="312">
        <v>15</v>
      </c>
      <c r="BI23" s="313">
        <v>99237580</v>
      </c>
      <c r="BJ23" s="16">
        <v>23336030.600000001</v>
      </c>
      <c r="BK23" s="16">
        <v>9515000</v>
      </c>
      <c r="BL23" s="35">
        <v>0</v>
      </c>
      <c r="BM23" s="12">
        <v>0</v>
      </c>
      <c r="BN23" s="35">
        <v>0</v>
      </c>
      <c r="BO23" s="35">
        <v>32851030.600000001</v>
      </c>
      <c r="BP23" s="35">
        <v>7458620</v>
      </c>
      <c r="BQ23" s="12">
        <v>12625000</v>
      </c>
      <c r="BR23" s="35">
        <v>0</v>
      </c>
      <c r="BS23" s="35">
        <v>0</v>
      </c>
      <c r="BT23" s="12">
        <v>0</v>
      </c>
      <c r="BU23" s="35">
        <v>20083620</v>
      </c>
      <c r="BV23" s="35">
        <v>2800000</v>
      </c>
      <c r="BW23" s="35">
        <v>12915000</v>
      </c>
      <c r="BX23" s="35">
        <v>0</v>
      </c>
      <c r="BY23" s="35">
        <v>0</v>
      </c>
      <c r="BZ23" s="35">
        <v>15715000</v>
      </c>
      <c r="CA23" s="280">
        <v>-2947589.4</v>
      </c>
      <c r="CB23" s="206">
        <v>-8.9725933895054108E-2</v>
      </c>
      <c r="CC23" s="13">
        <v>7.5159228993693719E-2</v>
      </c>
      <c r="CD23" s="35">
        <v>6835.9564648343321</v>
      </c>
      <c r="CE23" s="13">
        <v>0.12721995034542358</v>
      </c>
    </row>
    <row r="24" spans="1:83">
      <c r="A24" s="109">
        <f t="shared" si="2"/>
        <v>0.11050356797154627</v>
      </c>
      <c r="B24" s="109">
        <f t="shared" si="0"/>
        <v>7.5545379216900729E-2</v>
      </c>
      <c r="C24" s="123">
        <f t="shared" si="1"/>
        <v>204275.36231884058</v>
      </c>
      <c r="D24" s="26">
        <v>17</v>
      </c>
      <c r="E24" s="12">
        <v>106106</v>
      </c>
      <c r="F24" s="312">
        <v>253</v>
      </c>
      <c r="G24" s="313">
        <v>932883000</v>
      </c>
      <c r="H24" s="16">
        <v>211847210</v>
      </c>
      <c r="I24" s="16">
        <v>40509169.900000006</v>
      </c>
      <c r="J24" s="35">
        <v>38201652.300000004</v>
      </c>
      <c r="K24" s="35">
        <v>950000</v>
      </c>
      <c r="L24" s="35">
        <v>291508032.19999999</v>
      </c>
      <c r="M24" s="35">
        <v>103086900</v>
      </c>
      <c r="N24" s="12">
        <v>70475000</v>
      </c>
      <c r="O24" s="128">
        <v>60125000</v>
      </c>
      <c r="P24" s="300">
        <v>1600000</v>
      </c>
      <c r="Q24" s="128">
        <v>4700000</v>
      </c>
      <c r="R24" s="35">
        <v>239986900</v>
      </c>
      <c r="S24" s="35">
        <v>1990000</v>
      </c>
      <c r="T24" s="35">
        <v>75530000</v>
      </c>
      <c r="U24" s="35">
        <v>0</v>
      </c>
      <c r="V24" s="35">
        <v>707000</v>
      </c>
      <c r="W24" s="35">
        <v>78227000</v>
      </c>
      <c r="X24" s="280">
        <v>-26705867.79999999</v>
      </c>
      <c r="Y24" s="245">
        <v>-9.1612802564827539E-2</v>
      </c>
      <c r="Z24" s="13">
        <v>0.11050356797154627</v>
      </c>
      <c r="AA24" s="35">
        <v>8791.9910278400839</v>
      </c>
      <c r="AB24" s="13">
        <v>7.5545379216900729E-2</v>
      </c>
      <c r="AC24" s="35">
        <v>345</v>
      </c>
      <c r="AD24" s="35">
        <f t="shared" si="3"/>
        <v>2704008.6956521738</v>
      </c>
      <c r="AE24" s="35">
        <f t="shared" si="4"/>
        <v>307.55362318840582</v>
      </c>
      <c r="BF24" s="26" t="s">
        <v>160</v>
      </c>
      <c r="BG24" s="12">
        <v>8245</v>
      </c>
      <c r="BH24" s="312">
        <v>11</v>
      </c>
      <c r="BI24" s="313">
        <v>53909020</v>
      </c>
      <c r="BJ24" s="16">
        <v>13071851.4</v>
      </c>
      <c r="BK24" s="16">
        <v>3565000</v>
      </c>
      <c r="BL24" s="35">
        <v>0</v>
      </c>
      <c r="BM24" s="12">
        <v>0</v>
      </c>
      <c r="BN24" s="35">
        <v>0</v>
      </c>
      <c r="BO24" s="35">
        <v>16636851.4</v>
      </c>
      <c r="BP24" s="35">
        <v>4926400</v>
      </c>
      <c r="BQ24" s="12">
        <v>5875000</v>
      </c>
      <c r="BR24" s="35">
        <v>0</v>
      </c>
      <c r="BS24" s="35">
        <v>0</v>
      </c>
      <c r="BT24" s="12">
        <v>0</v>
      </c>
      <c r="BU24" s="35">
        <v>10801400</v>
      </c>
      <c r="BV24" s="35">
        <v>1000000</v>
      </c>
      <c r="BW24" s="35">
        <v>5040000</v>
      </c>
      <c r="BX24" s="35">
        <v>0</v>
      </c>
      <c r="BY24" s="35">
        <v>0</v>
      </c>
      <c r="BZ24" s="35">
        <v>6040000</v>
      </c>
      <c r="CA24" s="280">
        <v>-204548.59999999995</v>
      </c>
      <c r="CB24" s="206">
        <v>-1.2294910562223326E-2</v>
      </c>
      <c r="CC24" s="13">
        <v>9.138359406273755E-2</v>
      </c>
      <c r="CD24" s="35">
        <v>6538.3893268647662</v>
      </c>
      <c r="CE24" s="13">
        <v>0.10897990725856267</v>
      </c>
    </row>
    <row r="25" spans="1:83">
      <c r="A25" s="109">
        <f t="shared" si="2"/>
        <v>0.11031774527349993</v>
      </c>
      <c r="B25" s="109">
        <f t="shared" si="0"/>
        <v>6.9033230959588146E-2</v>
      </c>
      <c r="C25" s="123">
        <f t="shared" si="1"/>
        <v>211822.03389830509</v>
      </c>
      <c r="D25" s="26">
        <v>18</v>
      </c>
      <c r="E25" s="12">
        <v>123543</v>
      </c>
      <c r="F25" s="312">
        <v>245</v>
      </c>
      <c r="G25" s="313">
        <v>1086216000</v>
      </c>
      <c r="H25" s="16">
        <v>246900360</v>
      </c>
      <c r="I25" s="16">
        <v>48190382.799999997</v>
      </c>
      <c r="J25" s="35">
        <v>44983816.116129033</v>
      </c>
      <c r="K25" s="35">
        <v>700000</v>
      </c>
      <c r="L25" s="35">
        <v>340774558.91612905</v>
      </c>
      <c r="M25" s="35">
        <v>119828900</v>
      </c>
      <c r="N25" s="12">
        <v>74985000</v>
      </c>
      <c r="O25" s="35">
        <v>0</v>
      </c>
      <c r="P25" s="16"/>
      <c r="Q25" s="35">
        <v>0</v>
      </c>
      <c r="R25" s="35">
        <v>194813900</v>
      </c>
      <c r="S25" s="35">
        <v>2490000</v>
      </c>
      <c r="T25" s="35">
        <v>95060000</v>
      </c>
      <c r="U25" s="35">
        <v>0</v>
      </c>
      <c r="V25" s="35">
        <v>707000</v>
      </c>
      <c r="W25" s="35">
        <v>98257000</v>
      </c>
      <c r="X25" s="280">
        <v>47703658.916129038</v>
      </c>
      <c r="Y25" s="13">
        <v>0.13998597509114463</v>
      </c>
      <c r="Z25" s="13">
        <v>0.11031774527349993</v>
      </c>
      <c r="AA25" s="35">
        <v>8792.2099997571695</v>
      </c>
      <c r="AB25" s="13">
        <v>6.9033230959588146E-2</v>
      </c>
      <c r="AC25" s="35">
        <v>354</v>
      </c>
      <c r="AD25" s="35">
        <f t="shared" si="3"/>
        <v>3068406.779661017</v>
      </c>
      <c r="AE25" s="35">
        <f t="shared" si="4"/>
        <v>348.99152542372883</v>
      </c>
      <c r="BF25" s="11" t="s">
        <v>167</v>
      </c>
      <c r="BG25" s="12">
        <v>639690</v>
      </c>
      <c r="BH25" s="12">
        <v>65</v>
      </c>
      <c r="BI25" s="313">
        <v>5650178959</v>
      </c>
      <c r="BJ25" s="16">
        <v>1320404213.7000003</v>
      </c>
      <c r="BK25" s="16">
        <v>444491357.14285713</v>
      </c>
      <c r="BL25" s="35">
        <v>106395559.99999999</v>
      </c>
      <c r="BM25">
        <v>80000</v>
      </c>
      <c r="BN25" s="35">
        <v>20829200</v>
      </c>
      <c r="BO25" s="35">
        <v>1892200330.8428574</v>
      </c>
      <c r="BP25" s="35">
        <v>493631041.4285714</v>
      </c>
      <c r="BQ25" s="12">
        <v>709381774.28571427</v>
      </c>
      <c r="BR25" s="35">
        <v>34258569</v>
      </c>
      <c r="BS25" s="35">
        <v>800000</v>
      </c>
      <c r="BT25">
        <v>0</v>
      </c>
      <c r="BU25" s="35">
        <v>1237630984.7142856</v>
      </c>
      <c r="BV25" s="35">
        <v>70880000</v>
      </c>
      <c r="BW25" s="35">
        <v>620154285.71428573</v>
      </c>
      <c r="BX25" s="35">
        <v>0</v>
      </c>
      <c r="BY25" s="35">
        <v>2209515</v>
      </c>
      <c r="BZ25" s="35">
        <v>693118800.71428573</v>
      </c>
      <c r="CA25" s="280">
        <v>-38549454.585714273</v>
      </c>
      <c r="CB25" s="13">
        <v>-2.0372818859271044E-2</v>
      </c>
      <c r="CC25" s="13">
        <v>8.7365558685938857E-2</v>
      </c>
      <c r="CD25" s="35">
        <v>8832.6829542434625</v>
      </c>
      <c r="CE25" s="13">
        <v>0.12555031963293151</v>
      </c>
    </row>
    <row r="26" spans="1:83">
      <c r="A26" s="109">
        <f t="shared" si="2"/>
        <v>0.1128663201221809</v>
      </c>
      <c r="B26" s="109">
        <f t="shared" si="0"/>
        <v>7.7784169902679903E-2</v>
      </c>
      <c r="C26" s="123">
        <f t="shared" si="1"/>
        <v>200426.4705882353</v>
      </c>
      <c r="D26" s="323">
        <v>19</v>
      </c>
      <c r="E26" s="247">
        <v>99994</v>
      </c>
      <c r="F26" s="312">
        <v>265</v>
      </c>
      <c r="G26" s="325">
        <v>876078000</v>
      </c>
      <c r="H26" s="125">
        <v>199512860</v>
      </c>
      <c r="I26" s="125">
        <v>39798000</v>
      </c>
      <c r="J26" s="135">
        <v>40520025.903225817</v>
      </c>
      <c r="K26" s="135">
        <v>1200000</v>
      </c>
      <c r="L26" s="135">
        <v>281030885.90322578</v>
      </c>
      <c r="M26" s="135">
        <v>98879700</v>
      </c>
      <c r="N26" s="247">
        <v>68145000</v>
      </c>
      <c r="O26" s="135">
        <v>1980000</v>
      </c>
      <c r="P26" s="125"/>
      <c r="Q26" s="135">
        <v>0</v>
      </c>
      <c r="R26" s="135">
        <v>169004700</v>
      </c>
      <c r="S26" s="135">
        <v>2115000</v>
      </c>
      <c r="T26" s="135">
        <v>77630000</v>
      </c>
      <c r="U26" s="135">
        <v>0</v>
      </c>
      <c r="V26" s="135">
        <v>1059936</v>
      </c>
      <c r="W26" s="135">
        <v>80804936</v>
      </c>
      <c r="X26" s="326">
        <v>31221249.903225802</v>
      </c>
      <c r="Y26" s="324">
        <v>0.11109543992960609</v>
      </c>
      <c r="Z26" s="324">
        <v>0.1128663201221809</v>
      </c>
      <c r="AA26" s="135">
        <v>8761.305678340701</v>
      </c>
      <c r="AB26" s="324">
        <v>7.7784169902679903E-2</v>
      </c>
      <c r="AC26" s="135">
        <v>340</v>
      </c>
      <c r="AD26" s="135">
        <f t="shared" si="3"/>
        <v>2576700</v>
      </c>
      <c r="AE26" s="135">
        <f t="shared" si="4"/>
        <v>294.10000000000002</v>
      </c>
      <c r="BN26" s="35"/>
      <c r="BS26" s="35"/>
      <c r="BT26" s="35"/>
      <c r="BU26" s="35"/>
      <c r="BV26" s="35"/>
      <c r="BW26" s="35"/>
      <c r="BY26" s="35"/>
      <c r="BZ26" s="206"/>
      <c r="CA26" s="35"/>
      <c r="CB26" s="206"/>
    </row>
    <row r="27" spans="1:83">
      <c r="A27" s="109">
        <f t="shared" si="2"/>
        <v>0.11302660242536916</v>
      </c>
      <c r="B27" s="109">
        <f t="shared" si="0"/>
        <v>7.9278633618823924E-2</v>
      </c>
      <c r="C27" s="123">
        <f t="shared" si="1"/>
        <v>199508.92857142858</v>
      </c>
      <c r="D27" s="26">
        <v>20</v>
      </c>
      <c r="E27" s="12">
        <v>96526</v>
      </c>
      <c r="F27" s="312">
        <v>272</v>
      </c>
      <c r="G27" s="313">
        <v>845562000</v>
      </c>
      <c r="H27" s="16">
        <v>192753740</v>
      </c>
      <c r="I27" s="16">
        <v>39456000</v>
      </c>
      <c r="J27" s="35">
        <v>40520025.903225817</v>
      </c>
      <c r="K27" s="35">
        <v>400000</v>
      </c>
      <c r="L27" s="35">
        <v>273129765.90322578</v>
      </c>
      <c r="M27" s="35">
        <v>95571000</v>
      </c>
      <c r="N27" s="12">
        <v>67035000</v>
      </c>
      <c r="O27" s="35">
        <v>1920000</v>
      </c>
      <c r="P27" s="16"/>
      <c r="Q27" s="35">
        <v>0</v>
      </c>
      <c r="R27" s="35">
        <v>164526000</v>
      </c>
      <c r="S27" s="35">
        <v>2590000</v>
      </c>
      <c r="T27" s="35">
        <v>76860000</v>
      </c>
      <c r="U27" s="35">
        <v>0</v>
      </c>
      <c r="V27" s="35">
        <v>1059936</v>
      </c>
      <c r="W27" s="35">
        <v>80509936</v>
      </c>
      <c r="X27" s="280">
        <v>28093829.903225802</v>
      </c>
      <c r="Y27" s="13">
        <v>0.1028589096114112</v>
      </c>
      <c r="Z27" s="13">
        <v>0.11302660242536916</v>
      </c>
      <c r="AA27" s="35">
        <v>8759.94032695854</v>
      </c>
      <c r="AB27" s="13">
        <v>7.9278633618823924E-2</v>
      </c>
      <c r="AC27" s="35">
        <v>336</v>
      </c>
      <c r="AD27" s="35">
        <f t="shared" si="3"/>
        <v>2516553.5714285714</v>
      </c>
      <c r="AE27" s="35">
        <f t="shared" si="4"/>
        <v>287.27976190476193</v>
      </c>
      <c r="BN27" s="35"/>
      <c r="BS27" s="35"/>
      <c r="BT27" s="35"/>
      <c r="BU27" s="35"/>
      <c r="BV27" s="35"/>
      <c r="BW27" s="35"/>
      <c r="BY27" s="35"/>
      <c r="BZ27" s="206"/>
      <c r="CA27" s="35"/>
      <c r="CB27" s="206"/>
    </row>
    <row r="28" spans="1:83">
      <c r="A28" s="109">
        <f>M28/G28</f>
        <v>0.11305146924220347</v>
      </c>
      <c r="B28" s="109">
        <f>N28/G28</f>
        <v>8.1834069235857371E-2</v>
      </c>
      <c r="C28" s="123">
        <f t="shared" ref="C28:C50" si="6">N28/AC28</f>
        <v>199568.45238095237</v>
      </c>
      <c r="D28" s="26">
        <v>21</v>
      </c>
      <c r="E28" s="12">
        <v>93568</v>
      </c>
      <c r="F28" s="312">
        <v>275</v>
      </c>
      <c r="G28" s="313">
        <v>819402000</v>
      </c>
      <c r="H28" s="16">
        <v>186771180</v>
      </c>
      <c r="I28" s="16">
        <v>47844000</v>
      </c>
      <c r="J28" s="35">
        <v>40520025.903225817</v>
      </c>
      <c r="K28" s="35">
        <v>304200</v>
      </c>
      <c r="L28" s="35">
        <v>275439405.90322578</v>
      </c>
      <c r="M28" s="35">
        <v>92634600</v>
      </c>
      <c r="N28" s="12">
        <v>67055000</v>
      </c>
      <c r="O28" s="128">
        <v>61665000</v>
      </c>
      <c r="P28" s="300">
        <v>300000</v>
      </c>
      <c r="Q28" s="128">
        <v>7200000</v>
      </c>
      <c r="R28" s="35">
        <v>228854600</v>
      </c>
      <c r="S28" s="35">
        <v>2965000</v>
      </c>
      <c r="T28" s="35">
        <v>78190000</v>
      </c>
      <c r="U28" s="35">
        <v>0</v>
      </c>
      <c r="V28" s="35">
        <v>1059935.4838709678</v>
      </c>
      <c r="W28" s="35">
        <v>82214935.483870968</v>
      </c>
      <c r="X28" s="280">
        <v>-35630129.580645144</v>
      </c>
      <c r="Y28" s="245">
        <v>-0.12935741515926594</v>
      </c>
      <c r="Z28" s="13">
        <v>0.11305146924220347</v>
      </c>
      <c r="AA28" s="35">
        <v>8757.2888166894663</v>
      </c>
      <c r="AB28" s="13">
        <v>8.1834069235857371E-2</v>
      </c>
      <c r="AC28" s="35">
        <v>336</v>
      </c>
      <c r="AD28" s="35">
        <f t="shared" si="3"/>
        <v>2438696.4285714286</v>
      </c>
      <c r="AE28" s="35">
        <f t="shared" si="4"/>
        <v>278.47619047619048</v>
      </c>
      <c r="BN28" s="35"/>
      <c r="BS28" s="35"/>
      <c r="BT28" s="35"/>
      <c r="BU28" s="35"/>
      <c r="BV28" s="35"/>
      <c r="BW28" s="35"/>
      <c r="BY28" s="35"/>
      <c r="BZ28" s="206"/>
      <c r="CA28" s="35"/>
      <c r="CB28" s="206"/>
    </row>
    <row r="29" spans="1:83">
      <c r="A29" s="109">
        <f t="shared" ref="A29:A51" si="7">M29/G29</f>
        <v>0.11335231940412947</v>
      </c>
      <c r="B29" s="109">
        <f t="shared" ref="B29:B51" si="8">N29/G29</f>
        <v>7.7926345520408724E-2</v>
      </c>
      <c r="C29" s="123">
        <f t="shared" si="6"/>
        <v>211914.89361702127</v>
      </c>
      <c r="D29" s="26">
        <v>22</v>
      </c>
      <c r="E29" s="12">
        <v>102281</v>
      </c>
      <c r="F29" s="312">
        <v>269</v>
      </c>
      <c r="G29" s="313">
        <v>894691000</v>
      </c>
      <c r="H29" s="16">
        <v>204227890</v>
      </c>
      <c r="I29" s="16">
        <v>39978000</v>
      </c>
      <c r="J29" s="35">
        <v>40730422.149193548</v>
      </c>
      <c r="K29" s="35">
        <v>300000</v>
      </c>
      <c r="L29" s="35">
        <v>285236312.14919358</v>
      </c>
      <c r="M29" s="35">
        <v>101415300</v>
      </c>
      <c r="N29" s="12">
        <v>69720000</v>
      </c>
      <c r="O29" s="35">
        <v>1679999.9999999998</v>
      </c>
      <c r="P29" s="16"/>
      <c r="Q29" s="35">
        <v>0</v>
      </c>
      <c r="R29" s="35">
        <v>172815299.99999997</v>
      </c>
      <c r="S29" s="35">
        <v>4465000</v>
      </c>
      <c r="T29" s="35">
        <v>77805000</v>
      </c>
      <c r="U29" s="35">
        <v>585000</v>
      </c>
      <c r="V29" s="35">
        <v>1059935.483870968</v>
      </c>
      <c r="W29" s="35">
        <v>83914935.483870968</v>
      </c>
      <c r="X29" s="280">
        <v>28506076.665322602</v>
      </c>
      <c r="Y29" s="13">
        <v>9.9938456119192942E-2</v>
      </c>
      <c r="Z29" s="13">
        <v>0.11335231940412947</v>
      </c>
      <c r="AA29" s="35">
        <v>8747.3822117499822</v>
      </c>
      <c r="AB29" s="13">
        <v>7.7926345520408724E-2</v>
      </c>
      <c r="AC29" s="35">
        <v>329</v>
      </c>
      <c r="AD29" s="35">
        <f t="shared" si="3"/>
        <v>2719425.5319148935</v>
      </c>
      <c r="AE29" s="35">
        <f t="shared" si="4"/>
        <v>310.88449848024317</v>
      </c>
      <c r="BN29" s="35"/>
      <c r="BS29" s="35"/>
      <c r="BT29" s="35"/>
      <c r="BU29" s="35"/>
      <c r="BV29" s="35"/>
      <c r="BW29" s="35"/>
      <c r="BY29" s="35"/>
      <c r="BZ29" s="206"/>
      <c r="CA29" s="35"/>
      <c r="CB29" s="206"/>
    </row>
    <row r="30" spans="1:83">
      <c r="A30" s="109">
        <f t="shared" si="7"/>
        <v>0.11010217501480875</v>
      </c>
      <c r="B30" s="109">
        <f t="shared" si="8"/>
        <v>7.7999867416263746E-2</v>
      </c>
      <c r="C30" s="123">
        <f t="shared" si="6"/>
        <v>219069.06906906908</v>
      </c>
      <c r="D30" s="26">
        <v>23</v>
      </c>
      <c r="E30" s="12">
        <v>106629</v>
      </c>
      <c r="F30" s="312">
        <v>275</v>
      </c>
      <c r="G30" s="313">
        <v>935258000</v>
      </c>
      <c r="H30" s="16">
        <v>213525460</v>
      </c>
      <c r="I30" s="16">
        <v>42881000</v>
      </c>
      <c r="J30" s="35">
        <v>41992799.625</v>
      </c>
      <c r="K30" s="35">
        <v>0</v>
      </c>
      <c r="L30" s="35">
        <v>298399259.625</v>
      </c>
      <c r="M30" s="35">
        <v>102973940</v>
      </c>
      <c r="N30" s="12">
        <v>72950000</v>
      </c>
      <c r="O30" s="35">
        <v>1780000</v>
      </c>
      <c r="P30" s="16"/>
      <c r="Q30" s="35">
        <v>0</v>
      </c>
      <c r="R30" s="35">
        <v>177703940</v>
      </c>
      <c r="S30" s="35">
        <v>2090000</v>
      </c>
      <c r="T30" s="35">
        <v>78470000</v>
      </c>
      <c r="U30" s="35">
        <v>0</v>
      </c>
      <c r="V30" s="35">
        <v>1059935.4838709678</v>
      </c>
      <c r="W30" s="35">
        <v>81619935.483870968</v>
      </c>
      <c r="X30" s="280">
        <v>39075384.141129047</v>
      </c>
      <c r="Y30" s="13">
        <v>0.13095000366366624</v>
      </c>
      <c r="Z30" s="13">
        <v>0.11010217501480875</v>
      </c>
      <c r="AA30" s="35">
        <v>8771.141059186526</v>
      </c>
      <c r="AB30" s="13">
        <v>7.7999867416263746E-2</v>
      </c>
      <c r="AC30" s="35">
        <v>333</v>
      </c>
      <c r="AD30" s="35">
        <f t="shared" si="3"/>
        <v>2808582.5825825827</v>
      </c>
      <c r="AE30" s="35">
        <f t="shared" si="4"/>
        <v>320.2072072072072</v>
      </c>
      <c r="BN30" s="35"/>
      <c r="BS30" s="35"/>
      <c r="BT30" s="35"/>
      <c r="BU30" s="35"/>
      <c r="BV30" s="35"/>
      <c r="BW30" s="35"/>
      <c r="BY30" s="35"/>
      <c r="BZ30" s="206"/>
      <c r="CA30" s="35"/>
      <c r="CB30" s="206"/>
    </row>
    <row r="31" spans="1:83">
      <c r="A31" s="109">
        <f t="shared" si="7"/>
        <v>0.11512873463592059</v>
      </c>
      <c r="B31" s="109">
        <f t="shared" si="8"/>
        <v>8.6786891707876443E-2</v>
      </c>
      <c r="C31" s="123">
        <f t="shared" si="6"/>
        <v>236280.48780487804</v>
      </c>
      <c r="D31" s="26">
        <v>24</v>
      </c>
      <c r="E31" s="12">
        <v>100220</v>
      </c>
      <c r="F31" s="312">
        <v>271</v>
      </c>
      <c r="G31" s="313">
        <v>892992000</v>
      </c>
      <c r="H31" s="16">
        <v>232177920</v>
      </c>
      <c r="I31" s="16">
        <v>56650000</v>
      </c>
      <c r="J31" s="35">
        <v>0</v>
      </c>
      <c r="K31" s="35">
        <v>0</v>
      </c>
      <c r="L31" s="35">
        <v>288827920</v>
      </c>
      <c r="M31" s="35">
        <v>102809039</v>
      </c>
      <c r="N31" s="12">
        <v>77500000</v>
      </c>
      <c r="O31" s="35">
        <v>1410000</v>
      </c>
      <c r="P31" s="16"/>
      <c r="Q31" s="35">
        <v>0</v>
      </c>
      <c r="R31" s="35">
        <v>181719039</v>
      </c>
      <c r="S31" s="35">
        <v>3340000</v>
      </c>
      <c r="T31" s="35">
        <v>77175000</v>
      </c>
      <c r="U31" s="35">
        <v>0</v>
      </c>
      <c r="V31" s="35">
        <v>1059935.4838709678</v>
      </c>
      <c r="W31" s="35">
        <v>81574935.483870968</v>
      </c>
      <c r="X31" s="280">
        <v>25533945.516129047</v>
      </c>
      <c r="Y31" s="13">
        <v>8.8405392096889551E-2</v>
      </c>
      <c r="Z31" s="13">
        <v>0.11512873463592059</v>
      </c>
      <c r="AA31" s="35">
        <v>8910.3173019357419</v>
      </c>
      <c r="AB31" s="13">
        <v>8.6786891707876443E-2</v>
      </c>
      <c r="AC31" s="35">
        <v>328</v>
      </c>
      <c r="AD31" s="35">
        <f t="shared" si="3"/>
        <v>2722536.5853658537</v>
      </c>
      <c r="AE31" s="35">
        <f t="shared" si="4"/>
        <v>305.54878048780489</v>
      </c>
      <c r="BN31" s="35"/>
    </row>
    <row r="32" spans="1:83">
      <c r="A32" s="109">
        <f t="shared" si="7"/>
        <v>0.11180844346701101</v>
      </c>
      <c r="B32" s="109">
        <f t="shared" si="8"/>
        <v>8.5233669200988738E-2</v>
      </c>
      <c r="C32" s="123">
        <f t="shared" si="6"/>
        <v>215484.61538461538</v>
      </c>
      <c r="D32" s="26">
        <v>25</v>
      </c>
      <c r="E32" s="12">
        <v>93845</v>
      </c>
      <c r="F32" s="312">
        <v>263</v>
      </c>
      <c r="G32" s="313">
        <v>821653000</v>
      </c>
      <c r="H32" s="16">
        <v>213629780</v>
      </c>
      <c r="I32" s="16">
        <v>41475000</v>
      </c>
      <c r="J32" s="35">
        <v>0</v>
      </c>
      <c r="K32" s="35">
        <v>150000</v>
      </c>
      <c r="L32" s="35">
        <v>255254780</v>
      </c>
      <c r="M32" s="35">
        <v>91867743</v>
      </c>
      <c r="N32" s="12">
        <v>70032500</v>
      </c>
      <c r="O32" s="35">
        <v>0</v>
      </c>
      <c r="P32" s="16"/>
      <c r="Q32" s="35">
        <v>0</v>
      </c>
      <c r="R32" s="35">
        <v>161900243</v>
      </c>
      <c r="S32" s="35">
        <v>2515000</v>
      </c>
      <c r="T32" s="35">
        <v>77035000</v>
      </c>
      <c r="U32" s="35">
        <v>0</v>
      </c>
      <c r="V32" s="35">
        <v>1270045</v>
      </c>
      <c r="W32" s="35">
        <v>80820045</v>
      </c>
      <c r="X32" s="280">
        <v>12534492</v>
      </c>
      <c r="Y32" s="13">
        <v>4.9105807146882813E-2</v>
      </c>
      <c r="Z32" s="13">
        <v>0.11180844346701101</v>
      </c>
      <c r="AA32" s="35">
        <v>8755.4265011455063</v>
      </c>
      <c r="AB32" s="13">
        <v>8.5233669200988738E-2</v>
      </c>
      <c r="AC32" s="35">
        <v>325</v>
      </c>
      <c r="AD32" s="35">
        <f t="shared" si="3"/>
        <v>2528163.076923077</v>
      </c>
      <c r="AE32" s="35">
        <f t="shared" si="4"/>
        <v>288.75384615384615</v>
      </c>
    </row>
    <row r="33" spans="1:72">
      <c r="A33" s="109">
        <f t="shared" si="7"/>
        <v>0.1140275704410975</v>
      </c>
      <c r="B33" s="109">
        <f t="shared" si="8"/>
        <v>8.8072926674253954E-2</v>
      </c>
      <c r="C33" s="123">
        <f t="shared" si="6"/>
        <v>227000</v>
      </c>
      <c r="D33" s="26">
        <v>26</v>
      </c>
      <c r="E33" s="12">
        <v>92672</v>
      </c>
      <c r="F33" s="312">
        <v>251</v>
      </c>
      <c r="G33" s="313">
        <v>811884000</v>
      </c>
      <c r="H33" s="16">
        <v>211089840</v>
      </c>
      <c r="I33" s="16">
        <v>43235000</v>
      </c>
      <c r="J33" s="35">
        <v>0</v>
      </c>
      <c r="K33" s="35">
        <v>50000</v>
      </c>
      <c r="L33" s="35">
        <v>254374840</v>
      </c>
      <c r="M33" s="35">
        <v>92577160</v>
      </c>
      <c r="N33" s="12">
        <v>71505000</v>
      </c>
      <c r="O33" s="128">
        <v>28421000</v>
      </c>
      <c r="P33" s="300">
        <v>2200000</v>
      </c>
      <c r="Q33" s="128">
        <v>6800000</v>
      </c>
      <c r="R33" s="35">
        <v>201503160</v>
      </c>
      <c r="S33" s="35">
        <v>3015000</v>
      </c>
      <c r="T33" s="35">
        <v>74760000</v>
      </c>
      <c r="U33" s="35">
        <v>0</v>
      </c>
      <c r="V33" s="35">
        <v>1270045</v>
      </c>
      <c r="W33" s="35">
        <v>79045045</v>
      </c>
      <c r="X33" s="280">
        <v>-26173365</v>
      </c>
      <c r="Y33" s="245">
        <v>-0.10289290009971112</v>
      </c>
      <c r="Z33" s="13">
        <v>0.1140275704410975</v>
      </c>
      <c r="AA33" s="35">
        <v>8760.8339088397788</v>
      </c>
      <c r="AB33" s="13">
        <v>8.8072926674253954E-2</v>
      </c>
      <c r="AC33" s="35">
        <v>315</v>
      </c>
      <c r="AD33" s="35">
        <f t="shared" si="3"/>
        <v>2577409.5238095238</v>
      </c>
      <c r="AE33" s="35">
        <f t="shared" si="4"/>
        <v>294.19682539682537</v>
      </c>
      <c r="BT33" s="35"/>
    </row>
    <row r="34" spans="1:72">
      <c r="A34" s="109">
        <f t="shared" si="7"/>
        <v>0.11303595625801906</v>
      </c>
      <c r="B34" s="109">
        <f t="shared" si="8"/>
        <v>8.6120560428060489E-2</v>
      </c>
      <c r="C34" s="123">
        <f t="shared" si="6"/>
        <v>216088.70967741936</v>
      </c>
      <c r="D34" s="26">
        <v>27</v>
      </c>
      <c r="E34" s="12">
        <v>88693</v>
      </c>
      <c r="F34" s="312">
        <v>246</v>
      </c>
      <c r="G34" s="313">
        <v>777834000</v>
      </c>
      <c r="H34" s="16">
        <v>202236840</v>
      </c>
      <c r="I34" s="16">
        <v>46475000</v>
      </c>
      <c r="J34" s="35">
        <v>0</v>
      </c>
      <c r="K34" s="35">
        <v>75000</v>
      </c>
      <c r="L34" s="35">
        <v>248786840</v>
      </c>
      <c r="M34" s="35">
        <v>87923210</v>
      </c>
      <c r="N34" s="12">
        <v>66987500</v>
      </c>
      <c r="O34" s="35">
        <v>0</v>
      </c>
      <c r="P34" s="16"/>
      <c r="Q34" s="35">
        <v>0</v>
      </c>
      <c r="R34" s="35">
        <v>154910710</v>
      </c>
      <c r="S34" s="35">
        <v>4565000</v>
      </c>
      <c r="T34" s="35">
        <v>73220000</v>
      </c>
      <c r="U34" s="35">
        <v>0</v>
      </c>
      <c r="V34" s="35">
        <v>1270044.9066666667</v>
      </c>
      <c r="W34" s="35">
        <v>79055044.906666666</v>
      </c>
      <c r="X34" s="280">
        <v>14821085.093333332</v>
      </c>
      <c r="Y34" s="13">
        <v>5.9573428776752549E-2</v>
      </c>
      <c r="Z34" s="13">
        <v>0.11303595625801906</v>
      </c>
      <c r="AA34" s="35">
        <v>8769.9592978025321</v>
      </c>
      <c r="AB34" s="13">
        <v>8.6120560428060489E-2</v>
      </c>
      <c r="AC34" s="35">
        <v>310</v>
      </c>
      <c r="AD34" s="35">
        <f t="shared" si="3"/>
        <v>2509141.935483871</v>
      </c>
      <c r="AE34" s="35">
        <f t="shared" si="4"/>
        <v>286.10645161290324</v>
      </c>
      <c r="BT34" s="35"/>
    </row>
    <row r="35" spans="1:72">
      <c r="A35" s="109">
        <f t="shared" si="7"/>
        <v>0.11721046055062294</v>
      </c>
      <c r="B35" s="109">
        <f t="shared" si="8"/>
        <v>8.6985755953378111E-2</v>
      </c>
      <c r="C35" s="123">
        <f t="shared" si="6"/>
        <v>242980.76923076922</v>
      </c>
      <c r="D35" s="26">
        <v>28</v>
      </c>
      <c r="E35" s="12">
        <v>99189</v>
      </c>
      <c r="F35" s="312">
        <v>247</v>
      </c>
      <c r="G35" s="313">
        <v>871522000</v>
      </c>
      <c r="H35" s="16">
        <v>226595720</v>
      </c>
      <c r="I35" s="16">
        <v>45975000</v>
      </c>
      <c r="J35" s="35">
        <v>0</v>
      </c>
      <c r="K35" s="35">
        <v>50000</v>
      </c>
      <c r="L35" s="35">
        <v>272620720</v>
      </c>
      <c r="M35" s="35">
        <v>102151495</v>
      </c>
      <c r="N35" s="12">
        <v>75810000</v>
      </c>
      <c r="O35" s="35">
        <v>0</v>
      </c>
      <c r="P35" s="16"/>
      <c r="Q35" s="35">
        <v>0</v>
      </c>
      <c r="R35" s="35">
        <v>177961495</v>
      </c>
      <c r="S35" s="35">
        <v>5680000</v>
      </c>
      <c r="T35" s="35">
        <v>74585000</v>
      </c>
      <c r="U35" s="35">
        <v>0</v>
      </c>
      <c r="V35" s="35">
        <v>1270045</v>
      </c>
      <c r="W35" s="35">
        <v>81535045</v>
      </c>
      <c r="X35" s="280">
        <v>13124180</v>
      </c>
      <c r="Y35" s="13">
        <v>4.814080162358899E-2</v>
      </c>
      <c r="Z35" s="13">
        <v>0.11721046055062294</v>
      </c>
      <c r="AA35" s="35">
        <v>8786.4783393319831</v>
      </c>
      <c r="AB35" s="13">
        <v>8.6985755953378111E-2</v>
      </c>
      <c r="AC35" s="35">
        <v>312</v>
      </c>
      <c r="AD35" s="35">
        <f t="shared" si="3"/>
        <v>2793339.7435897435</v>
      </c>
      <c r="AE35" s="35">
        <f t="shared" si="4"/>
        <v>317.91346153846155</v>
      </c>
      <c r="BT35" s="35"/>
    </row>
    <row r="36" spans="1:72">
      <c r="A36" s="109">
        <f t="shared" si="7"/>
        <v>0.11599214341652293</v>
      </c>
      <c r="B36" s="109">
        <f t="shared" si="8"/>
        <v>8.937983285526295E-2</v>
      </c>
      <c r="C36" s="123">
        <f t="shared" si="6"/>
        <v>235871.21212121213</v>
      </c>
      <c r="D36" s="26">
        <v>29</v>
      </c>
      <c r="E36" s="12">
        <v>99080</v>
      </c>
      <c r="F36" s="312">
        <v>261</v>
      </c>
      <c r="G36" s="313">
        <v>870862000</v>
      </c>
      <c r="H36" s="16">
        <v>226424120</v>
      </c>
      <c r="I36" s="16">
        <v>48125000</v>
      </c>
      <c r="J36" s="35">
        <v>0</v>
      </c>
      <c r="K36" s="35">
        <v>350000</v>
      </c>
      <c r="L36" s="35">
        <v>274899120</v>
      </c>
      <c r="M36" s="35">
        <v>101013150</v>
      </c>
      <c r="N36" s="12">
        <v>77837500</v>
      </c>
      <c r="O36" s="35">
        <v>0</v>
      </c>
      <c r="P36" s="16"/>
      <c r="Q36" s="35">
        <v>0</v>
      </c>
      <c r="R36" s="35">
        <v>178850650</v>
      </c>
      <c r="S36" s="35">
        <v>7135000</v>
      </c>
      <c r="T36" s="35">
        <v>78050000</v>
      </c>
      <c r="U36" s="35">
        <v>0</v>
      </c>
      <c r="V36" s="35">
        <v>1270045</v>
      </c>
      <c r="W36" s="35">
        <v>86455045</v>
      </c>
      <c r="X36" s="280">
        <v>9593425</v>
      </c>
      <c r="Y36" s="13">
        <v>3.4897983667608684E-2</v>
      </c>
      <c r="Z36" s="13">
        <v>0.11599214341652293</v>
      </c>
      <c r="AA36" s="35">
        <v>8789.4832458619294</v>
      </c>
      <c r="AB36" s="13">
        <v>8.937983285526295E-2</v>
      </c>
      <c r="AC36" s="35">
        <v>330</v>
      </c>
      <c r="AD36" s="35">
        <f t="shared" si="3"/>
        <v>2638975.7575757578</v>
      </c>
      <c r="AE36" s="35">
        <f t="shared" si="4"/>
        <v>300.24242424242425</v>
      </c>
      <c r="BT36" s="35"/>
    </row>
    <row r="37" spans="1:72">
      <c r="A37" s="109">
        <f t="shared" si="7"/>
        <v>0.11531747373809159</v>
      </c>
      <c r="B37" s="109">
        <f t="shared" si="8"/>
        <v>8.9794360745045251E-2</v>
      </c>
      <c r="C37" s="123">
        <f t="shared" si="6"/>
        <v>229795.32163742691</v>
      </c>
      <c r="D37" s="26">
        <v>30</v>
      </c>
      <c r="E37" s="12">
        <v>99636</v>
      </c>
      <c r="F37" s="312">
        <v>265</v>
      </c>
      <c r="G37" s="313">
        <v>875222000</v>
      </c>
      <c r="H37" s="16">
        <v>227557720</v>
      </c>
      <c r="I37" s="16">
        <v>49375000</v>
      </c>
      <c r="J37" s="35">
        <v>0</v>
      </c>
      <c r="K37" s="35">
        <v>325000</v>
      </c>
      <c r="L37" s="35">
        <v>277257720</v>
      </c>
      <c r="M37" s="35">
        <v>100928390</v>
      </c>
      <c r="N37" s="12">
        <v>78590000</v>
      </c>
      <c r="O37" s="128">
        <v>0</v>
      </c>
      <c r="P37" s="300">
        <v>1700000</v>
      </c>
      <c r="Q37" s="128">
        <v>6000000</v>
      </c>
      <c r="R37" s="35">
        <v>187218390</v>
      </c>
      <c r="S37" s="35">
        <v>7930000</v>
      </c>
      <c r="T37" s="35">
        <v>80115000</v>
      </c>
      <c r="U37" s="35">
        <v>0</v>
      </c>
      <c r="V37" s="35">
        <v>717606</v>
      </c>
      <c r="W37" s="35">
        <v>88762606</v>
      </c>
      <c r="X37" s="280">
        <v>1276724</v>
      </c>
      <c r="Y37" s="245">
        <v>4.6048275950620957E-3</v>
      </c>
      <c r="Z37" s="13">
        <v>0.11531747373809159</v>
      </c>
      <c r="AA37" s="35">
        <v>8784.1944678630207</v>
      </c>
      <c r="AB37" s="13">
        <v>8.9794360745045251E-2</v>
      </c>
      <c r="AC37" s="35">
        <v>342</v>
      </c>
      <c r="AD37" s="35">
        <f t="shared" si="3"/>
        <v>2559128.6549707605</v>
      </c>
      <c r="AE37" s="35">
        <f t="shared" si="4"/>
        <v>291.33333333333331</v>
      </c>
      <c r="BT37" s="35"/>
    </row>
    <row r="38" spans="1:72">
      <c r="A38" s="109">
        <f t="shared" si="7"/>
        <v>0.11320714715925095</v>
      </c>
      <c r="B38" s="109">
        <f t="shared" si="8"/>
        <v>8.6594238577575838E-2</v>
      </c>
      <c r="C38" s="123">
        <f t="shared" si="6"/>
        <v>226422.15568862276</v>
      </c>
      <c r="D38" s="26">
        <v>31</v>
      </c>
      <c r="E38" s="12">
        <v>99420</v>
      </c>
      <c r="F38" s="312">
        <v>262</v>
      </c>
      <c r="G38" s="313">
        <v>873326000</v>
      </c>
      <c r="H38" s="16">
        <v>227064760</v>
      </c>
      <c r="I38" s="16">
        <v>48350000</v>
      </c>
      <c r="J38" s="35">
        <v>0</v>
      </c>
      <c r="K38" s="35">
        <v>125000</v>
      </c>
      <c r="L38" s="35">
        <v>275539760</v>
      </c>
      <c r="M38" s="35">
        <v>98866745</v>
      </c>
      <c r="N38" s="12">
        <v>75625000</v>
      </c>
      <c r="O38" s="35">
        <v>0</v>
      </c>
      <c r="P38" s="16"/>
      <c r="Q38" s="35">
        <v>0</v>
      </c>
      <c r="R38" s="35">
        <v>174491745</v>
      </c>
      <c r="S38" s="35">
        <v>8130000</v>
      </c>
      <c r="T38" s="35">
        <v>78680000</v>
      </c>
      <c r="U38" s="35">
        <v>717607</v>
      </c>
      <c r="V38" s="35">
        <v>0</v>
      </c>
      <c r="W38" s="35">
        <v>87527607</v>
      </c>
      <c r="X38" s="280">
        <v>13520407.999999985</v>
      </c>
      <c r="Y38" s="13">
        <v>4.9068809524984651E-2</v>
      </c>
      <c r="Z38" s="13">
        <v>0.11320714715925095</v>
      </c>
      <c r="AA38" s="35">
        <v>8784.2084087708718</v>
      </c>
      <c r="AB38" s="13">
        <v>8.6594238577575838E-2</v>
      </c>
      <c r="AC38" s="35">
        <v>334</v>
      </c>
      <c r="AD38" s="35">
        <f t="shared" si="3"/>
        <v>2614748.5029940121</v>
      </c>
      <c r="AE38" s="35">
        <f t="shared" si="4"/>
        <v>297.66467065868261</v>
      </c>
      <c r="BT38" s="35"/>
    </row>
    <row r="39" spans="1:72">
      <c r="A39" s="109">
        <f t="shared" si="7"/>
        <v>0.11256090203554166</v>
      </c>
      <c r="B39" s="109">
        <f t="shared" si="8"/>
        <v>9.2718529783451492E-2</v>
      </c>
      <c r="C39" s="123">
        <f t="shared" si="6"/>
        <v>229845.13274336283</v>
      </c>
      <c r="D39" s="26">
        <v>32</v>
      </c>
      <c r="E39" s="12">
        <v>95589</v>
      </c>
      <c r="F39" s="312">
        <v>263</v>
      </c>
      <c r="G39" s="313">
        <v>840366000</v>
      </c>
      <c r="H39" s="16">
        <v>218495160</v>
      </c>
      <c r="I39" s="16">
        <v>48975000</v>
      </c>
      <c r="J39" s="35">
        <v>0</v>
      </c>
      <c r="K39" s="35">
        <v>0</v>
      </c>
      <c r="L39" s="35">
        <v>267470160</v>
      </c>
      <c r="M39" s="35">
        <v>94592355</v>
      </c>
      <c r="N39" s="12">
        <v>77917500</v>
      </c>
      <c r="O39" s="35">
        <v>0</v>
      </c>
      <c r="P39" s="16"/>
      <c r="Q39" s="35">
        <v>0</v>
      </c>
      <c r="R39" s="35">
        <v>172509855</v>
      </c>
      <c r="S39" s="35">
        <v>5340000</v>
      </c>
      <c r="T39" s="35">
        <v>79450000</v>
      </c>
      <c r="U39" s="35">
        <v>250000</v>
      </c>
      <c r="V39" s="35">
        <v>717606.16666666663</v>
      </c>
      <c r="W39" s="35">
        <v>85757606.166666672</v>
      </c>
      <c r="X39" s="280">
        <v>9202698.8333333135</v>
      </c>
      <c r="Y39" s="13">
        <v>3.4406450548851185E-2</v>
      </c>
      <c r="Z39" s="13">
        <v>0.11256090203554166</v>
      </c>
      <c r="AA39" s="35">
        <v>8791.4508991620369</v>
      </c>
      <c r="AB39" s="13">
        <v>9.2718529783451492E-2</v>
      </c>
      <c r="AC39" s="35">
        <v>339</v>
      </c>
      <c r="AD39" s="35">
        <f t="shared" si="3"/>
        <v>2478955.7522123894</v>
      </c>
      <c r="AE39" s="35">
        <f t="shared" si="4"/>
        <v>281.97345132743362</v>
      </c>
      <c r="BT39" s="35"/>
    </row>
    <row r="40" spans="1:72">
      <c r="A40" s="109">
        <f t="shared" si="7"/>
        <v>0.11292055212292081</v>
      </c>
      <c r="B40" s="109">
        <f t="shared" si="8"/>
        <v>9.4136635929858631E-2</v>
      </c>
      <c r="C40" s="123">
        <f t="shared" si="6"/>
        <v>234552.46913580247</v>
      </c>
      <c r="D40" s="26">
        <v>33</v>
      </c>
      <c r="E40" s="12">
        <v>91933</v>
      </c>
      <c r="F40" s="312">
        <v>254</v>
      </c>
      <c r="G40" s="313">
        <v>807284000</v>
      </c>
      <c r="H40" s="16">
        <v>209893840</v>
      </c>
      <c r="I40" s="16">
        <v>50525000</v>
      </c>
      <c r="J40" s="35">
        <v>0</v>
      </c>
      <c r="K40" s="35">
        <v>75000</v>
      </c>
      <c r="L40" s="35">
        <v>260493840</v>
      </c>
      <c r="M40" s="35">
        <v>91158955</v>
      </c>
      <c r="N40" s="12">
        <v>75995000</v>
      </c>
      <c r="O40" s="35">
        <v>0</v>
      </c>
      <c r="P40" s="16"/>
      <c r="Q40" s="35">
        <v>0</v>
      </c>
      <c r="R40" s="35">
        <v>167153955</v>
      </c>
      <c r="S40" s="35">
        <v>4675000</v>
      </c>
      <c r="T40" s="35">
        <v>76475000</v>
      </c>
      <c r="U40" s="35">
        <v>0</v>
      </c>
      <c r="V40" s="35">
        <v>717606.16666666663</v>
      </c>
      <c r="W40" s="35">
        <v>81867606.166666657</v>
      </c>
      <c r="X40" s="280">
        <v>11472278.833333343</v>
      </c>
      <c r="Y40" s="13">
        <v>4.4040499511747933E-2</v>
      </c>
      <c r="Z40" s="13">
        <v>0.11292055212292081</v>
      </c>
      <c r="AA40" s="35">
        <v>8781.2211066755135</v>
      </c>
      <c r="AB40" s="13">
        <v>9.4136635929858631E-2</v>
      </c>
      <c r="AC40" s="35">
        <v>324</v>
      </c>
      <c r="AD40" s="35">
        <f t="shared" si="3"/>
        <v>2491617.2839506171</v>
      </c>
      <c r="AE40" s="35">
        <f t="shared" ref="AE40:AE42" si="9">E40/AC40</f>
        <v>283.74382716049382</v>
      </c>
      <c r="BT40" s="35"/>
    </row>
    <row r="41" spans="1:72" ht="15" customHeight="1">
      <c r="A41" s="109">
        <f t="shared" si="7"/>
        <v>0.10920660648176166</v>
      </c>
      <c r="B41" s="109">
        <f t="shared" si="8"/>
        <v>9.6546516125467371E-2</v>
      </c>
      <c r="C41" s="123">
        <f t="shared" si="6"/>
        <v>221707.55287009064</v>
      </c>
      <c r="D41" s="26">
        <v>34</v>
      </c>
      <c r="E41" s="12">
        <v>86546</v>
      </c>
      <c r="F41" s="312">
        <v>248</v>
      </c>
      <c r="G41" s="313">
        <v>760102000</v>
      </c>
      <c r="H41" s="16">
        <v>197626520</v>
      </c>
      <c r="I41" s="16">
        <v>50845000</v>
      </c>
      <c r="J41" s="35">
        <v>0</v>
      </c>
      <c r="K41" s="35">
        <v>125000</v>
      </c>
      <c r="L41" s="35">
        <v>248596520</v>
      </c>
      <c r="M41" s="35">
        <v>83008160</v>
      </c>
      <c r="N41" s="12">
        <v>73385200</v>
      </c>
      <c r="O41" s="35">
        <v>0</v>
      </c>
      <c r="P41" s="16"/>
      <c r="Q41" s="35">
        <v>0</v>
      </c>
      <c r="R41" s="35">
        <v>156393360</v>
      </c>
      <c r="S41" s="35">
        <v>5075000</v>
      </c>
      <c r="T41" s="35">
        <v>76335000</v>
      </c>
      <c r="U41" s="35">
        <v>75000</v>
      </c>
      <c r="V41" s="35">
        <v>717606.16666666698</v>
      </c>
      <c r="W41" s="35">
        <v>82202606.166666657</v>
      </c>
      <c r="X41" s="280">
        <v>10000553.833333343</v>
      </c>
      <c r="Y41" s="13">
        <v>4.0228052401269913E-2</v>
      </c>
      <c r="Z41" s="13">
        <v>0.10920660648176166</v>
      </c>
      <c r="AA41" s="35">
        <v>8782.6358237238001</v>
      </c>
      <c r="AB41" s="13">
        <v>9.6546516125467371E-2</v>
      </c>
      <c r="AC41" s="35">
        <v>331</v>
      </c>
      <c r="AD41" s="35">
        <f t="shared" si="3"/>
        <v>2296380.6646525678</v>
      </c>
      <c r="AE41" s="35">
        <f t="shared" si="9"/>
        <v>261.46827794561932</v>
      </c>
      <c r="BT41" s="35"/>
    </row>
    <row r="42" spans="1:72">
      <c r="A42" s="109">
        <f t="shared" si="7"/>
        <v>0.11155917215564519</v>
      </c>
      <c r="B42" s="109">
        <f t="shared" si="8"/>
        <v>0.11502674365744905</v>
      </c>
      <c r="C42" s="123">
        <f t="shared" si="6"/>
        <v>276569.76744186046</v>
      </c>
      <c r="D42" s="26">
        <v>35</v>
      </c>
      <c r="E42" s="12">
        <v>94065</v>
      </c>
      <c r="F42" s="312">
        <v>251</v>
      </c>
      <c r="G42" s="313">
        <v>827112000</v>
      </c>
      <c r="H42" s="16">
        <v>215049120</v>
      </c>
      <c r="I42" s="16">
        <v>53870000</v>
      </c>
      <c r="J42" s="35">
        <v>0</v>
      </c>
      <c r="K42" s="35">
        <v>175000</v>
      </c>
      <c r="L42" s="35">
        <v>269094120</v>
      </c>
      <c r="M42" s="35">
        <v>92271930</v>
      </c>
      <c r="N42" s="12">
        <v>95140000</v>
      </c>
      <c r="O42" s="128">
        <v>0</v>
      </c>
      <c r="P42" s="300">
        <v>900000</v>
      </c>
      <c r="Q42" s="128">
        <v>6000000</v>
      </c>
      <c r="R42" s="35">
        <v>194311930</v>
      </c>
      <c r="S42" s="35">
        <v>6950000</v>
      </c>
      <c r="T42" s="35">
        <v>80220000</v>
      </c>
      <c r="U42" s="35">
        <v>967552.17700438527</v>
      </c>
      <c r="V42" s="35">
        <v>717606.16666666663</v>
      </c>
      <c r="W42" s="35">
        <v>88855158.343671069</v>
      </c>
      <c r="X42" s="280">
        <v>-14072968.343671061</v>
      </c>
      <c r="Y42" s="245">
        <v>-5.2297569131837814E-2</v>
      </c>
      <c r="Z42" s="13">
        <v>0.11155917215564519</v>
      </c>
      <c r="AA42" s="35">
        <v>8792.9835751873707</v>
      </c>
      <c r="AB42" s="13">
        <v>0.11502674365744905</v>
      </c>
      <c r="AC42" s="35">
        <v>344</v>
      </c>
      <c r="AD42" s="35">
        <f t="shared" si="3"/>
        <v>2404395.3488372094</v>
      </c>
      <c r="AE42" s="35">
        <f t="shared" si="9"/>
        <v>273.44476744186045</v>
      </c>
      <c r="BT42" s="35"/>
    </row>
    <row r="43" spans="1:72">
      <c r="A43" s="109">
        <f t="shared" si="7"/>
        <v>0.1174646585167658</v>
      </c>
      <c r="B43" s="109">
        <f t="shared" si="8"/>
        <v>0.10479323413466812</v>
      </c>
      <c r="C43" s="123">
        <f t="shared" si="6"/>
        <v>276179.94100294984</v>
      </c>
      <c r="D43" s="26">
        <v>36</v>
      </c>
      <c r="E43" s="12">
        <v>101472</v>
      </c>
      <c r="F43" s="312">
        <v>244</v>
      </c>
      <c r="G43" s="313">
        <v>893426000</v>
      </c>
      <c r="H43" s="16">
        <v>232290760</v>
      </c>
      <c r="I43" s="16">
        <v>51275000</v>
      </c>
      <c r="J43" s="35">
        <v>0</v>
      </c>
      <c r="K43" s="35">
        <v>0</v>
      </c>
      <c r="L43" s="35">
        <v>284485760</v>
      </c>
      <c r="M43" s="35">
        <v>104945980</v>
      </c>
      <c r="N43" s="12">
        <v>93625000</v>
      </c>
      <c r="O43" s="35">
        <v>0</v>
      </c>
      <c r="P43" s="16"/>
      <c r="Q43" s="35">
        <v>0</v>
      </c>
      <c r="R43" s="35">
        <v>198570980</v>
      </c>
      <c r="S43" s="35">
        <v>4050000</v>
      </c>
      <c r="T43" s="35">
        <v>79100000</v>
      </c>
      <c r="U43" s="35">
        <v>0</v>
      </c>
      <c r="V43" s="35">
        <v>721048.0744444445</v>
      </c>
      <c r="W43" s="35">
        <v>83871048.074444443</v>
      </c>
      <c r="X43" s="280">
        <v>2043731.925555557</v>
      </c>
      <c r="Y43" s="13">
        <v>7.1839515818139963E-3</v>
      </c>
      <c r="Z43" s="13">
        <v>0.1174646585167658</v>
      </c>
      <c r="AA43" s="35">
        <v>8804.6554714601079</v>
      </c>
      <c r="AB43" s="13">
        <v>0.10479323413466812</v>
      </c>
      <c r="AC43" s="35">
        <v>339</v>
      </c>
      <c r="AD43" s="35">
        <f t="shared" si="3"/>
        <v>2635474.9262536871</v>
      </c>
      <c r="AE43" s="35">
        <f t="shared" ref="AE43:AE47" si="10">E43/AC43</f>
        <v>299.3274336283186</v>
      </c>
      <c r="BT43" s="35"/>
    </row>
    <row r="44" spans="1:72">
      <c r="A44" s="109">
        <f t="shared" si="7"/>
        <v>0.10988609144621281</v>
      </c>
      <c r="B44" s="109">
        <f t="shared" si="8"/>
        <v>0.11103169111366269</v>
      </c>
      <c r="C44" s="123">
        <f t="shared" si="6"/>
        <v>258436.57817109145</v>
      </c>
      <c r="D44" s="26">
        <v>37</v>
      </c>
      <c r="E44" s="12">
        <v>88677</v>
      </c>
      <c r="F44" s="312">
        <v>247</v>
      </c>
      <c r="G44" s="313">
        <v>789054000</v>
      </c>
      <c r="H44" s="16">
        <v>205154040</v>
      </c>
      <c r="I44" s="16">
        <v>53400000</v>
      </c>
      <c r="J44" s="35">
        <v>0</v>
      </c>
      <c r="K44" s="35">
        <v>150000</v>
      </c>
      <c r="L44" s="35">
        <v>259564040</v>
      </c>
      <c r="M44" s="35">
        <v>86706060</v>
      </c>
      <c r="N44" s="12">
        <v>87610000</v>
      </c>
      <c r="O44" s="35">
        <v>0</v>
      </c>
      <c r="P44" s="16"/>
      <c r="Q44" s="35">
        <v>0</v>
      </c>
      <c r="R44" s="35">
        <v>174316060</v>
      </c>
      <c r="S44" s="35">
        <v>4690000</v>
      </c>
      <c r="T44" s="35">
        <v>80045000</v>
      </c>
      <c r="U44" s="35">
        <v>0</v>
      </c>
      <c r="V44" s="35">
        <v>721048.0744444445</v>
      </c>
      <c r="W44" s="35">
        <v>85456048.074444443</v>
      </c>
      <c r="X44" s="280">
        <v>-208068.07444444299</v>
      </c>
      <c r="Y44" s="13">
        <v>-8.0160593294989165E-4</v>
      </c>
      <c r="Z44" s="13">
        <v>0.10988609144621281</v>
      </c>
      <c r="AA44" s="35">
        <v>8898.0682702391823</v>
      </c>
      <c r="AB44" s="13">
        <v>0.11103169111366269</v>
      </c>
      <c r="AC44" s="35">
        <v>339</v>
      </c>
      <c r="AD44" s="35">
        <f t="shared" si="3"/>
        <v>2327592.9203539821</v>
      </c>
      <c r="AE44" s="35">
        <f t="shared" si="10"/>
        <v>261.5840707964602</v>
      </c>
    </row>
    <row r="45" spans="1:72">
      <c r="A45" s="109">
        <f t="shared" si="7"/>
        <v>0.10905628060632641</v>
      </c>
      <c r="B45" s="109">
        <f t="shared" si="8"/>
        <v>0.12144564368332135</v>
      </c>
      <c r="C45" s="123">
        <f t="shared" si="6"/>
        <v>280224.55089820357</v>
      </c>
      <c r="D45" s="26">
        <v>38</v>
      </c>
      <c r="E45" s="12">
        <v>87633</v>
      </c>
      <c r="F45" s="312">
        <v>239</v>
      </c>
      <c r="G45" s="313">
        <v>770674000</v>
      </c>
      <c r="H45" s="16">
        <v>200375240</v>
      </c>
      <c r="I45" s="16">
        <v>50850000</v>
      </c>
      <c r="J45" s="35">
        <v>0</v>
      </c>
      <c r="K45" s="35">
        <v>100000</v>
      </c>
      <c r="L45" s="35">
        <v>252525240</v>
      </c>
      <c r="M45" s="35">
        <v>84046840</v>
      </c>
      <c r="N45" s="12">
        <v>93595000</v>
      </c>
      <c r="O45" s="35">
        <v>0</v>
      </c>
      <c r="P45" s="16"/>
      <c r="Q45" s="35">
        <v>0</v>
      </c>
      <c r="R45" s="35">
        <v>177641840</v>
      </c>
      <c r="S45" s="35">
        <v>5100000</v>
      </c>
      <c r="T45" s="35">
        <v>77595000</v>
      </c>
      <c r="U45" s="35">
        <v>0</v>
      </c>
      <c r="V45" s="35">
        <v>721048</v>
      </c>
      <c r="W45" s="35">
        <v>83416048</v>
      </c>
      <c r="X45" s="280">
        <v>-8532648</v>
      </c>
      <c r="Y45" s="13">
        <v>-3.3789287755948673E-2</v>
      </c>
      <c r="Z45" s="13">
        <v>0.10905628060632641</v>
      </c>
      <c r="AA45" s="35">
        <v>8794.3354672326641</v>
      </c>
      <c r="AB45" s="13">
        <v>0.12144564368332135</v>
      </c>
      <c r="AC45" s="35">
        <v>334</v>
      </c>
      <c r="AD45" s="35">
        <f t="shared" si="3"/>
        <v>2307407.1856287424</v>
      </c>
      <c r="AE45" s="35">
        <f t="shared" si="10"/>
        <v>262.37425149700601</v>
      </c>
    </row>
    <row r="46" spans="1:72">
      <c r="A46" s="109">
        <f t="shared" si="7"/>
        <v>0.11326735895405247</v>
      </c>
      <c r="B46" s="109">
        <f t="shared" si="8"/>
        <v>0.10624386473246678</v>
      </c>
      <c r="C46" s="123">
        <f t="shared" si="6"/>
        <v>257514.36781609195</v>
      </c>
      <c r="D46" s="26">
        <v>39</v>
      </c>
      <c r="E46" s="12">
        <v>95815</v>
      </c>
      <c r="F46" s="312">
        <v>251</v>
      </c>
      <c r="G46" s="313">
        <v>843484000</v>
      </c>
      <c r="H46" s="16">
        <v>219305840</v>
      </c>
      <c r="I46" s="16">
        <v>52475000</v>
      </c>
      <c r="J46" s="35">
        <v>0</v>
      </c>
      <c r="K46" s="35">
        <v>350000</v>
      </c>
      <c r="L46" s="35">
        <v>273780840</v>
      </c>
      <c r="M46" s="35">
        <v>95539205</v>
      </c>
      <c r="N46" s="12">
        <v>89615000</v>
      </c>
      <c r="O46" s="128">
        <v>0</v>
      </c>
      <c r="P46" s="300">
        <v>1300000</v>
      </c>
      <c r="Q46" s="128">
        <v>4400000</v>
      </c>
      <c r="R46" s="35">
        <v>190854205</v>
      </c>
      <c r="S46" s="35">
        <v>5300000</v>
      </c>
      <c r="T46" s="35">
        <v>80780000</v>
      </c>
      <c r="U46" s="35">
        <v>0</v>
      </c>
      <c r="V46" s="35">
        <v>721048</v>
      </c>
      <c r="W46" s="35">
        <v>86801048</v>
      </c>
      <c r="X46" s="280">
        <v>-3874413</v>
      </c>
      <c r="Y46" s="245">
        <v>-1.4151512574802532E-2</v>
      </c>
      <c r="Z46" s="13">
        <v>0.11326735895405247</v>
      </c>
      <c r="AA46" s="35">
        <v>8803.2562751134992</v>
      </c>
      <c r="AB46" s="13">
        <v>0.10624386473246678</v>
      </c>
      <c r="AC46" s="35">
        <v>348</v>
      </c>
      <c r="AD46" s="35">
        <f t="shared" si="3"/>
        <v>2423804.5977011495</v>
      </c>
      <c r="AE46" s="35">
        <f t="shared" si="10"/>
        <v>275.33045977011494</v>
      </c>
    </row>
    <row r="47" spans="1:72">
      <c r="A47" s="109">
        <f t="shared" si="7"/>
        <v>0.10762783229660236</v>
      </c>
      <c r="B47" s="109">
        <f t="shared" si="8"/>
        <v>0.1050516618884722</v>
      </c>
      <c r="C47" s="123">
        <f t="shared" si="6"/>
        <v>253629.51807228915</v>
      </c>
      <c r="D47" s="26">
        <v>40</v>
      </c>
      <c r="E47" s="12">
        <v>91018</v>
      </c>
      <c r="F47" s="312">
        <v>243</v>
      </c>
      <c r="G47" s="313">
        <v>801558000</v>
      </c>
      <c r="H47" s="16">
        <v>208405080</v>
      </c>
      <c r="I47" s="16">
        <v>52175000</v>
      </c>
      <c r="J47" s="35">
        <v>0</v>
      </c>
      <c r="K47" s="35">
        <v>150000</v>
      </c>
      <c r="L47" s="35">
        <v>262630080</v>
      </c>
      <c r="M47" s="35">
        <v>86269950</v>
      </c>
      <c r="N47" s="12">
        <v>84205000</v>
      </c>
      <c r="O47" s="35">
        <v>0</v>
      </c>
      <c r="P47" s="16"/>
      <c r="Q47" s="35">
        <v>0</v>
      </c>
      <c r="R47" s="35">
        <v>170474950</v>
      </c>
      <c r="S47" s="35">
        <v>5100000</v>
      </c>
      <c r="T47" s="35">
        <v>77665000</v>
      </c>
      <c r="U47" s="35">
        <v>750000</v>
      </c>
      <c r="V47" s="35">
        <v>702681.82652329758</v>
      </c>
      <c r="W47" s="35">
        <v>84217681.826523304</v>
      </c>
      <c r="X47" s="280">
        <v>7937448.1734766643</v>
      </c>
      <c r="Y47" s="13">
        <v>3.0222921051071775E-2</v>
      </c>
      <c r="Z47" s="13">
        <v>0.10762783229660236</v>
      </c>
      <c r="AA47" s="35">
        <v>8806.5877079259044</v>
      </c>
      <c r="AB47" s="13">
        <v>0.1050516618884722</v>
      </c>
      <c r="AC47" s="35">
        <v>332</v>
      </c>
      <c r="AD47" s="35">
        <f t="shared" si="3"/>
        <v>2414331.3253012048</v>
      </c>
      <c r="AE47" s="35">
        <f t="shared" si="10"/>
        <v>274.15060240963857</v>
      </c>
      <c r="AF47" s="35"/>
    </row>
    <row r="48" spans="1:72">
      <c r="A48" s="109">
        <f t="shared" si="7"/>
        <v>0.11365173426580233</v>
      </c>
      <c r="B48" s="109">
        <f t="shared" si="8"/>
        <v>0.10366782495279254</v>
      </c>
      <c r="C48" s="123">
        <f t="shared" si="6"/>
        <v>258981.76291793314</v>
      </c>
      <c r="D48" s="26">
        <v>41</v>
      </c>
      <c r="E48" s="12">
        <v>93244</v>
      </c>
      <c r="F48" s="312">
        <v>252</v>
      </c>
      <c r="G48" s="313">
        <v>821904000</v>
      </c>
      <c r="H48" s="16">
        <v>213657040</v>
      </c>
      <c r="I48" s="16">
        <v>49775000</v>
      </c>
      <c r="J48" s="35">
        <v>0</v>
      </c>
      <c r="K48" s="35">
        <v>75000</v>
      </c>
      <c r="L48" s="35">
        <v>264057040</v>
      </c>
      <c r="M48" s="35">
        <v>93410815</v>
      </c>
      <c r="N48" s="12">
        <v>85205000</v>
      </c>
      <c r="O48" s="35">
        <v>0</v>
      </c>
      <c r="P48" s="16"/>
      <c r="Q48" s="35">
        <v>0</v>
      </c>
      <c r="R48" s="35">
        <v>178615815</v>
      </c>
      <c r="S48" s="35">
        <v>5700000</v>
      </c>
      <c r="T48" s="35">
        <v>76510000</v>
      </c>
      <c r="U48" s="35">
        <v>0</v>
      </c>
      <c r="V48" s="35">
        <v>696052.75268817251</v>
      </c>
      <c r="W48" s="35">
        <v>82906052.752688169</v>
      </c>
      <c r="X48" s="280">
        <v>2535172.2473118305</v>
      </c>
      <c r="Y48" s="13">
        <v>9.6008508135660021E-3</v>
      </c>
      <c r="Z48" s="13">
        <v>0.11365173426580233</v>
      </c>
      <c r="AA48" s="35">
        <v>8814.5510703101536</v>
      </c>
      <c r="AB48" s="13">
        <v>0.10366782495279254</v>
      </c>
      <c r="AC48" s="35">
        <v>329</v>
      </c>
      <c r="AD48" s="35">
        <f t="shared" ref="AD48:AD56" si="11">G48/AC48</f>
        <v>2498188.4498480242</v>
      </c>
      <c r="AE48" s="35">
        <f t="shared" ref="AE48:AE56" si="12">E48/AC48</f>
        <v>283.41641337386017</v>
      </c>
    </row>
    <row r="49" spans="1:44">
      <c r="A49" s="109">
        <f t="shared" si="7"/>
        <v>0.11195518107919053</v>
      </c>
      <c r="B49" s="109">
        <f t="shared" si="8"/>
        <v>0.10443433202555032</v>
      </c>
      <c r="C49" s="123">
        <f t="shared" si="6"/>
        <v>258099.04153354632</v>
      </c>
      <c r="D49" s="26">
        <v>42</v>
      </c>
      <c r="E49" s="12">
        <v>87894</v>
      </c>
      <c r="F49" s="312">
        <v>243</v>
      </c>
      <c r="G49" s="313">
        <v>773548300</v>
      </c>
      <c r="H49" s="16">
        <v>201047261</v>
      </c>
      <c r="I49" s="16">
        <v>48500000</v>
      </c>
      <c r="J49" s="35">
        <v>0</v>
      </c>
      <c r="K49" s="35">
        <v>0</v>
      </c>
      <c r="L49" s="35">
        <v>251672261</v>
      </c>
      <c r="M49" s="35">
        <v>86602740</v>
      </c>
      <c r="N49" s="12">
        <v>80785000</v>
      </c>
      <c r="O49" s="35">
        <v>0</v>
      </c>
      <c r="P49" s="16"/>
      <c r="Q49" s="35">
        <v>0</v>
      </c>
      <c r="R49" s="35">
        <v>167387740</v>
      </c>
      <c r="S49" s="35">
        <v>4900000</v>
      </c>
      <c r="T49" s="35">
        <v>73360000</v>
      </c>
      <c r="U49" s="35">
        <v>0</v>
      </c>
      <c r="V49" s="35">
        <v>570203.29032258072</v>
      </c>
      <c r="W49" s="35">
        <v>78830203.290322572</v>
      </c>
      <c r="X49" s="280">
        <v>5454317.7096774206</v>
      </c>
      <c r="Y49" s="13">
        <v>2.1672303844711041E-2</v>
      </c>
      <c r="Z49" s="13">
        <v>0.11195518107919053</v>
      </c>
      <c r="AA49" s="35">
        <v>8800.922702346008</v>
      </c>
      <c r="AB49" s="13">
        <v>0.10443433202555032</v>
      </c>
      <c r="AC49" s="35">
        <v>313</v>
      </c>
      <c r="AD49" s="35">
        <f t="shared" si="11"/>
        <v>2471400.3194888178</v>
      </c>
      <c r="AE49" s="35">
        <f t="shared" si="12"/>
        <v>280.81150159744408</v>
      </c>
    </row>
    <row r="50" spans="1:44">
      <c r="A50" s="109">
        <f t="shared" si="7"/>
        <v>0.1038550391189639</v>
      </c>
      <c r="B50" s="109">
        <f t="shared" si="8"/>
        <v>0.12074167846416585</v>
      </c>
      <c r="C50" s="123">
        <f t="shared" si="6"/>
        <v>255835.96214511042</v>
      </c>
      <c r="D50" s="26">
        <v>43</v>
      </c>
      <c r="E50" s="12">
        <v>75697</v>
      </c>
      <c r="F50" s="312">
        <v>246</v>
      </c>
      <c r="G50" s="313">
        <v>671681900</v>
      </c>
      <c r="H50" s="16">
        <v>174560553</v>
      </c>
      <c r="I50" s="16">
        <v>48400000</v>
      </c>
      <c r="J50" s="35">
        <v>0</v>
      </c>
      <c r="K50" s="35">
        <v>0</v>
      </c>
      <c r="L50" s="35">
        <v>225035553</v>
      </c>
      <c r="M50" s="35">
        <v>69757550</v>
      </c>
      <c r="N50" s="12">
        <v>81100000</v>
      </c>
      <c r="O50" s="128">
        <v>0</v>
      </c>
      <c r="P50" s="300">
        <v>600000</v>
      </c>
      <c r="Q50" s="128">
        <v>4200000</v>
      </c>
      <c r="R50" s="35">
        <v>155657550</v>
      </c>
      <c r="S50" s="35">
        <v>6475000</v>
      </c>
      <c r="T50" s="35">
        <v>73325000</v>
      </c>
      <c r="U50" s="35">
        <v>0</v>
      </c>
      <c r="V50" s="35">
        <v>570204</v>
      </c>
      <c r="W50" s="35">
        <v>80370204</v>
      </c>
      <c r="X50" s="280">
        <v>-10992201</v>
      </c>
      <c r="Y50" s="245">
        <v>-4.8846508267073693E-2</v>
      </c>
      <c r="Z50" s="13">
        <v>0.1038550391189639</v>
      </c>
      <c r="AA50" s="35">
        <v>8873.2961676156247</v>
      </c>
      <c r="AB50" s="13">
        <v>0.12074167846416585</v>
      </c>
      <c r="AC50" s="35">
        <v>317</v>
      </c>
      <c r="AD50" s="35">
        <f t="shared" si="11"/>
        <v>2118870.3470031545</v>
      </c>
      <c r="AE50" s="35">
        <f t="shared" si="12"/>
        <v>238.79179810725552</v>
      </c>
    </row>
    <row r="51" spans="1:44">
      <c r="A51" s="109">
        <f t="shared" si="7"/>
        <v>0.10414300029651113</v>
      </c>
      <c r="B51" s="109">
        <f t="shared" si="8"/>
        <v>0.11882557582581951</v>
      </c>
      <c r="C51" s="123">
        <f>N51/AC51</f>
        <v>255443.09677419355</v>
      </c>
      <c r="D51" s="26">
        <v>44</v>
      </c>
      <c r="E51" s="12">
        <v>76460</v>
      </c>
      <c r="F51" s="12">
        <v>239</v>
      </c>
      <c r="G51" s="313">
        <v>666416800</v>
      </c>
      <c r="H51" s="16">
        <v>173061116</v>
      </c>
      <c r="I51" s="16">
        <v>46300000</v>
      </c>
      <c r="J51" s="35">
        <v>0</v>
      </c>
      <c r="K51" s="35">
        <v>100000</v>
      </c>
      <c r="L51" s="35">
        <v>221736115.99999997</v>
      </c>
      <c r="M51" s="35">
        <v>69402645</v>
      </c>
      <c r="N51" s="12">
        <v>79187360</v>
      </c>
      <c r="O51" s="35">
        <v>0</v>
      </c>
      <c r="P51" s="16"/>
      <c r="Q51" s="35">
        <v>0</v>
      </c>
      <c r="R51" s="35">
        <v>148590004.99999997</v>
      </c>
      <c r="S51" s="35">
        <v>5650000</v>
      </c>
      <c r="T51" s="35">
        <v>72135000</v>
      </c>
      <c r="U51" s="35">
        <v>0</v>
      </c>
      <c r="V51" s="35">
        <v>574835.26451612916</v>
      </c>
      <c r="W51" s="35">
        <v>78234835.26451613</v>
      </c>
      <c r="X51" s="280">
        <v>-5088724.2645161254</v>
      </c>
      <c r="Y51" s="13">
        <v>-2.2949460630563794E-2</v>
      </c>
      <c r="Z51" s="13">
        <v>0.10414300029651113</v>
      </c>
      <c r="AA51" s="35">
        <v>8715.8880460371438</v>
      </c>
      <c r="AB51" s="13">
        <v>0.11882557582581951</v>
      </c>
      <c r="AC51" s="35">
        <v>310</v>
      </c>
      <c r="AD51" s="35">
        <f t="shared" si="11"/>
        <v>2149731.6129032257</v>
      </c>
      <c r="AE51" s="35">
        <f t="shared" si="12"/>
        <v>246.64516129032259</v>
      </c>
    </row>
    <row r="52" spans="1:44">
      <c r="A52" s="109">
        <f t="shared" ref="A52" si="13">M52/G52</f>
        <v>0.11030933711149653</v>
      </c>
      <c r="B52" s="109">
        <f t="shared" ref="B52" si="14">N52/G52</f>
        <v>0.10919895883376353</v>
      </c>
      <c r="C52" s="123">
        <f>N52/AC52</f>
        <v>254636.07594936708</v>
      </c>
      <c r="D52" s="26">
        <v>45</v>
      </c>
      <c r="E52" s="12">
        <v>84489</v>
      </c>
      <c r="F52" s="12">
        <v>251</v>
      </c>
      <c r="G52" s="313">
        <v>736866000</v>
      </c>
      <c r="H52" s="16">
        <v>191300160</v>
      </c>
      <c r="I52" s="16">
        <v>48175000</v>
      </c>
      <c r="J52" s="35">
        <v>0</v>
      </c>
      <c r="K52" s="35">
        <v>0</v>
      </c>
      <c r="L52" s="35">
        <v>242200160</v>
      </c>
      <c r="M52" s="35">
        <v>81283200</v>
      </c>
      <c r="N52" s="12">
        <v>80465000</v>
      </c>
      <c r="O52" s="35">
        <v>0</v>
      </c>
      <c r="P52" s="16"/>
      <c r="Q52" s="35">
        <v>0</v>
      </c>
      <c r="R52" s="35">
        <v>161748200</v>
      </c>
      <c r="S52" s="35">
        <v>4000000</v>
      </c>
      <c r="T52" s="35">
        <v>73535000</v>
      </c>
      <c r="U52" s="35">
        <v>0</v>
      </c>
      <c r="V52" s="35">
        <v>588392.69999999995</v>
      </c>
      <c r="W52" s="35">
        <v>78123392.699999988</v>
      </c>
      <c r="X52" s="280">
        <v>2328567.3000000082</v>
      </c>
      <c r="Y52" s="13">
        <v>9.6142269270177542E-3</v>
      </c>
      <c r="Z52" s="13">
        <v>0.11030933711149653</v>
      </c>
      <c r="AA52" s="35">
        <v>8721.4430280864963</v>
      </c>
      <c r="AB52" s="13">
        <v>0.10919895883376353</v>
      </c>
      <c r="AC52" s="35">
        <v>316</v>
      </c>
      <c r="AD52" s="35">
        <f t="shared" si="11"/>
        <v>2331854.4303797469</v>
      </c>
      <c r="AE52" s="35">
        <f t="shared" si="12"/>
        <v>267.37025316455697</v>
      </c>
    </row>
    <row r="53" spans="1:44">
      <c r="A53" s="109">
        <f t="shared" ref="A53:A54" si="15">M53/G53</f>
        <v>0.1103592256281862</v>
      </c>
      <c r="B53" s="109">
        <f t="shared" ref="B53:B54" si="16">N53/G53</f>
        <v>0.10978988891438068</v>
      </c>
      <c r="C53" s="123">
        <f t="shared" ref="C53:C54" si="17">N53/AC53</f>
        <v>255841.42394822006</v>
      </c>
      <c r="D53" s="26">
        <v>46</v>
      </c>
      <c r="E53" s="12">
        <v>82594</v>
      </c>
      <c r="F53" s="12">
        <v>244</v>
      </c>
      <c r="G53" s="313">
        <v>720057200</v>
      </c>
      <c r="H53" s="16">
        <v>186872264</v>
      </c>
      <c r="I53" s="16">
        <v>47000000</v>
      </c>
      <c r="J53" s="35">
        <v>0</v>
      </c>
      <c r="K53" s="35">
        <v>0</v>
      </c>
      <c r="L53" s="35">
        <v>236722264</v>
      </c>
      <c r="M53" s="35">
        <v>79464955</v>
      </c>
      <c r="N53" s="12">
        <v>79055000</v>
      </c>
      <c r="O53" s="35">
        <v>0</v>
      </c>
      <c r="P53" s="16"/>
      <c r="Q53" s="35">
        <v>0</v>
      </c>
      <c r="R53" s="35">
        <v>158519955</v>
      </c>
      <c r="S53" s="35">
        <v>5333333.333333334</v>
      </c>
      <c r="T53" s="35">
        <v>71890000</v>
      </c>
      <c r="U53" s="35">
        <v>0</v>
      </c>
      <c r="V53" s="35">
        <v>588392.69999999995</v>
      </c>
      <c r="W53" s="35">
        <v>77811726.033333346</v>
      </c>
      <c r="X53" s="280">
        <v>390582.96666667366</v>
      </c>
      <c r="Y53" s="13">
        <v>1.6499629568711529E-3</v>
      </c>
      <c r="Z53" s="13">
        <v>0.1103592256281862</v>
      </c>
      <c r="AA53" s="35">
        <v>8718.0327868852455</v>
      </c>
      <c r="AB53" s="13">
        <v>0.10978988891438068</v>
      </c>
      <c r="AC53" s="35">
        <v>309</v>
      </c>
      <c r="AD53" s="35">
        <f t="shared" si="11"/>
        <v>2330282.2006472494</v>
      </c>
      <c r="AE53" s="35">
        <f t="shared" si="12"/>
        <v>267.29449838187702</v>
      </c>
    </row>
    <row r="54" spans="1:44">
      <c r="A54" s="109">
        <f t="shared" si="15"/>
        <v>0.10359645926856978</v>
      </c>
      <c r="B54" s="109">
        <f t="shared" si="16"/>
        <v>0.12395931774140223</v>
      </c>
      <c r="C54" s="123">
        <f t="shared" si="17"/>
        <v>256990.29126213593</v>
      </c>
      <c r="D54" s="26">
        <v>47</v>
      </c>
      <c r="E54" s="12">
        <v>73695</v>
      </c>
      <c r="F54" s="12">
        <v>240</v>
      </c>
      <c r="G54" s="313">
        <v>640613400</v>
      </c>
      <c r="H54" s="16">
        <v>166275738</v>
      </c>
      <c r="I54" s="16">
        <v>46650000</v>
      </c>
      <c r="J54" s="35">
        <v>0</v>
      </c>
      <c r="K54" s="35">
        <v>0</v>
      </c>
      <c r="L54" s="35">
        <v>215930738</v>
      </c>
      <c r="M54" s="35">
        <v>66365280</v>
      </c>
      <c r="N54" s="12">
        <v>79410000</v>
      </c>
      <c r="O54" s="35">
        <v>0</v>
      </c>
      <c r="P54" s="16"/>
      <c r="Q54" s="35">
        <v>0</v>
      </c>
      <c r="R54" s="35">
        <v>145775280</v>
      </c>
      <c r="S54" s="35">
        <v>4308333.333333333</v>
      </c>
      <c r="T54" s="35">
        <v>71120000</v>
      </c>
      <c r="U54" s="35">
        <v>0</v>
      </c>
      <c r="V54" s="35">
        <v>588393</v>
      </c>
      <c r="W54" s="35">
        <v>76016726.333333343</v>
      </c>
      <c r="X54" s="280">
        <v>-5861268.3333333349</v>
      </c>
      <c r="Y54" s="13">
        <v>-2.7144205533782481E-2</v>
      </c>
      <c r="Z54" s="13">
        <v>0.10359645926856978</v>
      </c>
      <c r="AA54" s="35">
        <v>8692.7661306737227</v>
      </c>
      <c r="AB54" s="13">
        <v>0.12395931774140223</v>
      </c>
      <c r="AC54" s="35">
        <v>309</v>
      </c>
      <c r="AD54" s="35">
        <f t="shared" si="11"/>
        <v>2073182.5242718447</v>
      </c>
      <c r="AE54" s="35">
        <f t="shared" si="12"/>
        <v>238.49514563106797</v>
      </c>
      <c r="AQ54" s="12">
        <f>AQ48+AS48</f>
        <v>0</v>
      </c>
      <c r="AR54" s="12">
        <f>AQ51+AR51+AS51</f>
        <v>0</v>
      </c>
    </row>
    <row r="55" spans="1:44">
      <c r="B55" s="109">
        <f t="shared" ref="B55" si="18">N55/G55</f>
        <v>0.10924505436328155</v>
      </c>
      <c r="C55" s="123">
        <f t="shared" ref="C55:C56" si="19">N55/AC55</f>
        <v>273976.89768976899</v>
      </c>
      <c r="D55" s="26">
        <v>48</v>
      </c>
      <c r="E55" s="12">
        <v>87453</v>
      </c>
      <c r="F55" s="12">
        <v>241</v>
      </c>
      <c r="G55" s="313">
        <v>759897100</v>
      </c>
      <c r="H55" s="16">
        <v>197195697</v>
      </c>
      <c r="I55" s="16">
        <v>45695000</v>
      </c>
      <c r="J55" s="35">
        <v>0</v>
      </c>
      <c r="K55" s="35">
        <v>0</v>
      </c>
      <c r="L55" s="35">
        <v>245865697</v>
      </c>
      <c r="M55" s="35">
        <v>86275990</v>
      </c>
      <c r="N55" s="12">
        <v>83015000</v>
      </c>
      <c r="O55" s="35">
        <v>0</v>
      </c>
      <c r="P55" s="16">
        <v>1500000</v>
      </c>
      <c r="Q55" s="35">
        <v>3800000</v>
      </c>
      <c r="R55" s="35">
        <v>174590990</v>
      </c>
      <c r="S55" s="35">
        <v>5133333.333333334</v>
      </c>
      <c r="T55" s="35">
        <v>70980000</v>
      </c>
      <c r="U55" s="35">
        <v>0</v>
      </c>
      <c r="V55" s="35">
        <v>588392.69999999995</v>
      </c>
      <c r="W55" s="35">
        <v>76701726.033333346</v>
      </c>
      <c r="X55" s="280">
        <v>-5427019.0333333267</v>
      </c>
      <c r="Y55" s="13">
        <v>-2.2073103729201096E-2</v>
      </c>
      <c r="Z55" s="13">
        <v>0.11353641170626917</v>
      </c>
      <c r="AA55" s="35">
        <v>8689.2056304529287</v>
      </c>
      <c r="AB55" s="13">
        <v>0.10924505436328155</v>
      </c>
      <c r="AC55" s="35">
        <v>303</v>
      </c>
      <c r="AD55" s="35">
        <f t="shared" si="11"/>
        <v>2507911.2211221121</v>
      </c>
      <c r="AE55" s="35">
        <f t="shared" si="12"/>
        <v>288.62376237623761</v>
      </c>
      <c r="AF55" s="35"/>
    </row>
    <row r="56" spans="1:44">
      <c r="A56" s="109">
        <f t="shared" ref="A56" si="20">M56/G56</f>
        <v>0.10605835373336944</v>
      </c>
      <c r="B56" s="109"/>
      <c r="C56" s="123">
        <f t="shared" si="19"/>
        <v>258421.92691029899</v>
      </c>
      <c r="D56" s="26">
        <v>49</v>
      </c>
      <c r="E56" s="12">
        <v>76669</v>
      </c>
      <c r="F56" s="12">
        <v>237</v>
      </c>
      <c r="G56" s="313">
        <v>666314180</v>
      </c>
      <c r="H56" s="16">
        <v>172670512.59999999</v>
      </c>
      <c r="I56" s="16">
        <v>46825000</v>
      </c>
      <c r="J56" s="35">
        <v>0</v>
      </c>
      <c r="K56" s="35">
        <v>0</v>
      </c>
      <c r="L56" s="35">
        <v>222270512.59999999</v>
      </c>
      <c r="M56" s="35">
        <v>70668185</v>
      </c>
      <c r="N56" s="12">
        <v>77785000</v>
      </c>
      <c r="O56" s="35">
        <v>0</v>
      </c>
      <c r="P56" s="16">
        <v>0</v>
      </c>
      <c r="Q56" s="35">
        <v>0</v>
      </c>
      <c r="R56" s="35">
        <v>148453185</v>
      </c>
      <c r="S56" s="35">
        <v>6333333.333333333</v>
      </c>
      <c r="T56" s="35">
        <v>70385000</v>
      </c>
      <c r="U56" s="35">
        <v>0</v>
      </c>
      <c r="V56" s="35">
        <v>575369.68322580657</v>
      </c>
      <c r="W56" s="35">
        <v>77293703.016559139</v>
      </c>
      <c r="X56" s="280">
        <v>-3476375.4165591523</v>
      </c>
      <c r="Y56" s="13">
        <v>-1.5640290634571345E-2</v>
      </c>
      <c r="Z56" s="13">
        <v>0.10605835373336944</v>
      </c>
      <c r="AA56" s="35">
        <v>8690.790019434191</v>
      </c>
      <c r="AB56" s="13">
        <v>0.11673922352965684</v>
      </c>
      <c r="AC56" s="35">
        <v>301</v>
      </c>
      <c r="AD56" s="35">
        <f t="shared" si="11"/>
        <v>2213668.3720930233</v>
      </c>
      <c r="AE56" s="35">
        <f t="shared" si="12"/>
        <v>254.71428571428572</v>
      </c>
      <c r="AF56" s="190"/>
    </row>
    <row r="57" spans="1:44">
      <c r="B57" s="109">
        <f t="shared" ref="B57" si="21">N57/G57</f>
        <v>0.11106776418791443</v>
      </c>
      <c r="C57" s="123">
        <f t="shared" ref="C57:C58" si="22">N57/AC57</f>
        <v>266369.8630136986</v>
      </c>
      <c r="D57" s="26">
        <v>50</v>
      </c>
      <c r="E57" s="12">
        <v>80575</v>
      </c>
      <c r="F57" s="12">
        <v>226</v>
      </c>
      <c r="G57" s="313">
        <v>700293200</v>
      </c>
      <c r="H57" s="16">
        <v>181605944</v>
      </c>
      <c r="I57" s="16">
        <v>45600000</v>
      </c>
      <c r="J57" s="35">
        <v>0</v>
      </c>
      <c r="K57" s="35">
        <v>0</v>
      </c>
      <c r="L57" s="35">
        <v>229455944</v>
      </c>
      <c r="M57" s="35">
        <v>77179035</v>
      </c>
      <c r="N57" s="12">
        <v>77780000</v>
      </c>
      <c r="O57" s="35">
        <v>0</v>
      </c>
      <c r="P57" s="16">
        <v>0</v>
      </c>
      <c r="Q57" s="35">
        <v>0</v>
      </c>
      <c r="R57" s="35">
        <v>154959035</v>
      </c>
      <c r="S57" s="35">
        <v>5883333.333333333</v>
      </c>
      <c r="T57" s="35">
        <v>66815000</v>
      </c>
      <c r="U57" s="35">
        <v>0</v>
      </c>
      <c r="V57" s="35">
        <v>575369.68322580657</v>
      </c>
      <c r="W57" s="35">
        <v>73273703.016559139</v>
      </c>
      <c r="X57" s="280">
        <v>1223205.9834408476</v>
      </c>
      <c r="Y57" s="13">
        <v>5.3308969125717993E-3</v>
      </c>
      <c r="Z57" s="13">
        <v>0.1102096022066186</v>
      </c>
      <c r="AA57" s="35">
        <v>8691.197021408625</v>
      </c>
      <c r="AB57" s="13">
        <v>0.11106776418791443</v>
      </c>
      <c r="AC57" s="35">
        <v>292</v>
      </c>
      <c r="AD57" s="35">
        <f>G57/AC57</f>
        <v>2398264.3835616438</v>
      </c>
      <c r="AE57" s="35">
        <f>E57/AC57</f>
        <v>275.9417808219178</v>
      </c>
    </row>
    <row r="58" spans="1:44">
      <c r="C58" s="123">
        <f t="shared" si="22"/>
        <v>253972.60273972602</v>
      </c>
      <c r="D58" s="26">
        <v>51</v>
      </c>
      <c r="E58" s="12">
        <v>68914</v>
      </c>
      <c r="F58" s="12">
        <v>222</v>
      </c>
      <c r="G58" s="313">
        <v>597976200</v>
      </c>
      <c r="H58" s="16">
        <v>155079540</v>
      </c>
      <c r="I58" s="16">
        <v>41895000</v>
      </c>
      <c r="J58" s="35">
        <v>0</v>
      </c>
      <c r="K58" s="35">
        <v>0</v>
      </c>
      <c r="L58" s="35">
        <v>199099540</v>
      </c>
      <c r="M58" s="35">
        <v>60968260</v>
      </c>
      <c r="N58" s="12">
        <v>74160000</v>
      </c>
      <c r="O58" s="35">
        <v>0</v>
      </c>
      <c r="P58" s="16">
        <v>0</v>
      </c>
      <c r="Q58" s="35">
        <v>0</v>
      </c>
      <c r="R58" s="35">
        <v>135128260</v>
      </c>
      <c r="S58" s="35">
        <v>5658333.333333333</v>
      </c>
      <c r="T58" s="35">
        <v>66010000</v>
      </c>
      <c r="U58" s="35">
        <v>0</v>
      </c>
      <c r="V58" s="35">
        <v>575369.68322580657</v>
      </c>
      <c r="W58" s="35">
        <v>72243703.016559139</v>
      </c>
      <c r="X58" s="280">
        <v>-8272423.0165591529</v>
      </c>
      <c r="Y58" s="13">
        <v>-4.1549181964755683E-2</v>
      </c>
      <c r="Z58" s="13">
        <v>0.10195766988719618</v>
      </c>
      <c r="AA58" s="35">
        <v>8677.1367211306842</v>
      </c>
      <c r="AB58" s="13">
        <v>0.12401831377235414</v>
      </c>
      <c r="AC58" s="37">
        <v>292</v>
      </c>
      <c r="AD58" s="37">
        <f>G58/AC58</f>
        <v>2047863.6986301369</v>
      </c>
      <c r="AE58" s="37">
        <f>E58/AC58</f>
        <v>236.00684931506851</v>
      </c>
      <c r="AF58" s="35"/>
    </row>
    <row r="59" spans="1:44">
      <c r="D59" s="26">
        <v>52</v>
      </c>
      <c r="E59" s="12">
        <v>76162</v>
      </c>
      <c r="F59" s="12">
        <v>226</v>
      </c>
      <c r="G59" s="313">
        <v>660811600</v>
      </c>
      <c r="H59" s="16">
        <v>171281752</v>
      </c>
      <c r="I59" s="16">
        <v>43030000</v>
      </c>
      <c r="J59" s="35">
        <v>0</v>
      </c>
      <c r="K59" s="35">
        <v>0</v>
      </c>
      <c r="L59" s="35">
        <v>216486752</v>
      </c>
      <c r="M59" s="35">
        <v>71428560</v>
      </c>
      <c r="N59" s="12">
        <v>75900000</v>
      </c>
      <c r="O59" s="35">
        <v>0</v>
      </c>
      <c r="P59" s="16">
        <v>2400000</v>
      </c>
      <c r="Q59" s="35">
        <v>1400000</v>
      </c>
      <c r="R59" s="35">
        <v>151128560</v>
      </c>
      <c r="S59" s="35">
        <v>5518333.333333333</v>
      </c>
      <c r="T59" s="35">
        <v>67060000</v>
      </c>
      <c r="U59" s="35">
        <v>0</v>
      </c>
      <c r="V59" s="35">
        <v>575369.68322580657</v>
      </c>
      <c r="W59" s="35">
        <v>73153703.016559139</v>
      </c>
      <c r="X59" s="280">
        <v>-7795511.0165591529</v>
      </c>
      <c r="Y59" s="13">
        <v>-3.6009182753867323E-2</v>
      </c>
      <c r="Z59" s="13">
        <v>0.10809217029483138</v>
      </c>
      <c r="AA59" s="35">
        <v>8676.3950526509288</v>
      </c>
      <c r="AB59" s="13">
        <v>0.11485875853268919</v>
      </c>
      <c r="AC59" s="85"/>
      <c r="AD59" s="85"/>
      <c r="AE59" s="85"/>
    </row>
    <row r="60" spans="1:44">
      <c r="D60" s="82">
        <v>12026</v>
      </c>
      <c r="E60" s="246">
        <v>75411</v>
      </c>
      <c r="F60" s="246">
        <v>215</v>
      </c>
      <c r="G60" s="322">
        <v>655267100</v>
      </c>
      <c r="H60" s="81">
        <v>169998710</v>
      </c>
      <c r="I60" s="81">
        <v>43439999.999999993</v>
      </c>
      <c r="J60" s="37">
        <v>0</v>
      </c>
      <c r="K60" s="37">
        <v>0</v>
      </c>
      <c r="L60" s="37">
        <v>215338710</v>
      </c>
      <c r="M60" s="37">
        <v>70581340</v>
      </c>
      <c r="N60" s="246">
        <v>73670000</v>
      </c>
      <c r="O60" s="37">
        <v>0</v>
      </c>
      <c r="P60" s="81">
        <v>0</v>
      </c>
      <c r="Q60" s="37">
        <v>0</v>
      </c>
      <c r="R60" s="37">
        <v>144251340</v>
      </c>
      <c r="S60" s="37">
        <v>5475000</v>
      </c>
      <c r="T60" s="37">
        <v>65835000</v>
      </c>
      <c r="U60" s="37">
        <v>0</v>
      </c>
      <c r="V60" s="37">
        <v>575369.6832258061</v>
      </c>
      <c r="W60" s="37">
        <v>71885369.683225811</v>
      </c>
      <c r="X60" s="283">
        <v>-797999.68322581612</v>
      </c>
      <c r="Y60" s="244">
        <v>-3.7057883518751278E-3</v>
      </c>
      <c r="Z60" s="244">
        <v>0.10771384676569296</v>
      </c>
      <c r="AA60" s="37">
        <v>8689.2774263701576</v>
      </c>
      <c r="AB60" s="244">
        <v>0.11242743607911949</v>
      </c>
      <c r="AC60" s="37"/>
      <c r="AD60" s="37"/>
      <c r="AE60" s="37"/>
    </row>
    <row r="61" spans="1:44">
      <c r="D61" s="82">
        <v>22026</v>
      </c>
      <c r="E61" s="246">
        <v>75882</v>
      </c>
      <c r="F61" s="246">
        <v>227</v>
      </c>
      <c r="G61" s="322">
        <v>657158320</v>
      </c>
      <c r="H61" s="81">
        <v>170397432</v>
      </c>
      <c r="I61" s="81">
        <v>42270000</v>
      </c>
      <c r="J61" s="37">
        <v>0</v>
      </c>
      <c r="K61" s="37">
        <v>0</v>
      </c>
      <c r="L61" s="37">
        <v>214742432</v>
      </c>
      <c r="M61" s="37">
        <v>70243375</v>
      </c>
      <c r="N61" s="246">
        <v>74765000</v>
      </c>
      <c r="O61" s="37">
        <v>0</v>
      </c>
      <c r="P61" s="81">
        <v>0</v>
      </c>
      <c r="Q61" s="37">
        <v>0</v>
      </c>
      <c r="R61" s="37">
        <v>145008375</v>
      </c>
      <c r="S61" s="37">
        <v>5300000</v>
      </c>
      <c r="T61" s="37">
        <v>66990000</v>
      </c>
      <c r="U61" s="37">
        <v>0</v>
      </c>
      <c r="V61" s="37">
        <v>575369.68322580657</v>
      </c>
      <c r="W61" s="37">
        <v>72865369.683225811</v>
      </c>
      <c r="X61" s="283">
        <v>-3131312.683225818</v>
      </c>
      <c r="Y61" s="244">
        <v>-1.458171379574307E-2</v>
      </c>
      <c r="Z61" s="244">
        <v>0.10688957723307832</v>
      </c>
      <c r="AA61" s="37">
        <v>8660.2662027885399</v>
      </c>
      <c r="AB61" s="244">
        <v>0.11377014902588466</v>
      </c>
      <c r="AC61" s="85">
        <f t="shared" ref="AC61:AC86" si="23">F61</f>
        <v>227</v>
      </c>
      <c r="AD61" s="85">
        <f t="shared" ref="AD61:AD93" si="24">G61/F61</f>
        <v>2894970.5726872245</v>
      </c>
      <c r="AE61" s="85">
        <f t="shared" ref="AE61:AE87" si="25">E61/AC61</f>
        <v>334.28193832599118</v>
      </c>
    </row>
    <row r="62" spans="1:44">
      <c r="D62" s="26">
        <v>32026</v>
      </c>
      <c r="E62" s="12">
        <v>61916</v>
      </c>
      <c r="F62" s="12">
        <v>226</v>
      </c>
      <c r="G62" s="313">
        <v>539098320</v>
      </c>
      <c r="H62" s="16">
        <v>139675912</v>
      </c>
      <c r="I62" s="16">
        <v>43265000</v>
      </c>
      <c r="J62" s="35">
        <v>0</v>
      </c>
      <c r="K62" s="35">
        <v>0</v>
      </c>
      <c r="L62" s="35">
        <v>184815912</v>
      </c>
      <c r="M62" s="35">
        <v>50723335</v>
      </c>
      <c r="N62" s="12">
        <v>71935000</v>
      </c>
      <c r="O62" s="35">
        <v>0</v>
      </c>
      <c r="P62" s="16">
        <v>0</v>
      </c>
      <c r="Q62" s="35">
        <v>0</v>
      </c>
      <c r="R62" s="35">
        <v>122658335</v>
      </c>
      <c r="S62" s="35">
        <v>6275000</v>
      </c>
      <c r="T62" s="35">
        <v>68635000</v>
      </c>
      <c r="U62" s="35">
        <v>0</v>
      </c>
      <c r="V62" s="35">
        <v>575369.68322580657</v>
      </c>
      <c r="W62" s="35">
        <v>75485369.683225811</v>
      </c>
      <c r="X62" s="280">
        <v>-13327792.683225818</v>
      </c>
      <c r="Y62" s="13">
        <v>-7.2113880991079474E-2</v>
      </c>
      <c r="Z62" s="13">
        <v>9.4089209923711128E-2</v>
      </c>
      <c r="AA62" s="35">
        <v>8706.9306802765041</v>
      </c>
      <c r="AB62" s="13">
        <v>0.13343577104821994</v>
      </c>
      <c r="AC62" s="35">
        <f t="shared" si="23"/>
        <v>226</v>
      </c>
      <c r="AD62" s="35">
        <f t="shared" si="24"/>
        <v>2385390.7964601768</v>
      </c>
      <c r="AE62" s="35">
        <f t="shared" si="25"/>
        <v>273.9646017699115</v>
      </c>
    </row>
    <row r="63" spans="1:44">
      <c r="D63" s="26">
        <v>42026</v>
      </c>
      <c r="E63" s="12">
        <v>57714</v>
      </c>
      <c r="F63" s="12">
        <v>216</v>
      </c>
      <c r="G63" s="313">
        <v>496164800</v>
      </c>
      <c r="H63" s="16">
        <v>128424336</v>
      </c>
      <c r="I63" s="16">
        <v>43740000</v>
      </c>
      <c r="J63" s="35">
        <v>0</v>
      </c>
      <c r="K63" s="35">
        <v>0</v>
      </c>
      <c r="L63" s="35">
        <v>173714336</v>
      </c>
      <c r="M63" s="35">
        <v>44191560</v>
      </c>
      <c r="N63" s="12">
        <v>70710000</v>
      </c>
      <c r="O63" s="35">
        <v>0</v>
      </c>
      <c r="P63" s="16">
        <v>700000</v>
      </c>
      <c r="Q63" s="35">
        <v>1400000</v>
      </c>
      <c r="R63" s="35">
        <v>117001560</v>
      </c>
      <c r="S63" s="35">
        <v>5675000</v>
      </c>
      <c r="T63" s="35">
        <v>67480000</v>
      </c>
      <c r="U63" s="35">
        <v>0</v>
      </c>
      <c r="V63" s="35">
        <v>575369.68322580657</v>
      </c>
      <c r="W63" s="35">
        <v>73730369.683225811</v>
      </c>
      <c r="X63" s="280">
        <v>-17017593.683225818</v>
      </c>
      <c r="Y63" s="13">
        <v>-9.7963093173990073E-2</v>
      </c>
      <c r="Z63" s="13">
        <v>8.9066294102282145E-2</v>
      </c>
      <c r="AA63" s="35">
        <v>8596.9574106802502</v>
      </c>
      <c r="AB63" s="13">
        <v>0.14251313273331764</v>
      </c>
      <c r="AC63" s="35">
        <f t="shared" si="23"/>
        <v>216</v>
      </c>
      <c r="AD63" s="35">
        <f t="shared" si="24"/>
        <v>2297059.2592592593</v>
      </c>
      <c r="AE63" s="35">
        <f t="shared" si="25"/>
        <v>267.19444444444446</v>
      </c>
    </row>
    <row r="64" spans="1:44">
      <c r="D64" s="26">
        <v>52026</v>
      </c>
      <c r="E64" s="12">
        <v>65150</v>
      </c>
      <c r="F64" s="12">
        <v>213</v>
      </c>
      <c r="G64" s="313">
        <v>559612119</v>
      </c>
      <c r="H64" s="16">
        <v>142393535.10000002</v>
      </c>
      <c r="I64" s="16">
        <v>41620000</v>
      </c>
      <c r="J64" s="35">
        <v>0</v>
      </c>
      <c r="K64" s="35">
        <v>0</v>
      </c>
      <c r="L64" s="35">
        <v>185413535.09999999</v>
      </c>
      <c r="M64" s="35">
        <v>55632685</v>
      </c>
      <c r="N64" s="12">
        <v>69864300</v>
      </c>
      <c r="O64" s="35">
        <v>0</v>
      </c>
      <c r="P64" s="16">
        <v>0</v>
      </c>
      <c r="Q64" s="35">
        <v>0</v>
      </c>
      <c r="R64" s="35">
        <v>125496985</v>
      </c>
      <c r="S64" s="35">
        <v>5900000</v>
      </c>
      <c r="T64" s="35">
        <v>66150000</v>
      </c>
      <c r="U64" s="35">
        <v>0</v>
      </c>
      <c r="V64" s="35">
        <v>584176.36205069127</v>
      </c>
      <c r="W64" s="35">
        <v>72634176.362050697</v>
      </c>
      <c r="X64" s="280">
        <v>-12717626.262050709</v>
      </c>
      <c r="Y64" s="13">
        <v>-6.859060345940575E-2</v>
      </c>
      <c r="Z64" s="13">
        <v>9.9412938196215148E-2</v>
      </c>
      <c r="AA64" s="35">
        <v>8589.5950729086726</v>
      </c>
      <c r="AB64" s="13">
        <v>0.12484415120395204</v>
      </c>
      <c r="AC64" s="35">
        <f t="shared" si="23"/>
        <v>213</v>
      </c>
      <c r="AD64" s="35">
        <f t="shared" si="24"/>
        <v>2627286.9436619719</v>
      </c>
      <c r="AE64" s="35">
        <f t="shared" si="25"/>
        <v>305.86854460093895</v>
      </c>
    </row>
    <row r="65" spans="4:31">
      <c r="D65" s="26">
        <v>62026</v>
      </c>
      <c r="E65" s="12">
        <v>67576</v>
      </c>
      <c r="F65" s="12">
        <v>201</v>
      </c>
      <c r="G65" s="313">
        <v>581589720</v>
      </c>
      <c r="H65" s="16">
        <v>150691772</v>
      </c>
      <c r="I65" s="16">
        <v>41060000</v>
      </c>
      <c r="J65" s="35">
        <v>0</v>
      </c>
      <c r="K65" s="35">
        <v>0</v>
      </c>
      <c r="L65" s="35">
        <v>192851772</v>
      </c>
      <c r="M65" s="35">
        <v>60296970</v>
      </c>
      <c r="N65" s="12">
        <v>71040000</v>
      </c>
      <c r="O65" s="35">
        <v>0</v>
      </c>
      <c r="P65" s="16">
        <v>0</v>
      </c>
      <c r="Q65" s="35">
        <v>0</v>
      </c>
      <c r="R65" s="35">
        <v>131336970</v>
      </c>
      <c r="S65" s="35">
        <v>4950000</v>
      </c>
      <c r="T65" s="35">
        <v>62405000</v>
      </c>
      <c r="U65" s="35">
        <v>0</v>
      </c>
      <c r="V65" s="35">
        <v>637016.43500000006</v>
      </c>
      <c r="W65" s="35">
        <v>67992016.435000002</v>
      </c>
      <c r="X65" s="280">
        <v>-6477214.43499998</v>
      </c>
      <c r="Y65" s="13">
        <v>-3.3586491676104384E-2</v>
      </c>
      <c r="Z65" s="13">
        <v>0.10367612756291497</v>
      </c>
      <c r="AA65" s="35">
        <v>8606.4537705694329</v>
      </c>
      <c r="AB65" s="13">
        <v>0.1221479636882165</v>
      </c>
      <c r="AC65" s="35">
        <f t="shared" si="23"/>
        <v>201</v>
      </c>
      <c r="AD65" s="35">
        <f t="shared" si="24"/>
        <v>2893481.1940298509</v>
      </c>
      <c r="AE65" s="35">
        <f t="shared" si="25"/>
        <v>336.19900497512435</v>
      </c>
    </row>
    <row r="66" spans="4:31">
      <c r="D66" s="26">
        <v>72026</v>
      </c>
      <c r="E66" s="12">
        <v>66783</v>
      </c>
      <c r="F66" s="12">
        <v>197</v>
      </c>
      <c r="G66" s="313">
        <v>578352700</v>
      </c>
      <c r="H66" s="16">
        <v>149868069</v>
      </c>
      <c r="I66" s="16">
        <v>40230000</v>
      </c>
      <c r="J66" s="35">
        <v>0</v>
      </c>
      <c r="K66" s="35">
        <v>0</v>
      </c>
      <c r="L66" s="35">
        <v>191048069</v>
      </c>
      <c r="M66" s="35">
        <v>59837440</v>
      </c>
      <c r="N66" s="12">
        <v>59440000</v>
      </c>
      <c r="O66" s="35">
        <v>0</v>
      </c>
      <c r="P66" s="16">
        <v>0</v>
      </c>
      <c r="Q66" s="35">
        <v>0</v>
      </c>
      <c r="R66" s="35">
        <v>119277440</v>
      </c>
      <c r="S66" s="35">
        <v>4750000</v>
      </c>
      <c r="T66" s="35">
        <v>60480000</v>
      </c>
      <c r="U66" s="35">
        <v>0</v>
      </c>
      <c r="V66" s="35">
        <v>637016.43500000006</v>
      </c>
      <c r="W66" s="35">
        <v>65867016.434999995</v>
      </c>
      <c r="X66" s="280">
        <v>5903612.5650000162</v>
      </c>
      <c r="Y66" s="13">
        <v>3.0901189401710289E-2</v>
      </c>
      <c r="Z66" s="13">
        <v>0.1034618494908038</v>
      </c>
      <c r="AA66" s="35">
        <v>8660.1784885375018</v>
      </c>
      <c r="AB66" s="13">
        <v>0.10277465636453327</v>
      </c>
      <c r="AC66" s="35">
        <f t="shared" si="23"/>
        <v>197</v>
      </c>
      <c r="AD66" s="35">
        <f t="shared" si="24"/>
        <v>2935800.507614213</v>
      </c>
      <c r="AE66" s="35">
        <f t="shared" si="25"/>
        <v>339</v>
      </c>
    </row>
    <row r="67" spans="4:31">
      <c r="D67" s="26" t="s">
        <v>180</v>
      </c>
      <c r="E67" s="12">
        <v>0.2717716937676416</v>
      </c>
      <c r="F67" s="12">
        <v>1.7241379310344827E-2</v>
      </c>
      <c r="G67" s="313">
        <v>0.276568287256162</v>
      </c>
      <c r="H67" s="16">
        <v>0.2812225202257051</v>
      </c>
      <c r="I67" s="16">
        <v>4.7177229124076113E-4</v>
      </c>
      <c r="J67" s="35">
        <v>0</v>
      </c>
      <c r="K67" s="35">
        <v>0</v>
      </c>
      <c r="L67" s="35">
        <v>0.22747397789661564</v>
      </c>
      <c r="M67" s="35">
        <v>0.43169841822869487</v>
      </c>
      <c r="N67" s="12">
        <v>0.19015047879616964</v>
      </c>
      <c r="O67" s="35">
        <v>0</v>
      </c>
      <c r="P67" s="16">
        <v>0</v>
      </c>
      <c r="Q67" s="35">
        <v>0</v>
      </c>
      <c r="R67" s="35">
        <v>0.32435591192253133</v>
      </c>
      <c r="S67" s="35">
        <v>0.25465838509316768</v>
      </c>
      <c r="T67" s="35">
        <v>1.5333333333333332E-2</v>
      </c>
      <c r="U67" s="35">
        <v>0</v>
      </c>
      <c r="V67" s="35">
        <v>0</v>
      </c>
      <c r="W67" s="35">
        <v>3.2048829283457217E-2</v>
      </c>
      <c r="X67" s="280">
        <v>0.51321101617622489</v>
      </c>
      <c r="Y67" s="13">
        <v>2.2561306612815004</v>
      </c>
      <c r="Z67" s="13">
        <v>1.5609107700365112</v>
      </c>
      <c r="AA67" s="35">
        <v>1.0176493490621632</v>
      </c>
      <c r="AB67" s="13">
        <v>0.68753536669968673</v>
      </c>
      <c r="AC67" s="35">
        <f t="shared" si="23"/>
        <v>1.7241379310344827E-2</v>
      </c>
      <c r="AD67" s="35">
        <f t="shared" si="24"/>
        <v>16.040960660857397</v>
      </c>
      <c r="AE67" s="35">
        <f t="shared" si="25"/>
        <v>15.762758238523213</v>
      </c>
    </row>
    <row r="68" spans="4:31">
      <c r="D68" s="26" t="s">
        <v>181</v>
      </c>
      <c r="E68" s="12">
        <v>1.1941558529976444E-2</v>
      </c>
      <c r="F68" s="12">
        <v>2.2598870056497175E-2</v>
      </c>
      <c r="G68" s="313">
        <v>-1.6570584265444244E-3</v>
      </c>
      <c r="H68" s="16">
        <v>-3.1601774056120944E-3</v>
      </c>
      <c r="I68" s="16">
        <v>5.8157812008802261E-2</v>
      </c>
      <c r="J68" s="35">
        <v>0</v>
      </c>
      <c r="K68" s="35">
        <v>0</v>
      </c>
      <c r="L68" s="35">
        <v>5.98201990814521E-3</v>
      </c>
      <c r="M68" s="35">
        <v>-2.9715969029433874E-2</v>
      </c>
      <c r="N68" s="12">
        <v>6.6136162687886829E-2</v>
      </c>
      <c r="O68" s="35">
        <v>0</v>
      </c>
      <c r="P68" s="16">
        <v>-1</v>
      </c>
      <c r="Q68" s="35">
        <v>-1</v>
      </c>
      <c r="R68" s="35">
        <v>6.3370612399648758E-3</v>
      </c>
      <c r="S68" s="35">
        <v>-3.9603960396039604E-2</v>
      </c>
      <c r="T68" s="35">
        <v>4.0052527905449768E-2</v>
      </c>
      <c r="U68" s="35">
        <v>0</v>
      </c>
      <c r="V68" s="35">
        <v>-0.20107365159940624</v>
      </c>
      <c r="W68" s="35">
        <v>3.0872168740051959E-2</v>
      </c>
      <c r="X68" s="280">
        <v>-0.20715925372833008</v>
      </c>
      <c r="Y68" s="13">
        <v>-34.630318338837164</v>
      </c>
      <c r="Z68" s="13">
        <v>17.932963951912416</v>
      </c>
      <c r="AA68" s="35">
        <v>-0.13876399989036381</v>
      </c>
      <c r="AB68" s="13">
        <v>-39.91178683168404</v>
      </c>
      <c r="AC68" s="35">
        <f t="shared" si="23"/>
        <v>2.2598870056497175E-2</v>
      </c>
      <c r="AD68" s="35">
        <f t="shared" si="24"/>
        <v>-7.332483537459078E-2</v>
      </c>
      <c r="AE68" s="35">
        <f t="shared" si="25"/>
        <v>0.52841396495145765</v>
      </c>
    </row>
    <row r="69" spans="4:31">
      <c r="D69" s="26" t="s">
        <v>182</v>
      </c>
      <c r="E69" s="12">
        <v>-4.305820931672004E-4</v>
      </c>
      <c r="F69" s="12">
        <v>1.1049723756906077E-2</v>
      </c>
      <c r="G69" s="313">
        <v>2.8046957242420225E-3</v>
      </c>
      <c r="H69" s="16">
        <v>4.1217865824761399E-3</v>
      </c>
      <c r="I69" s="16">
        <v>-5.1990493166963756E-3</v>
      </c>
      <c r="J69" s="35">
        <v>0</v>
      </c>
      <c r="K69" s="35">
        <v>0</v>
      </c>
      <c r="L69" s="35">
        <v>2.0376155438668422E-3</v>
      </c>
      <c r="M69" s="35">
        <v>5.0946998868966597E-3</v>
      </c>
      <c r="N69" s="12">
        <v>-2.1562448167191904E-3</v>
      </c>
      <c r="O69" s="35">
        <v>0</v>
      </c>
      <c r="P69" s="16">
        <v>0</v>
      </c>
      <c r="Q69" s="35">
        <v>0</v>
      </c>
      <c r="R69" s="35">
        <v>1.857658177788939E-3</v>
      </c>
      <c r="S69" s="35">
        <v>4.1237113402061855E-2</v>
      </c>
      <c r="T69" s="35">
        <v>-4.419191919191919E-3</v>
      </c>
      <c r="U69" s="35">
        <v>0</v>
      </c>
      <c r="V69" s="35">
        <v>0.25167983507108577</v>
      </c>
      <c r="W69" s="35">
        <v>1.1636552744495293E-3</v>
      </c>
      <c r="X69" s="280">
        <v>1.5776444913500737E-2</v>
      </c>
      <c r="Y69" s="13">
        <v>7.7426013759010299</v>
      </c>
      <c r="Z69" s="13">
        <v>1.8164893406658285</v>
      </c>
      <c r="AA69" s="35">
        <v>-6.5137305260693328</v>
      </c>
      <c r="AB69" s="13">
        <v>-0.7687981259720863</v>
      </c>
      <c r="AC69" s="35">
        <f t="shared" si="23"/>
        <v>1.1049723756906077E-2</v>
      </c>
      <c r="AD69" s="35">
        <f t="shared" si="24"/>
        <v>0.25382496304390306</v>
      </c>
      <c r="AE69" s="35">
        <f t="shared" si="25"/>
        <v>-3.8967679431631638E-2</v>
      </c>
    </row>
    <row r="70" spans="4:31">
      <c r="D70" s="11" t="s">
        <v>27</v>
      </c>
      <c r="E70" s="12">
        <v>18019</v>
      </c>
      <c r="F70" s="12">
        <v>6</v>
      </c>
      <c r="G70" s="313">
        <v>160682000</v>
      </c>
      <c r="H70" s="16">
        <v>41807200</v>
      </c>
      <c r="I70" s="16">
        <v>10065000</v>
      </c>
      <c r="J70" s="35">
        <v>6125000</v>
      </c>
      <c r="K70" s="35">
        <v>0</v>
      </c>
      <c r="L70" s="35">
        <v>57997200</v>
      </c>
      <c r="M70" s="35">
        <v>16722320</v>
      </c>
      <c r="N70" s="12">
        <v>19625000</v>
      </c>
      <c r="O70" s="35">
        <v>0</v>
      </c>
      <c r="P70" s="16">
        <v>0</v>
      </c>
      <c r="Q70" s="35">
        <v>0</v>
      </c>
      <c r="R70" s="35">
        <v>36347320</v>
      </c>
      <c r="S70" s="35">
        <v>0</v>
      </c>
      <c r="T70" s="35">
        <v>32995400</v>
      </c>
      <c r="U70" s="35">
        <v>0</v>
      </c>
      <c r="V70" s="35">
        <v>0</v>
      </c>
      <c r="W70" s="35">
        <v>32995400</v>
      </c>
      <c r="X70" s="280">
        <v>-11345520</v>
      </c>
      <c r="Y70" s="13">
        <v>-0.19562185760691894</v>
      </c>
      <c r="Z70" s="13">
        <v>0.10407089779813544</v>
      </c>
      <c r="AA70" s="35">
        <v>8917.3650036073032</v>
      </c>
      <c r="AB70" s="13">
        <v>0.12213564680549159</v>
      </c>
      <c r="AC70" s="35">
        <f t="shared" si="23"/>
        <v>6</v>
      </c>
      <c r="AD70" s="35">
        <f t="shared" si="24"/>
        <v>26780333.333333332</v>
      </c>
      <c r="AE70" s="35">
        <f t="shared" si="25"/>
        <v>3003.1666666666665</v>
      </c>
    </row>
    <row r="71" spans="4:31">
      <c r="D71" s="11" t="s">
        <v>176</v>
      </c>
      <c r="E71" s="12">
        <v>26195</v>
      </c>
      <c r="F71" s="12">
        <v>16</v>
      </c>
      <c r="G71" s="313">
        <v>250788000</v>
      </c>
      <c r="H71" s="16">
        <v>22877310</v>
      </c>
      <c r="I71" s="16">
        <v>4375000</v>
      </c>
      <c r="J71" s="35">
        <v>0</v>
      </c>
      <c r="K71" s="35">
        <v>0</v>
      </c>
      <c r="L71" s="35">
        <v>27252310</v>
      </c>
      <c r="M71" s="35">
        <v>2328800</v>
      </c>
      <c r="N71" s="12">
        <v>3725000</v>
      </c>
      <c r="O71" s="35">
        <v>0</v>
      </c>
      <c r="P71" s="16">
        <v>0</v>
      </c>
      <c r="Q71" s="35">
        <v>0</v>
      </c>
      <c r="R71" s="35">
        <v>6053800</v>
      </c>
      <c r="S71" s="35">
        <v>0</v>
      </c>
      <c r="T71" s="35">
        <v>8575000</v>
      </c>
      <c r="U71" s="35">
        <v>326447.82299561473</v>
      </c>
      <c r="V71" s="35">
        <v>0</v>
      </c>
      <c r="W71" s="35">
        <v>8901447.8229956143</v>
      </c>
      <c r="X71" s="280">
        <v>12297062.177004386</v>
      </c>
      <c r="Y71" s="13">
        <v>0.45123008570665701</v>
      </c>
      <c r="Z71" s="13">
        <v>9.2859307462877013E-3</v>
      </c>
      <c r="AA71" s="35">
        <v>9573.8881465928607</v>
      </c>
      <c r="AB71" s="13">
        <v>1.4853182767915531E-2</v>
      </c>
      <c r="AC71" s="35">
        <f t="shared" si="23"/>
        <v>16</v>
      </c>
      <c r="AD71" s="35">
        <f t="shared" si="24"/>
        <v>15674250</v>
      </c>
      <c r="AE71" s="35">
        <f t="shared" si="25"/>
        <v>1637.1875</v>
      </c>
    </row>
    <row r="72" spans="4:31">
      <c r="D72" s="26">
        <v>24</v>
      </c>
      <c r="E72" s="12">
        <v>774</v>
      </c>
      <c r="F72" s="12">
        <v>9</v>
      </c>
      <c r="G72" s="313">
        <v>7320000</v>
      </c>
      <c r="H72" s="16">
        <v>2196000</v>
      </c>
      <c r="I72" s="16">
        <v>390000</v>
      </c>
      <c r="J72" s="35">
        <v>0</v>
      </c>
      <c r="K72" s="35">
        <v>0</v>
      </c>
      <c r="L72" s="35">
        <v>2586000</v>
      </c>
      <c r="M72" s="35">
        <v>774000</v>
      </c>
      <c r="N72" s="12">
        <v>850000</v>
      </c>
      <c r="O72" s="35">
        <v>0</v>
      </c>
      <c r="P72" s="16"/>
      <c r="Q72" s="35">
        <v>0</v>
      </c>
      <c r="R72" s="35">
        <v>1624000</v>
      </c>
      <c r="S72" s="35">
        <v>0</v>
      </c>
      <c r="T72" s="35">
        <v>1365000</v>
      </c>
      <c r="U72" s="35">
        <v>0</v>
      </c>
      <c r="V72" s="35">
        <v>0</v>
      </c>
      <c r="W72" s="35">
        <v>1365000</v>
      </c>
      <c r="X72" s="280">
        <v>-403000</v>
      </c>
      <c r="Y72" s="13">
        <v>-0.15583913379737047</v>
      </c>
      <c r="Z72" s="13">
        <v>0.10573770491803279</v>
      </c>
      <c r="AA72" s="35">
        <v>9457.364341085271</v>
      </c>
      <c r="AB72" s="13">
        <v>0.11612021857923498</v>
      </c>
      <c r="AC72" s="35">
        <f t="shared" si="23"/>
        <v>9</v>
      </c>
      <c r="AD72" s="35">
        <f t="shared" si="24"/>
        <v>813333.33333333337</v>
      </c>
      <c r="AE72" s="35">
        <f t="shared" si="25"/>
        <v>86</v>
      </c>
    </row>
    <row r="73" spans="4:31">
      <c r="D73" s="26">
        <v>25</v>
      </c>
      <c r="E73" s="12">
        <v>107</v>
      </c>
      <c r="F73" s="12">
        <v>2</v>
      </c>
      <c r="G73" s="313">
        <v>912000</v>
      </c>
      <c r="H73" s="16">
        <v>228000</v>
      </c>
      <c r="I73" s="16">
        <v>140000</v>
      </c>
      <c r="J73" s="35">
        <v>0</v>
      </c>
      <c r="K73" s="35">
        <v>0</v>
      </c>
      <c r="L73" s="35">
        <v>368000</v>
      </c>
      <c r="M73" s="35">
        <v>107000</v>
      </c>
      <c r="N73" s="12">
        <v>200000</v>
      </c>
      <c r="O73" s="35">
        <v>0</v>
      </c>
      <c r="P73" s="16"/>
      <c r="Q73" s="35">
        <v>0</v>
      </c>
      <c r="R73" s="35">
        <v>307000</v>
      </c>
      <c r="S73" s="35">
        <v>0</v>
      </c>
      <c r="T73" s="35">
        <v>490000</v>
      </c>
      <c r="U73" s="35">
        <v>311500</v>
      </c>
      <c r="V73" s="35">
        <v>0</v>
      </c>
      <c r="W73" s="35">
        <v>801500</v>
      </c>
      <c r="X73" s="280">
        <v>-740500</v>
      </c>
      <c r="Y73" s="13">
        <v>-2.0122282608695654</v>
      </c>
      <c r="Z73" s="13">
        <v>0.11732456140350878</v>
      </c>
      <c r="AA73" s="35">
        <v>8523.3644859813085</v>
      </c>
      <c r="AB73" s="13">
        <v>0.21929824561403508</v>
      </c>
      <c r="AC73" s="35">
        <f t="shared" si="23"/>
        <v>2</v>
      </c>
      <c r="AD73" s="35">
        <f t="shared" si="24"/>
        <v>456000</v>
      </c>
      <c r="AE73" s="35">
        <f t="shared" si="25"/>
        <v>53.5</v>
      </c>
    </row>
    <row r="74" spans="4:31" ht="15" customHeight="1">
      <c r="D74" s="26">
        <v>26</v>
      </c>
      <c r="E74" s="12">
        <v>931</v>
      </c>
      <c r="F74" s="12">
        <v>10</v>
      </c>
      <c r="G74" s="313">
        <v>8954000</v>
      </c>
      <c r="H74" s="16">
        <v>2238500</v>
      </c>
      <c r="I74" s="16">
        <v>630000</v>
      </c>
      <c r="J74" s="35">
        <v>0</v>
      </c>
      <c r="K74" s="35"/>
      <c r="L74" s="35">
        <v>2868500</v>
      </c>
      <c r="M74" s="35">
        <v>931000</v>
      </c>
      <c r="N74" s="12">
        <v>1175000</v>
      </c>
      <c r="O74" s="35">
        <v>0</v>
      </c>
      <c r="P74" s="16"/>
      <c r="Q74" s="35">
        <v>0</v>
      </c>
      <c r="R74" s="35">
        <v>2106000</v>
      </c>
      <c r="S74" s="35">
        <v>0</v>
      </c>
      <c r="T74" s="35">
        <v>2205000</v>
      </c>
      <c r="U74" s="35">
        <v>0</v>
      </c>
      <c r="V74" s="35">
        <v>0</v>
      </c>
      <c r="W74" s="35">
        <v>2205000</v>
      </c>
      <c r="X74" s="280">
        <v>-1442500</v>
      </c>
      <c r="Y74" s="13">
        <v>-0.5028760676311661</v>
      </c>
      <c r="Z74" s="13">
        <v>0.10397587670314944</v>
      </c>
      <c r="AA74" s="35">
        <v>9617.6154672395278</v>
      </c>
      <c r="AB74" s="13">
        <v>0.13122626758990397</v>
      </c>
      <c r="AC74" s="35">
        <f t="shared" si="23"/>
        <v>10</v>
      </c>
      <c r="AD74" s="35">
        <f t="shared" si="24"/>
        <v>895400</v>
      </c>
      <c r="AE74" s="35">
        <f t="shared" si="25"/>
        <v>93.1</v>
      </c>
    </row>
    <row r="75" spans="4:31">
      <c r="D75" s="26">
        <v>27</v>
      </c>
      <c r="E75" s="12">
        <v>672</v>
      </c>
      <c r="F75" s="12">
        <v>9</v>
      </c>
      <c r="G75" s="313">
        <v>6396000</v>
      </c>
      <c r="H75" s="16">
        <v>1599000</v>
      </c>
      <c r="I75" s="16">
        <v>1350000</v>
      </c>
      <c r="J75" s="35">
        <v>0</v>
      </c>
      <c r="K75" s="35">
        <v>0</v>
      </c>
      <c r="L75" s="35">
        <v>2949000</v>
      </c>
      <c r="M75" s="35">
        <v>319799.99999999994</v>
      </c>
      <c r="N75" s="12">
        <v>975000</v>
      </c>
      <c r="O75" s="35">
        <v>0</v>
      </c>
      <c r="P75" s="16"/>
      <c r="Q75" s="35">
        <v>0</v>
      </c>
      <c r="R75" s="35">
        <v>1294800</v>
      </c>
      <c r="S75" s="35">
        <v>0</v>
      </c>
      <c r="T75" s="35">
        <v>2205000</v>
      </c>
      <c r="U75" s="35">
        <v>0</v>
      </c>
      <c r="V75" s="35">
        <v>0</v>
      </c>
      <c r="W75" s="35">
        <v>2205000</v>
      </c>
      <c r="X75" s="280">
        <v>-550800</v>
      </c>
      <c r="Y75" s="13">
        <v>-0.18677517802644963</v>
      </c>
      <c r="Z75" s="13">
        <v>4.9999999999999989E-2</v>
      </c>
      <c r="AA75" s="35">
        <v>9517.8571428571431</v>
      </c>
      <c r="AB75" s="13">
        <v>0.1524390243902439</v>
      </c>
      <c r="AC75" s="35">
        <f t="shared" si="23"/>
        <v>9</v>
      </c>
      <c r="AD75" s="35">
        <f t="shared" si="24"/>
        <v>710666.66666666663</v>
      </c>
      <c r="AE75" s="35">
        <f t="shared" si="25"/>
        <v>74.666666666666671</v>
      </c>
    </row>
    <row r="76" spans="4:31">
      <c r="D76" s="26">
        <v>28</v>
      </c>
      <c r="E76" s="12">
        <v>418</v>
      </c>
      <c r="F76" s="12">
        <v>5</v>
      </c>
      <c r="G76" s="313">
        <v>3952000</v>
      </c>
      <c r="H76" s="16">
        <v>988000</v>
      </c>
      <c r="I76" s="16">
        <v>625000</v>
      </c>
      <c r="J76" s="35">
        <v>0</v>
      </c>
      <c r="K76" s="35">
        <v>0</v>
      </c>
      <c r="L76" s="35">
        <v>1613000</v>
      </c>
      <c r="M76" s="35">
        <v>197000</v>
      </c>
      <c r="N76" s="12">
        <v>525000</v>
      </c>
      <c r="O76" s="35">
        <v>0</v>
      </c>
      <c r="P76" s="16"/>
      <c r="Q76" s="35">
        <v>0</v>
      </c>
      <c r="R76" s="35">
        <v>722000</v>
      </c>
      <c r="S76" s="35">
        <v>0</v>
      </c>
      <c r="T76" s="35">
        <v>1225000</v>
      </c>
      <c r="U76" s="35">
        <v>0</v>
      </c>
      <c r="V76" s="35">
        <v>0</v>
      </c>
      <c r="W76" s="35">
        <v>1225000</v>
      </c>
      <c r="X76" s="280">
        <v>-334000</v>
      </c>
      <c r="Y76" s="13">
        <v>-0.20706757594544328</v>
      </c>
      <c r="Z76" s="13">
        <v>4.984817813765182E-2</v>
      </c>
      <c r="AA76" s="35">
        <v>9454.545454545454</v>
      </c>
      <c r="AB76" s="13">
        <v>0.13284412955465588</v>
      </c>
      <c r="AC76" s="35">
        <f t="shared" ref="AC76:AC78" si="26">F76</f>
        <v>5</v>
      </c>
      <c r="AD76" s="35">
        <f t="shared" ref="AD76:AD78" si="27">G76/F76</f>
        <v>790400</v>
      </c>
      <c r="AE76" s="35">
        <f t="shared" ref="AE76:AE78" si="28">E76/AC76</f>
        <v>83.6</v>
      </c>
    </row>
    <row r="77" spans="4:31">
      <c r="D77" s="26">
        <v>30</v>
      </c>
      <c r="E77" s="12">
        <v>650</v>
      </c>
      <c r="F77" s="12">
        <v>9</v>
      </c>
      <c r="G77" s="313">
        <v>6190000</v>
      </c>
      <c r="H77" s="16">
        <v>433330</v>
      </c>
      <c r="I77" s="16">
        <v>1240000</v>
      </c>
      <c r="J77" s="35">
        <v>0</v>
      </c>
      <c r="K77" s="35">
        <v>0</v>
      </c>
      <c r="L77" s="35">
        <v>1673330</v>
      </c>
      <c r="M77" s="35">
        <v>0</v>
      </c>
      <c r="N77" s="12">
        <v>0</v>
      </c>
      <c r="O77" s="35">
        <v>0</v>
      </c>
      <c r="P77" s="16"/>
      <c r="Q77" s="35">
        <v>0</v>
      </c>
      <c r="R77" s="35">
        <v>0</v>
      </c>
      <c r="S77" s="35">
        <v>0</v>
      </c>
      <c r="T77" s="35">
        <v>1085000</v>
      </c>
      <c r="U77" s="35">
        <v>0</v>
      </c>
      <c r="V77" s="35">
        <v>0</v>
      </c>
      <c r="W77" s="35">
        <v>1085000</v>
      </c>
      <c r="X77" s="280">
        <v>588330</v>
      </c>
      <c r="Y77" s="13">
        <v>0.35159233384927063</v>
      </c>
      <c r="Z77" s="13">
        <v>0</v>
      </c>
      <c r="AA77" s="35">
        <v>9523.0769230769238</v>
      </c>
      <c r="AB77" s="13">
        <v>0</v>
      </c>
      <c r="AC77" s="35">
        <f t="shared" si="26"/>
        <v>9</v>
      </c>
      <c r="AD77" s="35">
        <f t="shared" si="27"/>
        <v>687777.77777777775</v>
      </c>
      <c r="AE77" s="35">
        <f t="shared" si="28"/>
        <v>72.222222222222229</v>
      </c>
    </row>
    <row r="78" spans="4:31" ht="15" customHeight="1">
      <c r="D78" s="26">
        <v>31</v>
      </c>
      <c r="E78" s="12">
        <v>1074</v>
      </c>
      <c r="F78" s="12">
        <v>11</v>
      </c>
      <c r="G78" s="313">
        <v>10260000</v>
      </c>
      <c r="H78" s="16">
        <v>718200.00000000012</v>
      </c>
      <c r="I78" s="16">
        <v>0</v>
      </c>
      <c r="J78" s="35">
        <v>0</v>
      </c>
      <c r="K78" s="35">
        <v>0</v>
      </c>
      <c r="L78" s="35">
        <v>718200.00000000012</v>
      </c>
      <c r="M78" s="35">
        <v>0</v>
      </c>
      <c r="N78" s="12">
        <v>0</v>
      </c>
      <c r="O78" s="35">
        <v>0</v>
      </c>
      <c r="P78" s="16"/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280">
        <v>718200.00000000012</v>
      </c>
      <c r="Y78" s="13">
        <v>1</v>
      </c>
      <c r="Z78" s="13">
        <v>0</v>
      </c>
      <c r="AA78" s="35">
        <v>9553.0726256983235</v>
      </c>
      <c r="AB78" s="13">
        <v>0</v>
      </c>
      <c r="AC78" s="35">
        <f t="shared" si="26"/>
        <v>11</v>
      </c>
      <c r="AD78" s="35">
        <f t="shared" si="27"/>
        <v>932727.27272727271</v>
      </c>
      <c r="AE78" s="35">
        <f t="shared" si="28"/>
        <v>97.63636363636364</v>
      </c>
    </row>
    <row r="79" spans="4:31">
      <c r="D79" s="26">
        <v>32</v>
      </c>
      <c r="E79" s="12">
        <v>1058</v>
      </c>
      <c r="F79" s="12">
        <v>13</v>
      </c>
      <c r="G79" s="313">
        <v>9906000</v>
      </c>
      <c r="H79" s="16">
        <v>693420.00000000012</v>
      </c>
      <c r="I79" s="16">
        <v>0</v>
      </c>
      <c r="J79" s="35">
        <v>0</v>
      </c>
      <c r="K79" s="35">
        <v>0</v>
      </c>
      <c r="L79" s="35">
        <v>693420.00000000012</v>
      </c>
      <c r="M79" s="35">
        <v>0</v>
      </c>
      <c r="N79" s="12">
        <v>0</v>
      </c>
      <c r="O79" s="35">
        <v>0</v>
      </c>
      <c r="P79" s="16"/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280">
        <v>693420.00000000012</v>
      </c>
      <c r="Y79" s="13">
        <v>1</v>
      </c>
      <c r="Z79" s="13">
        <v>0</v>
      </c>
      <c r="AA79" s="35">
        <v>9362.9489603024576</v>
      </c>
      <c r="AB79" s="13">
        <v>0</v>
      </c>
      <c r="AC79" s="35">
        <f t="shared" ref="AC79:AC82" si="29">F79</f>
        <v>13</v>
      </c>
      <c r="AD79" s="35">
        <f t="shared" ref="AD79:AD82" si="30">G79/F79</f>
        <v>762000</v>
      </c>
      <c r="AE79" s="35">
        <f t="shared" ref="AE79:AE82" si="31">E79/AC79</f>
        <v>81.384615384615387</v>
      </c>
    </row>
    <row r="80" spans="4:31">
      <c r="D80" s="26">
        <v>33</v>
      </c>
      <c r="E80" s="12">
        <v>1092</v>
      </c>
      <c r="F80" s="12">
        <v>15</v>
      </c>
      <c r="G80" s="313">
        <v>10382000</v>
      </c>
      <c r="H80" s="16">
        <v>726740.00000000012</v>
      </c>
      <c r="I80" s="16">
        <v>0</v>
      </c>
      <c r="J80" s="35">
        <v>0</v>
      </c>
      <c r="K80" s="35">
        <v>0</v>
      </c>
      <c r="L80" s="35">
        <v>726740.00000000012</v>
      </c>
      <c r="M80" s="35">
        <v>0</v>
      </c>
      <c r="N80" s="12">
        <v>0</v>
      </c>
      <c r="O80" s="35">
        <v>0</v>
      </c>
      <c r="P80" s="16"/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280">
        <v>726740.00000000012</v>
      </c>
      <c r="Y80" s="13">
        <v>1</v>
      </c>
      <c r="Z80" s="13">
        <v>0</v>
      </c>
      <c r="AA80" s="35">
        <v>9507.326007326008</v>
      </c>
      <c r="AB80" s="13">
        <v>0</v>
      </c>
      <c r="AC80" s="35">
        <f t="shared" si="29"/>
        <v>15</v>
      </c>
      <c r="AD80" s="35">
        <f t="shared" si="30"/>
        <v>692133.33333333337</v>
      </c>
      <c r="AE80" s="35">
        <f t="shared" si="31"/>
        <v>72.8</v>
      </c>
    </row>
    <row r="81" spans="4:31">
      <c r="D81" s="26">
        <v>34</v>
      </c>
      <c r="E81" s="12">
        <v>1005</v>
      </c>
      <c r="F81" s="12">
        <v>13</v>
      </c>
      <c r="G81" s="313">
        <v>9666000</v>
      </c>
      <c r="H81" s="16">
        <v>676620.00000000012</v>
      </c>
      <c r="I81" s="16">
        <v>0</v>
      </c>
      <c r="J81" s="35">
        <v>0</v>
      </c>
      <c r="K81" s="35">
        <v>0</v>
      </c>
      <c r="L81" s="35">
        <v>676620.00000000012</v>
      </c>
      <c r="M81" s="35">
        <v>0</v>
      </c>
      <c r="N81" s="12">
        <v>0</v>
      </c>
      <c r="O81" s="35">
        <v>0</v>
      </c>
      <c r="P81" s="16"/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280">
        <v>676620.00000000012</v>
      </c>
      <c r="Y81" s="13">
        <v>1</v>
      </c>
      <c r="Z81" s="13">
        <v>0</v>
      </c>
      <c r="AA81" s="35">
        <v>9617.9104477611945</v>
      </c>
      <c r="AB81" s="13">
        <v>0</v>
      </c>
      <c r="AC81" s="35"/>
      <c r="AD81" s="35"/>
      <c r="AE81" s="35"/>
    </row>
    <row r="82" spans="4:31">
      <c r="D82" s="26">
        <v>35</v>
      </c>
      <c r="E82" s="12">
        <v>1408</v>
      </c>
      <c r="F82" s="12">
        <v>13</v>
      </c>
      <c r="G82" s="313">
        <v>13350000</v>
      </c>
      <c r="H82" s="16">
        <v>934500.00000000012</v>
      </c>
      <c r="I82" s="16">
        <v>0</v>
      </c>
      <c r="J82" s="35">
        <v>0</v>
      </c>
      <c r="K82" s="35">
        <v>0</v>
      </c>
      <c r="L82" s="35">
        <v>934500.00000000012</v>
      </c>
      <c r="M82" s="35">
        <v>0</v>
      </c>
      <c r="N82" s="12">
        <v>0</v>
      </c>
      <c r="O82" s="35">
        <v>0</v>
      </c>
      <c r="P82" s="16"/>
      <c r="Q82" s="35">
        <v>0</v>
      </c>
      <c r="R82" s="35">
        <v>0</v>
      </c>
      <c r="S82" s="35">
        <v>0</v>
      </c>
      <c r="T82" s="35">
        <v>0</v>
      </c>
      <c r="U82" s="35">
        <v>14947.822995614701</v>
      </c>
      <c r="V82" s="35">
        <v>0</v>
      </c>
      <c r="W82" s="35">
        <v>14947.822995614701</v>
      </c>
      <c r="X82" s="280">
        <v>919552.17700438539</v>
      </c>
      <c r="Y82" s="13">
        <v>0.98400446977462308</v>
      </c>
      <c r="Z82" s="13">
        <v>0</v>
      </c>
      <c r="AA82" s="35">
        <v>9481.5340909090901</v>
      </c>
      <c r="AB82" s="13">
        <v>0</v>
      </c>
      <c r="AC82" s="35">
        <f t="shared" si="29"/>
        <v>13</v>
      </c>
      <c r="AD82" s="35">
        <f t="shared" si="30"/>
        <v>1026923.0769230769</v>
      </c>
      <c r="AE82" s="35">
        <f t="shared" si="31"/>
        <v>108.30769230769231</v>
      </c>
    </row>
    <row r="83" spans="4:31">
      <c r="D83" s="26">
        <v>36</v>
      </c>
      <c r="E83" s="12">
        <v>1154</v>
      </c>
      <c r="F83" s="12">
        <v>16</v>
      </c>
      <c r="G83" s="313">
        <v>11041000</v>
      </c>
      <c r="H83" s="16">
        <v>772870.00000000012</v>
      </c>
      <c r="I83" s="16">
        <v>0</v>
      </c>
      <c r="J83" s="35">
        <v>0</v>
      </c>
      <c r="K83" s="35">
        <v>0</v>
      </c>
      <c r="L83" s="35">
        <v>772870.00000000012</v>
      </c>
      <c r="M83" s="35">
        <v>0</v>
      </c>
      <c r="N83" s="12">
        <v>0</v>
      </c>
      <c r="O83" s="35">
        <v>0</v>
      </c>
      <c r="P83" s="16"/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280">
        <v>772870.00000000012</v>
      </c>
      <c r="Y83" s="13">
        <v>1</v>
      </c>
      <c r="Z83" s="13">
        <v>0</v>
      </c>
      <c r="AA83" s="35">
        <v>9567.5909878682851</v>
      </c>
      <c r="AB83" s="13">
        <v>0</v>
      </c>
      <c r="AC83" s="35"/>
      <c r="AD83" s="35"/>
      <c r="AE83" s="35"/>
    </row>
    <row r="84" spans="4:31">
      <c r="D84" s="26">
        <v>37</v>
      </c>
      <c r="E84" s="12">
        <v>1067</v>
      </c>
      <c r="F84" s="12">
        <v>14</v>
      </c>
      <c r="G84" s="313">
        <v>10313000</v>
      </c>
      <c r="H84" s="16">
        <v>721910.00000000012</v>
      </c>
      <c r="I84" s="16"/>
      <c r="J84" s="35"/>
      <c r="K84" s="35"/>
      <c r="L84" s="35">
        <v>721910.00000000012</v>
      </c>
      <c r="M84" s="35">
        <v>0</v>
      </c>
      <c r="N84" s="12">
        <v>0</v>
      </c>
      <c r="O84" s="35">
        <v>0</v>
      </c>
      <c r="P84" s="16"/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>
        <v>0</v>
      </c>
      <c r="W84" s="35">
        <v>0</v>
      </c>
      <c r="X84" s="280">
        <v>721910.00000000012</v>
      </c>
      <c r="Y84" s="13">
        <v>1</v>
      </c>
      <c r="Z84" s="13">
        <v>0</v>
      </c>
      <c r="AA84" s="35">
        <v>9665.4170571696341</v>
      </c>
      <c r="AB84" s="13">
        <v>0</v>
      </c>
      <c r="AC84" s="35">
        <f t="shared" si="23"/>
        <v>14</v>
      </c>
      <c r="AD84" s="35">
        <f t="shared" si="24"/>
        <v>736642.85714285716</v>
      </c>
      <c r="AE84" s="35">
        <f t="shared" si="25"/>
        <v>76.214285714285708</v>
      </c>
    </row>
    <row r="85" spans="4:31">
      <c r="D85" s="26">
        <v>38</v>
      </c>
      <c r="E85" s="12">
        <v>952</v>
      </c>
      <c r="F85" s="12">
        <v>13</v>
      </c>
      <c r="G85" s="313">
        <v>9238000</v>
      </c>
      <c r="H85" s="16">
        <v>646660.00000000012</v>
      </c>
      <c r="I85" s="16">
        <v>0</v>
      </c>
      <c r="J85" s="35">
        <v>0</v>
      </c>
      <c r="K85" s="35">
        <v>0</v>
      </c>
      <c r="L85" s="35">
        <v>646660.00000000012</v>
      </c>
      <c r="M85" s="35">
        <v>0</v>
      </c>
      <c r="N85" s="12">
        <v>0</v>
      </c>
      <c r="O85" s="35">
        <v>0</v>
      </c>
      <c r="P85" s="16"/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0</v>
      </c>
      <c r="X85" s="280">
        <v>646660.00000000012</v>
      </c>
      <c r="Y85" s="13">
        <v>1</v>
      </c>
      <c r="Z85" s="13">
        <v>0</v>
      </c>
      <c r="AA85" s="35">
        <v>9703.7815126050427</v>
      </c>
      <c r="AB85" s="13">
        <v>0</v>
      </c>
      <c r="AC85" s="35">
        <f t="shared" si="23"/>
        <v>13</v>
      </c>
      <c r="AD85" s="35">
        <f t="shared" si="24"/>
        <v>710615.38461538462</v>
      </c>
      <c r="AE85" s="35">
        <f t="shared" si="25"/>
        <v>73.230769230769226</v>
      </c>
    </row>
    <row r="86" spans="4:31">
      <c r="D86" s="26">
        <v>39</v>
      </c>
      <c r="E86" s="12">
        <v>1103</v>
      </c>
      <c r="F86" s="12">
        <v>11</v>
      </c>
      <c r="G86" s="313">
        <v>10843000</v>
      </c>
      <c r="H86" s="16">
        <v>759010.00000000012</v>
      </c>
      <c r="I86" s="16">
        <v>0</v>
      </c>
      <c r="J86" s="35">
        <v>0</v>
      </c>
      <c r="K86" s="35">
        <v>0</v>
      </c>
      <c r="L86" s="35">
        <v>759010.00000000012</v>
      </c>
      <c r="M86" s="35">
        <v>0</v>
      </c>
      <c r="N86" s="12">
        <v>0</v>
      </c>
      <c r="O86" s="35">
        <v>0</v>
      </c>
      <c r="P86" s="16"/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280">
        <v>759010.00000000012</v>
      </c>
      <c r="Y86" s="13">
        <v>1</v>
      </c>
      <c r="Z86" s="13">
        <v>0</v>
      </c>
      <c r="AA86" s="35">
        <v>9830.462375339981</v>
      </c>
      <c r="AB86" s="13">
        <v>0</v>
      </c>
      <c r="AC86" s="35">
        <f t="shared" si="23"/>
        <v>11</v>
      </c>
      <c r="AD86" s="35">
        <f t="shared" si="24"/>
        <v>985727.27272727271</v>
      </c>
      <c r="AE86" s="35">
        <f t="shared" si="25"/>
        <v>100.27272727272727</v>
      </c>
    </row>
    <row r="87" spans="4:31">
      <c r="D87" s="26">
        <v>40</v>
      </c>
      <c r="E87" s="12">
        <v>1211</v>
      </c>
      <c r="F87" s="12">
        <v>13</v>
      </c>
      <c r="G87" s="313">
        <v>11867000</v>
      </c>
      <c r="H87" s="16">
        <v>830690</v>
      </c>
      <c r="I87" s="16">
        <v>0</v>
      </c>
      <c r="J87" s="35">
        <v>0</v>
      </c>
      <c r="K87" s="35">
        <v>0</v>
      </c>
      <c r="L87" s="35">
        <v>830690</v>
      </c>
      <c r="M87" s="35">
        <v>0</v>
      </c>
      <c r="N87" s="12">
        <v>0</v>
      </c>
      <c r="O87" s="35">
        <v>0</v>
      </c>
      <c r="P87" s="16"/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280">
        <v>830690</v>
      </c>
      <c r="Y87" s="13">
        <v>1</v>
      </c>
      <c r="Z87" s="13">
        <v>0</v>
      </c>
      <c r="AA87" s="35">
        <v>9799.3393889347644</v>
      </c>
      <c r="AB87" s="13">
        <v>0</v>
      </c>
      <c r="AC87" s="35">
        <f>F87</f>
        <v>13</v>
      </c>
      <c r="AD87" s="35">
        <f t="shared" si="24"/>
        <v>912846.15384615387</v>
      </c>
      <c r="AE87" s="35">
        <f t="shared" si="25"/>
        <v>93.15384615384616</v>
      </c>
    </row>
    <row r="88" spans="4:31">
      <c r="D88" s="26">
        <v>41</v>
      </c>
      <c r="E88" s="12">
        <v>1137</v>
      </c>
      <c r="F88" s="12">
        <v>16</v>
      </c>
      <c r="G88" s="313">
        <v>10712000</v>
      </c>
      <c r="H88" s="16">
        <v>749840.00000000012</v>
      </c>
      <c r="I88" s="16">
        <v>0</v>
      </c>
      <c r="J88" s="35">
        <v>0</v>
      </c>
      <c r="K88" s="35">
        <v>0</v>
      </c>
      <c r="L88" s="35">
        <v>749840.00000000012</v>
      </c>
      <c r="M88" s="35">
        <v>0</v>
      </c>
      <c r="N88" s="12">
        <v>0</v>
      </c>
      <c r="O88" s="35">
        <v>0</v>
      </c>
      <c r="P88" s="16"/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280">
        <v>749840.00000000012</v>
      </c>
      <c r="Y88" s="13">
        <v>1</v>
      </c>
      <c r="Z88" s="13">
        <v>0</v>
      </c>
      <c r="AA88" s="35">
        <v>9421.2840809146874</v>
      </c>
      <c r="AB88" s="13">
        <v>0</v>
      </c>
      <c r="AC88" s="35">
        <f t="shared" ref="AC88:AC94" si="32">F88</f>
        <v>16</v>
      </c>
      <c r="AD88" s="35">
        <f t="shared" si="24"/>
        <v>669500</v>
      </c>
      <c r="AE88" s="35">
        <f t="shared" ref="AE88:AE94" si="33">E88/AC88</f>
        <v>71.0625</v>
      </c>
    </row>
    <row r="89" spans="4:31">
      <c r="D89" s="26">
        <v>42</v>
      </c>
      <c r="E89" s="12">
        <v>1137</v>
      </c>
      <c r="F89" s="12">
        <v>12</v>
      </c>
      <c r="G89" s="313">
        <v>10731000</v>
      </c>
      <c r="H89" s="16">
        <v>751170.00000000012</v>
      </c>
      <c r="I89" s="16">
        <v>0</v>
      </c>
      <c r="J89" s="35">
        <v>0</v>
      </c>
      <c r="K89" s="35">
        <v>0</v>
      </c>
      <c r="L89" s="35">
        <v>751170.00000000012</v>
      </c>
      <c r="M89" s="35">
        <v>0</v>
      </c>
      <c r="N89" s="12">
        <v>0</v>
      </c>
      <c r="O89" s="35">
        <v>0</v>
      </c>
      <c r="P89" s="16"/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280">
        <v>751170.00000000012</v>
      </c>
      <c r="Y89" s="13">
        <v>1</v>
      </c>
      <c r="Z89" s="13">
        <v>0</v>
      </c>
      <c r="AA89" s="35">
        <v>9437.9947229551453</v>
      </c>
      <c r="AB89" s="13">
        <v>0</v>
      </c>
      <c r="AC89" s="35">
        <f t="shared" si="32"/>
        <v>12</v>
      </c>
      <c r="AD89" s="35">
        <f t="shared" si="24"/>
        <v>894250</v>
      </c>
      <c r="AE89" s="35">
        <f t="shared" si="33"/>
        <v>94.75</v>
      </c>
    </row>
    <row r="90" spans="4:31">
      <c r="D90" s="26">
        <v>43</v>
      </c>
      <c r="E90" s="12">
        <v>790</v>
      </c>
      <c r="F90" s="12">
        <v>12</v>
      </c>
      <c r="G90" s="313">
        <v>7494000</v>
      </c>
      <c r="H90" s="16">
        <v>524580</v>
      </c>
      <c r="I90" s="16">
        <v>0</v>
      </c>
      <c r="J90" s="35">
        <v>0</v>
      </c>
      <c r="K90" s="35">
        <v>0</v>
      </c>
      <c r="L90" s="35">
        <v>524580</v>
      </c>
      <c r="M90" s="35">
        <v>0</v>
      </c>
      <c r="N90" s="12">
        <v>0</v>
      </c>
      <c r="O90" s="35">
        <v>0</v>
      </c>
      <c r="P90" s="16"/>
      <c r="Q90" s="35">
        <v>0</v>
      </c>
      <c r="R90" s="35"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280">
        <v>524580</v>
      </c>
      <c r="Y90" s="13">
        <v>1</v>
      </c>
      <c r="Z90" s="13">
        <v>0</v>
      </c>
      <c r="AA90" s="35">
        <v>9486.0759493670885</v>
      </c>
      <c r="AB90" s="13">
        <v>0</v>
      </c>
      <c r="AC90" s="37">
        <f t="shared" si="32"/>
        <v>12</v>
      </c>
      <c r="AD90" s="37">
        <f t="shared" si="24"/>
        <v>624500</v>
      </c>
      <c r="AE90" s="37">
        <f t="shared" si="33"/>
        <v>65.833333333333329</v>
      </c>
    </row>
    <row r="91" spans="4:31">
      <c r="D91" s="26">
        <v>44</v>
      </c>
      <c r="E91" s="12">
        <v>839</v>
      </c>
      <c r="F91" s="12">
        <v>12</v>
      </c>
      <c r="G91" s="313">
        <v>8080000</v>
      </c>
      <c r="H91" s="16">
        <v>565600</v>
      </c>
      <c r="I91" s="16">
        <v>0</v>
      </c>
      <c r="J91" s="35">
        <v>0</v>
      </c>
      <c r="K91" s="35">
        <v>0</v>
      </c>
      <c r="L91" s="35">
        <v>565600</v>
      </c>
      <c r="M91" s="35">
        <v>0</v>
      </c>
      <c r="N91" s="12">
        <v>0</v>
      </c>
      <c r="O91" s="35">
        <v>0</v>
      </c>
      <c r="P91" s="16"/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280">
        <v>565600</v>
      </c>
      <c r="Y91" s="13">
        <v>1</v>
      </c>
      <c r="Z91" s="13">
        <v>0</v>
      </c>
      <c r="AA91" s="35">
        <v>9630.5125148986881</v>
      </c>
      <c r="AB91" s="13">
        <v>0</v>
      </c>
      <c r="AC91" s="85">
        <f t="shared" si="32"/>
        <v>12</v>
      </c>
      <c r="AD91" s="85">
        <f t="shared" si="24"/>
        <v>673333.33333333337</v>
      </c>
      <c r="AE91" s="85">
        <f t="shared" si="33"/>
        <v>69.916666666666671</v>
      </c>
    </row>
    <row r="92" spans="4:31">
      <c r="D92" s="26">
        <v>45</v>
      </c>
      <c r="E92" s="12">
        <v>851</v>
      </c>
      <c r="F92" s="12">
        <v>14</v>
      </c>
      <c r="G92" s="313">
        <v>8196000</v>
      </c>
      <c r="H92" s="16">
        <v>573720</v>
      </c>
      <c r="I92" s="16">
        <v>0</v>
      </c>
      <c r="J92" s="35">
        <v>0</v>
      </c>
      <c r="K92" s="35">
        <v>0</v>
      </c>
      <c r="L92" s="35">
        <v>573720</v>
      </c>
      <c r="M92" s="35">
        <v>0</v>
      </c>
      <c r="N92" s="12">
        <v>0</v>
      </c>
      <c r="O92" s="35">
        <v>0</v>
      </c>
      <c r="P92" s="16"/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280">
        <v>573720</v>
      </c>
      <c r="Y92" s="13">
        <v>1</v>
      </c>
      <c r="Z92" s="13">
        <v>0</v>
      </c>
      <c r="AA92" s="35">
        <v>9631.0223266744997</v>
      </c>
      <c r="AB92" s="13">
        <v>0</v>
      </c>
      <c r="AC92" s="37">
        <f t="shared" si="32"/>
        <v>14</v>
      </c>
      <c r="AD92" s="37">
        <f t="shared" si="24"/>
        <v>585428.57142857148</v>
      </c>
      <c r="AE92" s="37">
        <f t="shared" si="33"/>
        <v>60.785714285714285</v>
      </c>
    </row>
    <row r="93" spans="4:31">
      <c r="D93" s="26">
        <v>46</v>
      </c>
      <c r="E93" s="12">
        <v>656</v>
      </c>
      <c r="F93" s="12">
        <v>10</v>
      </c>
      <c r="G93" s="313">
        <v>6250000</v>
      </c>
      <c r="H93" s="16">
        <v>437500.00000000006</v>
      </c>
      <c r="I93" s="16">
        <v>0</v>
      </c>
      <c r="J93" s="35">
        <v>0</v>
      </c>
      <c r="K93" s="35">
        <v>0</v>
      </c>
      <c r="L93" s="35">
        <v>437500.00000000006</v>
      </c>
      <c r="M93" s="35">
        <v>0</v>
      </c>
      <c r="N93" s="12">
        <v>0</v>
      </c>
      <c r="O93" s="35">
        <v>0</v>
      </c>
      <c r="P93" s="16"/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280">
        <v>437500.00000000006</v>
      </c>
      <c r="Y93" s="13">
        <v>1</v>
      </c>
      <c r="Z93" s="13">
        <v>0</v>
      </c>
      <c r="AA93" s="35">
        <v>9527.4390243902435</v>
      </c>
      <c r="AB93" s="13">
        <v>0</v>
      </c>
      <c r="AC93" s="85">
        <f t="shared" si="32"/>
        <v>10</v>
      </c>
      <c r="AD93" s="85">
        <f t="shared" si="24"/>
        <v>625000</v>
      </c>
      <c r="AE93" s="85">
        <f t="shared" si="33"/>
        <v>65.599999999999994</v>
      </c>
    </row>
    <row r="94" spans="4:31">
      <c r="D94" s="26">
        <v>47</v>
      </c>
      <c r="E94" s="12">
        <v>618</v>
      </c>
      <c r="F94" s="12">
        <v>11</v>
      </c>
      <c r="G94" s="313">
        <v>5988000</v>
      </c>
      <c r="H94" s="16">
        <v>419160.00000000006</v>
      </c>
      <c r="I94" s="16">
        <v>0</v>
      </c>
      <c r="J94" s="35">
        <v>0</v>
      </c>
      <c r="K94" s="35">
        <v>0</v>
      </c>
      <c r="L94" s="35">
        <v>419160.00000000006</v>
      </c>
      <c r="M94" s="35">
        <v>0</v>
      </c>
      <c r="N94" s="12">
        <v>0</v>
      </c>
      <c r="O94" s="35">
        <v>0</v>
      </c>
      <c r="P94" s="16"/>
      <c r="Q94" s="35">
        <v>0</v>
      </c>
      <c r="R94" s="35">
        <v>0</v>
      </c>
      <c r="S94" s="35">
        <v>0</v>
      </c>
      <c r="T94" s="35">
        <v>0</v>
      </c>
      <c r="U94" s="35">
        <v>0</v>
      </c>
      <c r="V94" s="35">
        <v>0</v>
      </c>
      <c r="W94" s="35">
        <v>0</v>
      </c>
      <c r="X94" s="280">
        <v>419160.00000000006</v>
      </c>
      <c r="Y94" s="13">
        <v>1</v>
      </c>
      <c r="Z94" s="13">
        <v>0</v>
      </c>
      <c r="AA94" s="35">
        <v>9689.3203883495153</v>
      </c>
      <c r="AB94" s="13">
        <v>0</v>
      </c>
      <c r="AC94" s="35">
        <f t="shared" si="32"/>
        <v>11</v>
      </c>
      <c r="AD94" s="35">
        <f>G94/F94</f>
        <v>544363.63636363635</v>
      </c>
      <c r="AE94" s="35">
        <f t="shared" si="33"/>
        <v>56.18181818181818</v>
      </c>
    </row>
    <row r="95" spans="4:31">
      <c r="D95" s="26">
        <v>48</v>
      </c>
      <c r="E95" s="12">
        <v>759</v>
      </c>
      <c r="F95" s="12">
        <v>15</v>
      </c>
      <c r="G95" s="313">
        <v>7318000</v>
      </c>
      <c r="H95" s="16">
        <v>512260.00000000006</v>
      </c>
      <c r="I95" s="16">
        <v>0</v>
      </c>
      <c r="J95" s="35">
        <v>0</v>
      </c>
      <c r="K95" s="35">
        <v>0</v>
      </c>
      <c r="L95" s="35">
        <v>512260.00000000006</v>
      </c>
      <c r="M95" s="35">
        <v>0</v>
      </c>
      <c r="N95" s="12">
        <v>0</v>
      </c>
      <c r="O95" s="35">
        <v>0</v>
      </c>
      <c r="P95" s="16"/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  <c r="X95" s="280">
        <v>512260.00000000006</v>
      </c>
      <c r="Y95" s="13">
        <v>1</v>
      </c>
      <c r="Z95" s="13">
        <v>0</v>
      </c>
      <c r="AA95" s="35">
        <v>9641.63372859025</v>
      </c>
      <c r="AB95" s="13">
        <v>0</v>
      </c>
      <c r="AC95" s="35">
        <f t="shared" ref="AC95" si="34">F95</f>
        <v>15</v>
      </c>
      <c r="AD95" s="35">
        <f>G95/F95</f>
        <v>487866.66666666669</v>
      </c>
      <c r="AE95" s="35">
        <f t="shared" ref="AE95" si="35">E95/AC95</f>
        <v>50.6</v>
      </c>
    </row>
    <row r="96" spans="4:31">
      <c r="D96" s="26">
        <v>49</v>
      </c>
      <c r="E96" s="12">
        <v>703</v>
      </c>
      <c r="F96" s="12">
        <v>11</v>
      </c>
      <c r="G96" s="313">
        <v>6692000</v>
      </c>
      <c r="H96" s="16">
        <v>468440.00000000006</v>
      </c>
      <c r="I96" s="16">
        <v>0</v>
      </c>
      <c r="J96" s="35">
        <v>0</v>
      </c>
      <c r="K96" s="35">
        <v>0</v>
      </c>
      <c r="L96" s="35">
        <v>468440.00000000006</v>
      </c>
      <c r="M96" s="35">
        <v>0</v>
      </c>
      <c r="N96" s="12">
        <v>0</v>
      </c>
      <c r="O96" s="35">
        <v>0</v>
      </c>
      <c r="P96" s="16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280">
        <v>468440.00000000006</v>
      </c>
      <c r="Y96" s="13">
        <v>1</v>
      </c>
      <c r="Z96" s="13">
        <v>0</v>
      </c>
      <c r="AA96" s="35">
        <v>9519.2034139402567</v>
      </c>
      <c r="AB96" s="13">
        <v>0</v>
      </c>
      <c r="AC96" s="35">
        <f t="shared" ref="AC96:AC99" si="36">F96</f>
        <v>11</v>
      </c>
      <c r="AD96" s="35">
        <f t="shared" ref="AD96:AD99" si="37">G96/F96</f>
        <v>608363.63636363635</v>
      </c>
      <c r="AE96" s="35">
        <f t="shared" ref="AE96:AE99" si="38">E96/AC96</f>
        <v>63.909090909090907</v>
      </c>
    </row>
    <row r="97" spans="4:31">
      <c r="D97" s="26">
        <v>50</v>
      </c>
      <c r="E97" s="12">
        <v>704</v>
      </c>
      <c r="F97" s="12">
        <v>12</v>
      </c>
      <c r="G97" s="313">
        <v>6732000</v>
      </c>
      <c r="H97" s="16">
        <v>471240.00000000006</v>
      </c>
      <c r="I97" s="16">
        <v>0</v>
      </c>
      <c r="J97" s="35">
        <v>0</v>
      </c>
      <c r="K97" s="35">
        <v>0</v>
      </c>
      <c r="L97" s="35">
        <v>471240.00000000006</v>
      </c>
      <c r="M97" s="35">
        <v>0</v>
      </c>
      <c r="N97" s="12">
        <v>0</v>
      </c>
      <c r="O97" s="35">
        <v>0</v>
      </c>
      <c r="P97" s="16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280">
        <v>471240.00000000006</v>
      </c>
      <c r="Y97" s="13">
        <v>1</v>
      </c>
      <c r="Z97" s="13">
        <v>0</v>
      </c>
      <c r="AA97" s="35">
        <v>9562.5</v>
      </c>
      <c r="AB97" s="13">
        <v>0</v>
      </c>
      <c r="AC97" s="35">
        <f t="shared" si="36"/>
        <v>12</v>
      </c>
      <c r="AD97" s="35">
        <f t="shared" si="37"/>
        <v>561000</v>
      </c>
      <c r="AE97" s="35">
        <f t="shared" si="38"/>
        <v>58.666666666666664</v>
      </c>
    </row>
    <row r="98" spans="4:31">
      <c r="D98" s="26">
        <v>51</v>
      </c>
      <c r="E98" s="12">
        <v>530</v>
      </c>
      <c r="F98" s="12">
        <v>11</v>
      </c>
      <c r="G98" s="313">
        <v>5085000</v>
      </c>
      <c r="H98" s="16">
        <v>355950.00000000006</v>
      </c>
      <c r="I98" s="16">
        <v>0</v>
      </c>
      <c r="J98" s="35">
        <v>0</v>
      </c>
      <c r="K98" s="35">
        <v>0</v>
      </c>
      <c r="L98" s="35">
        <v>355950.00000000006</v>
      </c>
      <c r="M98" s="35">
        <v>0</v>
      </c>
      <c r="N98" s="12">
        <v>0</v>
      </c>
      <c r="O98" s="35">
        <v>0</v>
      </c>
      <c r="P98" s="16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280">
        <v>355950.00000000006</v>
      </c>
      <c r="Y98" s="13">
        <v>1</v>
      </c>
      <c r="Z98" s="13">
        <v>0</v>
      </c>
      <c r="AA98" s="35">
        <v>9594.3396226415098</v>
      </c>
      <c r="AB98" s="13">
        <v>0</v>
      </c>
      <c r="AC98" s="35">
        <f t="shared" si="36"/>
        <v>11</v>
      </c>
      <c r="AD98" s="35">
        <f t="shared" si="37"/>
        <v>462272.72727272729</v>
      </c>
      <c r="AE98" s="35">
        <f t="shared" si="38"/>
        <v>48.18181818181818</v>
      </c>
    </row>
    <row r="99" spans="4:31">
      <c r="D99" s="26">
        <v>52</v>
      </c>
      <c r="E99" s="12">
        <v>545</v>
      </c>
      <c r="F99" s="12">
        <v>11</v>
      </c>
      <c r="G99" s="313">
        <v>5231000</v>
      </c>
      <c r="H99" s="16">
        <v>366170.00000000006</v>
      </c>
      <c r="I99" s="16">
        <v>0</v>
      </c>
      <c r="J99" s="35">
        <v>0</v>
      </c>
      <c r="K99" s="35">
        <v>0</v>
      </c>
      <c r="L99" s="35">
        <v>366170.00000000006</v>
      </c>
      <c r="M99" s="35">
        <v>0</v>
      </c>
      <c r="N99" s="12">
        <v>0</v>
      </c>
      <c r="O99" s="35">
        <v>0</v>
      </c>
      <c r="P99" s="16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280">
        <v>366170.00000000006</v>
      </c>
      <c r="Y99" s="13">
        <v>1</v>
      </c>
      <c r="Z99" s="13">
        <v>0</v>
      </c>
      <c r="AA99" s="35">
        <v>9598.1651376146783</v>
      </c>
      <c r="AB99" s="13">
        <v>0</v>
      </c>
      <c r="AC99" s="35">
        <f t="shared" si="36"/>
        <v>11</v>
      </c>
      <c r="AD99" s="35">
        <f t="shared" si="37"/>
        <v>475545.45454545453</v>
      </c>
      <c r="AE99" s="35">
        <f t="shared" si="38"/>
        <v>49.545454545454547</v>
      </c>
    </row>
    <row r="100" spans="4:31">
      <c r="D100" s="82">
        <v>12026</v>
      </c>
      <c r="E100" s="246">
        <v>392</v>
      </c>
      <c r="F100" s="246">
        <v>10</v>
      </c>
      <c r="G100" s="322">
        <v>3767000</v>
      </c>
      <c r="H100" s="81">
        <v>263690</v>
      </c>
      <c r="I100" s="81">
        <v>0</v>
      </c>
      <c r="J100" s="37">
        <v>0</v>
      </c>
      <c r="K100" s="37">
        <v>0</v>
      </c>
      <c r="L100" s="37">
        <v>263690</v>
      </c>
      <c r="M100" s="37">
        <v>0</v>
      </c>
      <c r="N100" s="246">
        <v>0</v>
      </c>
      <c r="O100" s="37">
        <v>0</v>
      </c>
      <c r="P100" s="81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283">
        <v>263690</v>
      </c>
      <c r="Y100" s="244">
        <v>1</v>
      </c>
      <c r="Z100" s="244">
        <v>0</v>
      </c>
      <c r="AA100" s="37">
        <v>9609.6938775510207</v>
      </c>
      <c r="AB100" s="244">
        <v>0</v>
      </c>
      <c r="AC100" s="35">
        <f t="shared" ref="AC100:AC101" si="39">F100</f>
        <v>10</v>
      </c>
      <c r="AD100" s="35">
        <f t="shared" ref="AD100:AD101" si="40">G100/F100</f>
        <v>376700</v>
      </c>
      <c r="AE100" s="35">
        <f t="shared" ref="AE100:AE101" si="41">E100/AC100</f>
        <v>39.200000000000003</v>
      </c>
    </row>
    <row r="101" spans="4:31">
      <c r="D101" s="82">
        <v>22026</v>
      </c>
      <c r="E101" s="246">
        <v>374</v>
      </c>
      <c r="F101" s="246">
        <v>9</v>
      </c>
      <c r="G101" s="322">
        <v>3570000</v>
      </c>
      <c r="H101" s="81">
        <v>249900.00000000003</v>
      </c>
      <c r="I101" s="81">
        <v>0</v>
      </c>
      <c r="J101" s="37">
        <v>0</v>
      </c>
      <c r="K101" s="37">
        <v>0</v>
      </c>
      <c r="L101" s="37">
        <v>249900.00000000003</v>
      </c>
      <c r="M101" s="37">
        <v>0</v>
      </c>
      <c r="N101" s="246">
        <v>0</v>
      </c>
      <c r="O101" s="37">
        <v>0</v>
      </c>
      <c r="P101" s="81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283">
        <v>249900.00000000003</v>
      </c>
      <c r="Y101" s="244">
        <v>1</v>
      </c>
      <c r="Z101" s="244">
        <v>0</v>
      </c>
      <c r="AA101" s="37">
        <v>9545.454545454546</v>
      </c>
      <c r="AB101" s="244">
        <v>0</v>
      </c>
      <c r="AC101" s="35">
        <f t="shared" si="39"/>
        <v>9</v>
      </c>
      <c r="AD101" s="35">
        <f t="shared" si="40"/>
        <v>396666.66666666669</v>
      </c>
      <c r="AE101" s="35">
        <f t="shared" si="41"/>
        <v>41.555555555555557</v>
      </c>
    </row>
    <row r="102" spans="4:31">
      <c r="D102" s="26">
        <v>32026</v>
      </c>
      <c r="E102" s="12">
        <v>320</v>
      </c>
      <c r="F102" s="12">
        <v>9</v>
      </c>
      <c r="G102" s="313">
        <v>3084000</v>
      </c>
      <c r="H102" s="16">
        <v>215880.00000000003</v>
      </c>
      <c r="I102" s="16">
        <v>0</v>
      </c>
      <c r="J102" s="35">
        <v>0</v>
      </c>
      <c r="K102" s="35">
        <v>0</v>
      </c>
      <c r="L102" s="35">
        <v>215880.00000000003</v>
      </c>
      <c r="M102" s="35">
        <v>0</v>
      </c>
      <c r="N102" s="12">
        <v>0</v>
      </c>
      <c r="O102" s="35">
        <v>0</v>
      </c>
      <c r="P102" s="16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280">
        <v>215880.00000000003</v>
      </c>
      <c r="Y102" s="13">
        <v>1</v>
      </c>
      <c r="Z102" s="13">
        <v>0</v>
      </c>
      <c r="AA102" s="35">
        <v>9637.5</v>
      </c>
      <c r="AB102" s="13">
        <v>0</v>
      </c>
      <c r="AC102" s="35"/>
      <c r="AD102" s="35"/>
      <c r="AE102" s="35"/>
    </row>
    <row r="103" spans="4:31">
      <c r="D103" s="26">
        <v>42026</v>
      </c>
      <c r="E103" s="12">
        <v>276</v>
      </c>
      <c r="F103" s="12">
        <v>9</v>
      </c>
      <c r="G103" s="313">
        <v>2655000</v>
      </c>
      <c r="H103" s="16">
        <v>185850.00000000003</v>
      </c>
      <c r="I103" s="16">
        <v>0</v>
      </c>
      <c r="J103" s="35">
        <v>0</v>
      </c>
      <c r="K103" s="35">
        <v>0</v>
      </c>
      <c r="L103" s="35">
        <v>185850.00000000003</v>
      </c>
      <c r="M103" s="35">
        <v>0</v>
      </c>
      <c r="N103" s="12">
        <v>0</v>
      </c>
      <c r="O103" s="35">
        <v>0</v>
      </c>
      <c r="P103" s="16"/>
      <c r="Q103" s="35"/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280">
        <v>185850.00000000003</v>
      </c>
      <c r="Y103" s="13">
        <v>1</v>
      </c>
      <c r="Z103" s="13">
        <v>0</v>
      </c>
      <c r="AA103" s="35">
        <v>9619.565217391304</v>
      </c>
      <c r="AB103" s="13">
        <v>0</v>
      </c>
      <c r="AC103" s="35">
        <f t="shared" ref="AC103" si="42">F103</f>
        <v>9</v>
      </c>
      <c r="AD103" s="35">
        <f t="shared" ref="AD103" si="43">G103/F103</f>
        <v>295000</v>
      </c>
      <c r="AE103" s="35">
        <f t="shared" ref="AE103" si="44">E103/AC103</f>
        <v>30.666666666666668</v>
      </c>
    </row>
    <row r="104" spans="4:31">
      <c r="D104" s="26">
        <v>52026</v>
      </c>
      <c r="E104" s="12">
        <v>361</v>
      </c>
      <c r="F104" s="12">
        <v>8</v>
      </c>
      <c r="G104" s="313">
        <v>3483000</v>
      </c>
      <c r="H104" s="16">
        <v>243810.00000000003</v>
      </c>
      <c r="I104" s="16">
        <v>0</v>
      </c>
      <c r="J104" s="35">
        <v>0</v>
      </c>
      <c r="K104" s="35">
        <v>0</v>
      </c>
      <c r="L104" s="35">
        <v>243810.00000000003</v>
      </c>
      <c r="M104" s="35">
        <v>0</v>
      </c>
      <c r="N104" s="12">
        <v>0</v>
      </c>
      <c r="O104" s="35">
        <v>0</v>
      </c>
      <c r="P104" s="16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0</v>
      </c>
      <c r="V104" s="35">
        <v>0</v>
      </c>
      <c r="W104" s="35">
        <v>0</v>
      </c>
      <c r="X104" s="280">
        <v>243810.00000000003</v>
      </c>
      <c r="Y104" s="13">
        <v>1</v>
      </c>
      <c r="Z104" s="13">
        <v>0</v>
      </c>
      <c r="AA104" s="35">
        <v>9648.1994459833786</v>
      </c>
      <c r="AB104" s="13">
        <v>0</v>
      </c>
      <c r="AC104" s="35">
        <f t="shared" ref="AC104:AC109" si="45">F104</f>
        <v>8</v>
      </c>
      <c r="AD104" s="35">
        <f t="shared" ref="AD104:AD109" si="46">G104/F104</f>
        <v>435375</v>
      </c>
      <c r="AE104" s="35">
        <f t="shared" ref="AE104:AE109" si="47">E104/AC104</f>
        <v>45.125</v>
      </c>
    </row>
    <row r="105" spans="4:31">
      <c r="D105" s="26">
        <v>62026</v>
      </c>
      <c r="E105" s="12">
        <v>218</v>
      </c>
      <c r="F105" s="12">
        <v>6</v>
      </c>
      <c r="G105" s="313">
        <v>2139000</v>
      </c>
      <c r="H105" s="16">
        <v>149730</v>
      </c>
      <c r="I105" s="16">
        <v>0</v>
      </c>
      <c r="J105" s="35">
        <v>0</v>
      </c>
      <c r="K105" s="35">
        <v>0</v>
      </c>
      <c r="L105" s="35">
        <v>149730</v>
      </c>
      <c r="M105" s="35">
        <v>0</v>
      </c>
      <c r="N105" s="12">
        <v>0</v>
      </c>
      <c r="O105" s="35">
        <v>0</v>
      </c>
      <c r="P105" s="16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280">
        <v>149730</v>
      </c>
      <c r="Y105" s="13">
        <v>1</v>
      </c>
      <c r="Z105" s="13">
        <v>0</v>
      </c>
      <c r="AA105" s="35">
        <v>9811.9266055045864</v>
      </c>
      <c r="AB105" s="13">
        <v>0</v>
      </c>
      <c r="AC105" s="35">
        <f t="shared" si="45"/>
        <v>6</v>
      </c>
      <c r="AD105" s="35">
        <f t="shared" si="46"/>
        <v>356500</v>
      </c>
      <c r="AE105" s="35">
        <f t="shared" si="47"/>
        <v>36.333333333333336</v>
      </c>
    </row>
    <row r="106" spans="4:31">
      <c r="D106" s="26">
        <v>72026</v>
      </c>
      <c r="E106" s="12">
        <v>309</v>
      </c>
      <c r="F106" s="12">
        <v>6</v>
      </c>
      <c r="G106" s="313">
        <v>2991000</v>
      </c>
      <c r="H106" s="16">
        <v>209370.00000000003</v>
      </c>
      <c r="I106" s="16">
        <v>0</v>
      </c>
      <c r="J106" s="35">
        <v>0</v>
      </c>
      <c r="K106" s="35">
        <v>0</v>
      </c>
      <c r="L106" s="35">
        <v>209370.00000000003</v>
      </c>
      <c r="M106" s="35">
        <v>0</v>
      </c>
      <c r="N106" s="12">
        <v>0</v>
      </c>
      <c r="O106" s="35">
        <v>0</v>
      </c>
      <c r="P106" s="16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280">
        <v>209370.00000000003</v>
      </c>
      <c r="Y106" s="13">
        <v>1</v>
      </c>
      <c r="Z106" s="13">
        <v>0</v>
      </c>
      <c r="AA106" s="35">
        <v>9679.6116504854363</v>
      </c>
      <c r="AB106" s="13">
        <v>0</v>
      </c>
      <c r="AC106" s="35">
        <f t="shared" si="45"/>
        <v>6</v>
      </c>
      <c r="AD106" s="35">
        <f t="shared" si="46"/>
        <v>498500</v>
      </c>
      <c r="AE106" s="35">
        <f t="shared" si="47"/>
        <v>51.5</v>
      </c>
    </row>
    <row r="107" spans="4:31">
      <c r="D107" s="26" t="s">
        <v>180</v>
      </c>
      <c r="E107" s="12">
        <v>0</v>
      </c>
      <c r="F107" s="12">
        <v>0</v>
      </c>
      <c r="G107" s="313">
        <v>0</v>
      </c>
      <c r="H107" s="16">
        <v>0</v>
      </c>
      <c r="I107" s="16">
        <v>0</v>
      </c>
      <c r="J107" s="35">
        <v>0</v>
      </c>
      <c r="K107" s="35">
        <v>0</v>
      </c>
      <c r="L107" s="35">
        <v>0</v>
      </c>
      <c r="M107" s="35">
        <v>0</v>
      </c>
      <c r="N107" s="12">
        <v>0</v>
      </c>
      <c r="O107" s="35">
        <v>0</v>
      </c>
      <c r="P107" s="16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280">
        <v>0</v>
      </c>
      <c r="Y107" s="13">
        <v>0</v>
      </c>
      <c r="Z107" s="13">
        <v>0</v>
      </c>
      <c r="AA107" s="35">
        <v>0</v>
      </c>
      <c r="AB107" s="13">
        <v>0</v>
      </c>
      <c r="AC107" s="35">
        <f t="shared" si="45"/>
        <v>0</v>
      </c>
      <c r="AD107" s="35" t="e">
        <f t="shared" si="46"/>
        <v>#DIV/0!</v>
      </c>
      <c r="AE107" s="35" t="e">
        <f t="shared" si="47"/>
        <v>#DIV/0!</v>
      </c>
    </row>
    <row r="108" spans="4:31">
      <c r="D108" s="26" t="s">
        <v>181</v>
      </c>
      <c r="E108" s="12">
        <v>0</v>
      </c>
      <c r="F108" s="12">
        <v>0</v>
      </c>
      <c r="G108" s="313">
        <v>0</v>
      </c>
      <c r="H108" s="16">
        <v>0</v>
      </c>
      <c r="I108" s="16">
        <v>0</v>
      </c>
      <c r="J108" s="35">
        <v>0</v>
      </c>
      <c r="K108" s="35">
        <v>0</v>
      </c>
      <c r="L108" s="35">
        <v>0</v>
      </c>
      <c r="M108" s="35">
        <v>0</v>
      </c>
      <c r="N108" s="12">
        <v>0</v>
      </c>
      <c r="O108" s="35">
        <v>0</v>
      </c>
      <c r="P108" s="16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280">
        <v>0</v>
      </c>
      <c r="Y108" s="13">
        <v>0</v>
      </c>
      <c r="Z108" s="13">
        <v>0</v>
      </c>
      <c r="AA108" s="35">
        <v>0</v>
      </c>
      <c r="AB108" s="13">
        <v>0</v>
      </c>
      <c r="AC108" s="35">
        <f t="shared" si="45"/>
        <v>0</v>
      </c>
      <c r="AD108" s="35" t="e">
        <f t="shared" si="46"/>
        <v>#DIV/0!</v>
      </c>
      <c r="AE108" s="35" t="e">
        <f t="shared" si="47"/>
        <v>#DIV/0!</v>
      </c>
    </row>
    <row r="109" spans="4:31">
      <c r="D109" s="26" t="s">
        <v>182</v>
      </c>
      <c r="E109" s="12">
        <v>0</v>
      </c>
      <c r="F109" s="12">
        <v>0</v>
      </c>
      <c r="G109" s="313">
        <v>0</v>
      </c>
      <c r="H109" s="16">
        <v>0</v>
      </c>
      <c r="I109" s="16">
        <v>0</v>
      </c>
      <c r="J109" s="35">
        <v>0</v>
      </c>
      <c r="K109" s="35">
        <v>0</v>
      </c>
      <c r="L109" s="35">
        <v>0</v>
      </c>
      <c r="M109" s="35">
        <v>0</v>
      </c>
      <c r="N109" s="12">
        <v>0</v>
      </c>
      <c r="O109" s="35">
        <v>0</v>
      </c>
      <c r="P109" s="16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280">
        <v>0</v>
      </c>
      <c r="Y109" s="13">
        <v>0</v>
      </c>
      <c r="Z109" s="13">
        <v>0</v>
      </c>
      <c r="AA109" s="35">
        <v>0</v>
      </c>
      <c r="AB109" s="13">
        <v>0</v>
      </c>
      <c r="AC109" s="35">
        <f t="shared" si="45"/>
        <v>0</v>
      </c>
      <c r="AD109" s="35" t="e">
        <f t="shared" si="46"/>
        <v>#DIV/0!</v>
      </c>
      <c r="AE109" s="35" t="e">
        <f t="shared" si="47"/>
        <v>#DIV/0!</v>
      </c>
    </row>
    <row r="110" spans="4:31">
      <c r="D110" s="11" t="s">
        <v>203</v>
      </c>
      <c r="E110" s="12">
        <v>2336</v>
      </c>
      <c r="F110" s="12">
        <v>2</v>
      </c>
      <c r="G110" s="313">
        <v>7008000</v>
      </c>
      <c r="H110" s="16">
        <v>1566570</v>
      </c>
      <c r="I110" s="16">
        <v>650000</v>
      </c>
      <c r="J110" s="35">
        <v>0</v>
      </c>
      <c r="K110" s="35">
        <v>0</v>
      </c>
      <c r="L110" s="35">
        <v>2216570</v>
      </c>
      <c r="M110" s="35">
        <v>557850</v>
      </c>
      <c r="N110" s="12">
        <v>760000</v>
      </c>
      <c r="O110" s="35">
        <v>0</v>
      </c>
      <c r="P110" s="16">
        <v>0</v>
      </c>
      <c r="Q110" s="35">
        <v>0</v>
      </c>
      <c r="R110" s="35">
        <v>1317850</v>
      </c>
      <c r="S110" s="35">
        <v>0</v>
      </c>
      <c r="T110" s="35">
        <v>1225000</v>
      </c>
      <c r="U110" s="35">
        <v>0</v>
      </c>
      <c r="V110" s="35">
        <v>0</v>
      </c>
      <c r="W110" s="35">
        <v>1225000</v>
      </c>
      <c r="X110" s="280">
        <v>-326279.99999999988</v>
      </c>
      <c r="Y110" s="13">
        <v>-0.14720040422815425</v>
      </c>
      <c r="Z110" s="13">
        <v>7.9601883561643841E-2</v>
      </c>
      <c r="AA110" s="35">
        <v>3000</v>
      </c>
      <c r="AB110" s="13">
        <v>0.10844748858447488</v>
      </c>
      <c r="AC110" s="35"/>
      <c r="AD110" s="35"/>
      <c r="AE110" s="35"/>
    </row>
    <row r="111" spans="4:31">
      <c r="D111" s="11" t="s">
        <v>177</v>
      </c>
      <c r="E111" s="12">
        <v>5318</v>
      </c>
      <c r="F111" s="12">
        <v>5</v>
      </c>
      <c r="G111" s="313">
        <v>58883000</v>
      </c>
      <c r="H111" s="16">
        <v>17664900</v>
      </c>
      <c r="I111" s="16">
        <v>7400000</v>
      </c>
      <c r="J111" s="35">
        <v>0</v>
      </c>
      <c r="K111" s="35">
        <v>25000</v>
      </c>
      <c r="L111" s="35">
        <v>25089900</v>
      </c>
      <c r="M111" s="35">
        <v>4316570</v>
      </c>
      <c r="N111" s="12">
        <v>8312500</v>
      </c>
      <c r="O111" s="35">
        <v>0</v>
      </c>
      <c r="P111" s="16">
        <v>0</v>
      </c>
      <c r="Q111" s="35">
        <v>0</v>
      </c>
      <c r="R111" s="35">
        <v>12629070</v>
      </c>
      <c r="S111" s="35">
        <v>2933333.3333333335</v>
      </c>
      <c r="T111" s="35">
        <v>9615000</v>
      </c>
      <c r="U111" s="35">
        <v>0</v>
      </c>
      <c r="V111" s="35">
        <v>0</v>
      </c>
      <c r="W111" s="35">
        <v>12548333.333333338</v>
      </c>
      <c r="X111" s="280">
        <v>-87503.333333333838</v>
      </c>
      <c r="Y111" s="13">
        <v>-3.4875919526715466E-3</v>
      </c>
      <c r="Z111" s="13">
        <v>7.3307576040622935E-2</v>
      </c>
      <c r="AA111" s="35">
        <v>11072.39563745769</v>
      </c>
      <c r="AB111" s="13">
        <v>0.14116977735509401</v>
      </c>
      <c r="AC111" s="35">
        <v>4</v>
      </c>
      <c r="AD111" s="35">
        <v>357250</v>
      </c>
      <c r="AE111" s="35">
        <v>34</v>
      </c>
    </row>
    <row r="112" spans="4:31">
      <c r="D112" s="26">
        <v>31</v>
      </c>
      <c r="E112" s="12">
        <v>212</v>
      </c>
      <c r="F112" s="12">
        <v>1</v>
      </c>
      <c r="G112" s="313">
        <v>2469000</v>
      </c>
      <c r="H112" s="16">
        <v>740700</v>
      </c>
      <c r="I112" s="16">
        <v>175000</v>
      </c>
      <c r="J112" s="35">
        <v>0</v>
      </c>
      <c r="K112" s="35">
        <v>0</v>
      </c>
      <c r="L112" s="35">
        <v>915700</v>
      </c>
      <c r="M112" s="35">
        <v>123450</v>
      </c>
      <c r="N112" s="12">
        <v>175000</v>
      </c>
      <c r="O112" s="35">
        <v>0</v>
      </c>
      <c r="P112" s="16"/>
      <c r="Q112" s="35">
        <v>0</v>
      </c>
      <c r="R112" s="35">
        <v>298450</v>
      </c>
      <c r="S112" s="35">
        <v>0</v>
      </c>
      <c r="T112" s="35">
        <v>245000</v>
      </c>
      <c r="U112" s="35">
        <v>0</v>
      </c>
      <c r="V112" s="35">
        <v>0</v>
      </c>
      <c r="W112" s="35">
        <v>245000</v>
      </c>
      <c r="X112" s="280">
        <v>372250</v>
      </c>
      <c r="Y112" s="13">
        <v>0.40651960248989844</v>
      </c>
      <c r="Z112" s="13">
        <v>0.05</v>
      </c>
      <c r="AA112" s="35">
        <v>11646.226415094339</v>
      </c>
      <c r="AB112" s="13">
        <v>7.0878898339408664E-2</v>
      </c>
      <c r="AC112" s="35">
        <f t="shared" ref="AC112:AC115" si="48">F112</f>
        <v>1</v>
      </c>
      <c r="AD112" s="35">
        <f t="shared" ref="AD112:AD115" si="49">G112/F112</f>
        <v>2469000</v>
      </c>
      <c r="AE112" s="35">
        <f t="shared" ref="AE112:AE115" si="50">E112/AC112</f>
        <v>212</v>
      </c>
    </row>
    <row r="113" spans="4:31">
      <c r="D113" s="26">
        <v>32</v>
      </c>
      <c r="E113" s="12">
        <v>241</v>
      </c>
      <c r="F113" s="12">
        <v>1</v>
      </c>
      <c r="G113" s="313">
        <v>2772000</v>
      </c>
      <c r="H113" s="16">
        <v>831600</v>
      </c>
      <c r="I113" s="16">
        <v>175000</v>
      </c>
      <c r="J113" s="35">
        <v>0</v>
      </c>
      <c r="K113" s="35">
        <v>0</v>
      </c>
      <c r="L113" s="35">
        <v>1006600</v>
      </c>
      <c r="M113" s="35">
        <v>304920</v>
      </c>
      <c r="N113" s="12">
        <v>315000</v>
      </c>
      <c r="O113" s="35">
        <v>0</v>
      </c>
      <c r="P113" s="16"/>
      <c r="Q113" s="35">
        <v>0</v>
      </c>
      <c r="R113" s="35">
        <v>619920</v>
      </c>
      <c r="S113" s="35">
        <v>0</v>
      </c>
      <c r="T113" s="35">
        <v>245000</v>
      </c>
      <c r="U113" s="35">
        <v>0</v>
      </c>
      <c r="V113" s="35">
        <v>0</v>
      </c>
      <c r="W113" s="35">
        <v>245000</v>
      </c>
      <c r="X113" s="280">
        <v>141680</v>
      </c>
      <c r="Y113" s="13">
        <v>0.1407510431154381</v>
      </c>
      <c r="Z113" s="13">
        <v>0.11</v>
      </c>
      <c r="AA113" s="35">
        <v>11502.07468879668</v>
      </c>
      <c r="AB113" s="13">
        <v>0.11363636363636363</v>
      </c>
      <c r="AC113" s="35">
        <f t="shared" si="48"/>
        <v>1</v>
      </c>
      <c r="AD113" s="35">
        <f t="shared" si="49"/>
        <v>2772000</v>
      </c>
      <c r="AE113" s="35">
        <f t="shared" si="50"/>
        <v>241</v>
      </c>
    </row>
    <row r="114" spans="4:31">
      <c r="D114" s="26">
        <v>33</v>
      </c>
      <c r="E114" s="12">
        <v>296</v>
      </c>
      <c r="F114" s="12">
        <v>2</v>
      </c>
      <c r="G114" s="313">
        <v>3318000</v>
      </c>
      <c r="H114" s="16">
        <v>995400</v>
      </c>
      <c r="I114" s="16">
        <v>325000</v>
      </c>
      <c r="J114" s="35">
        <v>0</v>
      </c>
      <c r="K114" s="35">
        <v>0</v>
      </c>
      <c r="L114" s="35">
        <v>1320400</v>
      </c>
      <c r="M114" s="35">
        <v>328440</v>
      </c>
      <c r="N114" s="12">
        <v>465000</v>
      </c>
      <c r="O114" s="35">
        <v>0</v>
      </c>
      <c r="P114" s="16"/>
      <c r="Q114" s="35">
        <v>0</v>
      </c>
      <c r="R114" s="35">
        <v>793440</v>
      </c>
      <c r="S114" s="35">
        <v>0</v>
      </c>
      <c r="T114" s="35">
        <v>455000</v>
      </c>
      <c r="U114" s="35">
        <v>0</v>
      </c>
      <c r="V114" s="35">
        <v>0</v>
      </c>
      <c r="W114" s="35">
        <v>455000</v>
      </c>
      <c r="X114" s="280">
        <v>71960</v>
      </c>
      <c r="Y114" s="13">
        <v>5.4498636776734326E-2</v>
      </c>
      <c r="Z114" s="13">
        <v>9.8987341772151904E-2</v>
      </c>
      <c r="AA114" s="35">
        <v>11209.45945945946</v>
      </c>
      <c r="AB114" s="13">
        <v>0.14014466546112117</v>
      </c>
      <c r="AC114" s="35"/>
      <c r="AD114" s="35"/>
      <c r="AE114" s="35"/>
    </row>
    <row r="115" spans="4:31">
      <c r="D115" s="26">
        <v>34</v>
      </c>
      <c r="E115" s="12">
        <v>291</v>
      </c>
      <c r="F115" s="12">
        <v>2</v>
      </c>
      <c r="G115" s="313">
        <v>3305000</v>
      </c>
      <c r="H115" s="16">
        <v>991500</v>
      </c>
      <c r="I115" s="16">
        <v>325000</v>
      </c>
      <c r="J115" s="35">
        <v>0</v>
      </c>
      <c r="K115" s="35">
        <v>0</v>
      </c>
      <c r="L115" s="35">
        <v>1316500</v>
      </c>
      <c r="M115" s="35">
        <v>289700</v>
      </c>
      <c r="N115" s="12">
        <v>465000</v>
      </c>
      <c r="O115" s="35">
        <v>0</v>
      </c>
      <c r="P115" s="16"/>
      <c r="Q115" s="35">
        <v>0</v>
      </c>
      <c r="R115" s="35">
        <v>754700</v>
      </c>
      <c r="S115" s="35">
        <v>0</v>
      </c>
      <c r="T115" s="35">
        <v>455000</v>
      </c>
      <c r="U115" s="35">
        <v>0</v>
      </c>
      <c r="V115" s="35">
        <v>0</v>
      </c>
      <c r="W115" s="35">
        <v>455000</v>
      </c>
      <c r="X115" s="280">
        <v>106800</v>
      </c>
      <c r="Y115" s="13">
        <v>8.112419293581466E-2</v>
      </c>
      <c r="Z115" s="13">
        <v>8.7655068078668685E-2</v>
      </c>
      <c r="AA115" s="35">
        <v>11357.388316151202</v>
      </c>
      <c r="AB115" s="13">
        <v>0.14069591527987896</v>
      </c>
      <c r="AC115" s="35">
        <f t="shared" si="48"/>
        <v>2</v>
      </c>
      <c r="AD115" s="35">
        <f t="shared" si="49"/>
        <v>1652500</v>
      </c>
      <c r="AE115" s="35">
        <f t="shared" si="50"/>
        <v>145.5</v>
      </c>
    </row>
    <row r="116" spans="4:31">
      <c r="D116" s="26">
        <v>35</v>
      </c>
      <c r="E116" s="12">
        <v>287</v>
      </c>
      <c r="F116" s="12">
        <v>2</v>
      </c>
      <c r="G116" s="313">
        <v>3208000</v>
      </c>
      <c r="H116" s="16">
        <v>962400</v>
      </c>
      <c r="I116" s="16">
        <v>350000</v>
      </c>
      <c r="J116" s="35">
        <v>0</v>
      </c>
      <c r="K116" s="35">
        <v>0</v>
      </c>
      <c r="L116" s="35">
        <v>1312400</v>
      </c>
      <c r="M116" s="35">
        <v>288400</v>
      </c>
      <c r="N116" s="12">
        <v>465000</v>
      </c>
      <c r="O116" s="35">
        <v>0</v>
      </c>
      <c r="P116" s="16"/>
      <c r="Q116" s="35">
        <v>0</v>
      </c>
      <c r="R116" s="35">
        <v>753400</v>
      </c>
      <c r="S116" s="35">
        <v>0</v>
      </c>
      <c r="T116" s="35">
        <v>455000</v>
      </c>
      <c r="U116" s="35">
        <v>0</v>
      </c>
      <c r="V116" s="35">
        <v>0</v>
      </c>
      <c r="W116" s="35">
        <v>455000</v>
      </c>
      <c r="X116" s="280">
        <v>104000</v>
      </c>
      <c r="Y116" s="13">
        <v>7.9244132886315141E-2</v>
      </c>
      <c r="Z116" s="13">
        <v>8.9900249376558605E-2</v>
      </c>
      <c r="AA116" s="35">
        <v>11177.700348432056</v>
      </c>
      <c r="AB116" s="13">
        <v>0.14495012468827931</v>
      </c>
      <c r="AC116" s="37"/>
      <c r="AD116" s="37"/>
      <c r="AE116" s="37"/>
    </row>
    <row r="117" spans="4:31">
      <c r="D117" s="26">
        <v>36</v>
      </c>
      <c r="E117" s="12">
        <v>197</v>
      </c>
      <c r="F117" s="12">
        <v>3</v>
      </c>
      <c r="G117" s="313">
        <v>2691000</v>
      </c>
      <c r="H117" s="16">
        <v>807300</v>
      </c>
      <c r="I117" s="16">
        <v>325000</v>
      </c>
      <c r="J117" s="35">
        <v>0</v>
      </c>
      <c r="K117" s="35">
        <v>0</v>
      </c>
      <c r="L117" s="35">
        <v>1132300</v>
      </c>
      <c r="M117" s="35">
        <v>187560</v>
      </c>
      <c r="N117" s="12">
        <v>330000</v>
      </c>
      <c r="O117" s="35">
        <v>0</v>
      </c>
      <c r="P117" s="16"/>
      <c r="Q117" s="35">
        <v>0</v>
      </c>
      <c r="R117" s="35">
        <v>517560</v>
      </c>
      <c r="S117" s="35">
        <v>0</v>
      </c>
      <c r="T117" s="35">
        <v>420000</v>
      </c>
      <c r="U117" s="35">
        <v>0</v>
      </c>
      <c r="V117" s="35">
        <v>0</v>
      </c>
      <c r="W117" s="35">
        <v>420000</v>
      </c>
      <c r="X117" s="280">
        <v>194740</v>
      </c>
      <c r="Y117" s="13">
        <v>0.1719862227324914</v>
      </c>
      <c r="Z117" s="13">
        <v>6.9698996655518389E-2</v>
      </c>
      <c r="AA117" s="35">
        <v>13659.89847715736</v>
      </c>
      <c r="AB117" s="13">
        <v>0.12263099219620958</v>
      </c>
      <c r="AC117" s="85"/>
      <c r="AD117" s="85"/>
      <c r="AE117" s="85"/>
    </row>
    <row r="118" spans="4:31">
      <c r="D118" s="26">
        <v>37</v>
      </c>
      <c r="E118" s="12">
        <v>361</v>
      </c>
      <c r="F118" s="12">
        <v>2</v>
      </c>
      <c r="G118" s="313">
        <v>3983000</v>
      </c>
      <c r="H118" s="16">
        <v>1194900</v>
      </c>
      <c r="I118" s="16">
        <v>350000</v>
      </c>
      <c r="J118" s="35">
        <v>0</v>
      </c>
      <c r="K118" s="35">
        <v>0</v>
      </c>
      <c r="L118" s="35">
        <v>1544900</v>
      </c>
      <c r="M118" s="35">
        <v>368300</v>
      </c>
      <c r="N118" s="12">
        <v>525000</v>
      </c>
      <c r="O118" s="35">
        <v>0</v>
      </c>
      <c r="P118" s="16"/>
      <c r="Q118" s="35">
        <v>0</v>
      </c>
      <c r="R118" s="35">
        <v>893300</v>
      </c>
      <c r="S118" s="35">
        <v>0</v>
      </c>
      <c r="T118" s="35">
        <v>490000</v>
      </c>
      <c r="U118" s="35">
        <v>0</v>
      </c>
      <c r="V118" s="35">
        <v>0</v>
      </c>
      <c r="W118" s="35">
        <v>490000</v>
      </c>
      <c r="X118" s="280">
        <v>161600</v>
      </c>
      <c r="Y118" s="13">
        <v>0.10460223962716034</v>
      </c>
      <c r="Z118" s="13">
        <v>9.2467988953050459E-2</v>
      </c>
      <c r="AA118" s="35">
        <v>11033.240997229917</v>
      </c>
      <c r="AB118" s="13">
        <v>0.13181019332161686</v>
      </c>
      <c r="AC118" s="37">
        <f t="shared" ref="AC118" si="51">F118</f>
        <v>2</v>
      </c>
      <c r="AD118" s="37">
        <f t="shared" ref="AD118" si="52">G118/F118</f>
        <v>1991500</v>
      </c>
      <c r="AE118" s="37">
        <f t="shared" ref="AE118" si="53">E118/AC118</f>
        <v>180.5</v>
      </c>
    </row>
    <row r="119" spans="4:31">
      <c r="D119" s="26">
        <v>38</v>
      </c>
      <c r="E119" s="12">
        <v>418</v>
      </c>
      <c r="F119" s="12">
        <v>2</v>
      </c>
      <c r="G119" s="313">
        <v>4774000</v>
      </c>
      <c r="H119" s="16">
        <v>1432200</v>
      </c>
      <c r="I119" s="16">
        <v>350000</v>
      </c>
      <c r="J119" s="35">
        <v>0</v>
      </c>
      <c r="K119" s="35">
        <v>0</v>
      </c>
      <c r="L119" s="35">
        <v>1782200</v>
      </c>
      <c r="M119" s="35">
        <v>468770</v>
      </c>
      <c r="N119" s="12">
        <v>495000</v>
      </c>
      <c r="O119" s="35">
        <v>0</v>
      </c>
      <c r="P119" s="16"/>
      <c r="Q119" s="35">
        <v>0</v>
      </c>
      <c r="R119" s="35">
        <v>963770</v>
      </c>
      <c r="S119" s="35">
        <v>0</v>
      </c>
      <c r="T119" s="35">
        <v>455000</v>
      </c>
      <c r="U119" s="35">
        <v>0</v>
      </c>
      <c r="V119" s="35">
        <v>0</v>
      </c>
      <c r="W119" s="35">
        <v>455000</v>
      </c>
      <c r="X119" s="280">
        <v>363430</v>
      </c>
      <c r="Y119" s="13">
        <v>0.20392211872965998</v>
      </c>
      <c r="Z119" s="13">
        <v>9.8192291579388358E-2</v>
      </c>
      <c r="AA119" s="35">
        <v>11421.052631578947</v>
      </c>
      <c r="AB119" s="13">
        <v>0.10368663594470046</v>
      </c>
      <c r="AC119" s="85"/>
      <c r="AD119" s="85"/>
      <c r="AE119" s="85"/>
    </row>
    <row r="120" spans="4:31">
      <c r="D120" s="26">
        <v>39</v>
      </c>
      <c r="E120" s="12">
        <v>327</v>
      </c>
      <c r="F120" s="12">
        <v>2</v>
      </c>
      <c r="G120" s="313">
        <v>3663000</v>
      </c>
      <c r="H120" s="16">
        <v>1098900</v>
      </c>
      <c r="I120" s="16">
        <v>350000</v>
      </c>
      <c r="J120" s="35">
        <v>0</v>
      </c>
      <c r="K120" s="35">
        <v>0</v>
      </c>
      <c r="L120" s="35">
        <v>1448900</v>
      </c>
      <c r="M120" s="35">
        <v>312370</v>
      </c>
      <c r="N120" s="12">
        <v>507500</v>
      </c>
      <c r="O120" s="35">
        <v>0</v>
      </c>
      <c r="P120" s="16"/>
      <c r="Q120" s="35">
        <v>0</v>
      </c>
      <c r="R120" s="35">
        <v>819870</v>
      </c>
      <c r="S120" s="35">
        <v>0</v>
      </c>
      <c r="T120" s="35">
        <v>490000</v>
      </c>
      <c r="U120" s="35">
        <v>0</v>
      </c>
      <c r="V120" s="35">
        <v>0</v>
      </c>
      <c r="W120" s="35">
        <v>490000</v>
      </c>
      <c r="X120" s="280">
        <v>139030</v>
      </c>
      <c r="Y120" s="13">
        <v>9.5955552488094412E-2</v>
      </c>
      <c r="Z120" s="13">
        <v>8.5277095277095274E-2</v>
      </c>
      <c r="AA120" s="35">
        <v>11201.834862385322</v>
      </c>
      <c r="AB120" s="13">
        <v>0.13854763854763855</v>
      </c>
      <c r="AC120" s="35">
        <f t="shared" ref="AC120" si="54">F120</f>
        <v>2</v>
      </c>
      <c r="AD120" s="35">
        <f t="shared" ref="AD120" si="55">G120/F120</f>
        <v>1831500</v>
      </c>
      <c r="AE120" s="35">
        <f t="shared" ref="AE120" si="56">E120/AC120</f>
        <v>163.5</v>
      </c>
    </row>
    <row r="121" spans="4:31">
      <c r="D121" s="26">
        <v>40</v>
      </c>
      <c r="E121" s="12">
        <v>362</v>
      </c>
      <c r="F121" s="12">
        <v>4</v>
      </c>
      <c r="G121" s="313">
        <v>3915000</v>
      </c>
      <c r="H121" s="16">
        <v>1174500</v>
      </c>
      <c r="I121" s="16">
        <v>500000</v>
      </c>
      <c r="J121" s="35">
        <v>0</v>
      </c>
      <c r="K121" s="35">
        <v>0</v>
      </c>
      <c r="L121" s="35">
        <v>1674500</v>
      </c>
      <c r="M121" s="35">
        <v>193800</v>
      </c>
      <c r="N121" s="12">
        <v>450000</v>
      </c>
      <c r="O121" s="35">
        <v>0</v>
      </c>
      <c r="P121" s="16"/>
      <c r="Q121" s="35">
        <v>0</v>
      </c>
      <c r="R121" s="35">
        <v>643800</v>
      </c>
      <c r="S121" s="35">
        <v>0</v>
      </c>
      <c r="T121" s="35">
        <v>480000</v>
      </c>
      <c r="U121" s="35">
        <v>0</v>
      </c>
      <c r="V121" s="35">
        <v>0</v>
      </c>
      <c r="W121" s="35">
        <v>480000</v>
      </c>
      <c r="X121" s="280">
        <v>550700</v>
      </c>
      <c r="Y121" s="13">
        <v>0.3288742908330845</v>
      </c>
      <c r="Z121" s="13">
        <v>4.9501915708812259E-2</v>
      </c>
      <c r="AA121" s="35">
        <v>10814.917127071823</v>
      </c>
      <c r="AB121" s="13">
        <v>0.11494252873563218</v>
      </c>
      <c r="AC121" s="35"/>
      <c r="AD121" s="35"/>
      <c r="AE121" s="35"/>
    </row>
    <row r="122" spans="4:31">
      <c r="D122" s="26">
        <v>41</v>
      </c>
      <c r="E122" s="12">
        <v>547</v>
      </c>
      <c r="F122" s="12">
        <v>5</v>
      </c>
      <c r="G122" s="313">
        <v>5917000</v>
      </c>
      <c r="H122" s="16">
        <v>1775100</v>
      </c>
      <c r="I122" s="16">
        <v>800000</v>
      </c>
      <c r="J122" s="35">
        <v>0</v>
      </c>
      <c r="K122" s="35">
        <v>25000</v>
      </c>
      <c r="L122" s="35">
        <v>2600100</v>
      </c>
      <c r="M122" s="35">
        <v>387010</v>
      </c>
      <c r="N122" s="12">
        <v>872500</v>
      </c>
      <c r="O122" s="35">
        <v>0</v>
      </c>
      <c r="P122" s="16"/>
      <c r="Q122" s="35">
        <v>0</v>
      </c>
      <c r="R122" s="35">
        <v>1259510</v>
      </c>
      <c r="S122" s="35">
        <v>0</v>
      </c>
      <c r="T122" s="35">
        <v>1050000</v>
      </c>
      <c r="U122" s="35">
        <v>0</v>
      </c>
      <c r="V122" s="35">
        <v>0</v>
      </c>
      <c r="W122" s="35">
        <v>1050000</v>
      </c>
      <c r="X122" s="280">
        <v>290590</v>
      </c>
      <c r="Y122" s="13">
        <v>0.11176108611207261</v>
      </c>
      <c r="Z122" s="13">
        <v>6.5406455974311301E-2</v>
      </c>
      <c r="AA122" s="35">
        <v>10817.184643510054</v>
      </c>
      <c r="AB122" s="13">
        <v>0.14745648132499578</v>
      </c>
      <c r="AC122" s="35"/>
      <c r="AD122" s="35"/>
      <c r="AE122" s="35"/>
    </row>
    <row r="123" spans="4:31">
      <c r="D123" s="26">
        <v>42</v>
      </c>
      <c r="E123" s="12">
        <v>408</v>
      </c>
      <c r="F123" s="12">
        <v>5</v>
      </c>
      <c r="G123" s="313">
        <v>4209000</v>
      </c>
      <c r="H123" s="16">
        <v>1262700</v>
      </c>
      <c r="I123" s="16">
        <v>700000</v>
      </c>
      <c r="J123" s="35">
        <v>0</v>
      </c>
      <c r="K123" s="35">
        <v>0</v>
      </c>
      <c r="L123" s="35">
        <v>1962700</v>
      </c>
      <c r="M123" s="35">
        <v>210450</v>
      </c>
      <c r="N123" s="12">
        <v>650000</v>
      </c>
      <c r="O123" s="35">
        <v>0</v>
      </c>
      <c r="P123" s="16"/>
      <c r="Q123" s="35">
        <v>0</v>
      </c>
      <c r="R123" s="35">
        <v>860450</v>
      </c>
      <c r="S123" s="35">
        <v>250000</v>
      </c>
      <c r="T123" s="35">
        <v>910000</v>
      </c>
      <c r="U123" s="35">
        <v>0</v>
      </c>
      <c r="V123" s="35">
        <v>0</v>
      </c>
      <c r="W123" s="35">
        <v>1160000</v>
      </c>
      <c r="X123" s="280">
        <v>-57750</v>
      </c>
      <c r="Y123" s="13">
        <v>-2.942375299332552E-2</v>
      </c>
      <c r="Z123" s="13">
        <v>0.05</v>
      </c>
      <c r="AA123" s="35">
        <v>10316.176470588236</v>
      </c>
      <c r="AB123" s="13">
        <v>0.15443098123069612</v>
      </c>
      <c r="AC123" s="35"/>
      <c r="AD123" s="35"/>
      <c r="AE123" s="35"/>
    </row>
    <row r="124" spans="4:31">
      <c r="D124" s="26">
        <v>43</v>
      </c>
      <c r="E124" s="12">
        <v>225</v>
      </c>
      <c r="F124" s="12">
        <v>5</v>
      </c>
      <c r="G124" s="313">
        <v>2411000</v>
      </c>
      <c r="H124" s="16">
        <v>723300</v>
      </c>
      <c r="I124" s="16">
        <v>475000</v>
      </c>
      <c r="J124" s="35">
        <v>0</v>
      </c>
      <c r="K124" s="35">
        <v>0</v>
      </c>
      <c r="L124" s="35">
        <v>1198300</v>
      </c>
      <c r="M124" s="35">
        <v>120550</v>
      </c>
      <c r="N124" s="12">
        <v>475000</v>
      </c>
      <c r="O124" s="35">
        <v>0</v>
      </c>
      <c r="P124" s="16"/>
      <c r="Q124" s="35">
        <v>0</v>
      </c>
      <c r="R124" s="35">
        <v>595550</v>
      </c>
      <c r="S124" s="35">
        <v>350000</v>
      </c>
      <c r="T124" s="35">
        <v>665000</v>
      </c>
      <c r="U124" s="35">
        <v>0</v>
      </c>
      <c r="V124" s="35">
        <v>0</v>
      </c>
      <c r="W124" s="35">
        <v>1015000</v>
      </c>
      <c r="X124" s="280">
        <v>-412250</v>
      </c>
      <c r="Y124" s="13">
        <v>-0.34402904114161731</v>
      </c>
      <c r="Z124" s="13">
        <v>0.05</v>
      </c>
      <c r="AA124" s="35">
        <v>10715.555555555555</v>
      </c>
      <c r="AB124" s="13">
        <v>0.19701368726669433</v>
      </c>
      <c r="AC124" s="35"/>
      <c r="AD124" s="35"/>
      <c r="AE124" s="35"/>
    </row>
    <row r="125" spans="4:31">
      <c r="D125" s="26">
        <v>44</v>
      </c>
      <c r="E125" s="12">
        <v>267</v>
      </c>
      <c r="F125" s="12">
        <v>2</v>
      </c>
      <c r="G125" s="313">
        <v>2828000</v>
      </c>
      <c r="H125" s="16">
        <v>848400</v>
      </c>
      <c r="I125" s="16">
        <v>350000</v>
      </c>
      <c r="J125" s="35">
        <v>0</v>
      </c>
      <c r="K125" s="35">
        <v>0</v>
      </c>
      <c r="L125" s="35">
        <v>1198400</v>
      </c>
      <c r="M125" s="35">
        <v>229880</v>
      </c>
      <c r="N125" s="12">
        <v>337500</v>
      </c>
      <c r="O125" s="35">
        <v>0</v>
      </c>
      <c r="P125" s="16"/>
      <c r="Q125" s="35">
        <v>0</v>
      </c>
      <c r="R125" s="35">
        <v>567380</v>
      </c>
      <c r="S125" s="35">
        <v>350000</v>
      </c>
      <c r="T125" s="35">
        <v>350000</v>
      </c>
      <c r="U125" s="35">
        <v>0</v>
      </c>
      <c r="V125" s="35">
        <v>0</v>
      </c>
      <c r="W125" s="35">
        <v>700000</v>
      </c>
      <c r="X125" s="280">
        <v>-68980</v>
      </c>
      <c r="Y125" s="13">
        <v>-5.7560080106809082E-2</v>
      </c>
      <c r="Z125" s="13">
        <v>8.128712871287129E-2</v>
      </c>
      <c r="AA125" s="35">
        <v>10591.760299625468</v>
      </c>
      <c r="AB125" s="13">
        <v>0.11934229137199434</v>
      </c>
      <c r="AC125" s="35"/>
      <c r="AD125" s="35"/>
      <c r="AE125" s="35"/>
    </row>
    <row r="126" spans="4:31">
      <c r="D126" s="26">
        <v>45</v>
      </c>
      <c r="E126" s="12">
        <v>123</v>
      </c>
      <c r="F126" s="12">
        <v>2</v>
      </c>
      <c r="G126" s="313">
        <v>1377000</v>
      </c>
      <c r="H126" s="16">
        <v>413100</v>
      </c>
      <c r="I126" s="16">
        <v>350000</v>
      </c>
      <c r="J126" s="35">
        <v>0</v>
      </c>
      <c r="K126" s="35">
        <v>0</v>
      </c>
      <c r="L126" s="35">
        <v>763100</v>
      </c>
      <c r="M126" s="35">
        <v>68850</v>
      </c>
      <c r="N126" s="12">
        <v>250000</v>
      </c>
      <c r="O126" s="35">
        <v>0</v>
      </c>
      <c r="P126" s="16"/>
      <c r="Q126" s="35">
        <v>0</v>
      </c>
      <c r="R126" s="35">
        <v>318850</v>
      </c>
      <c r="S126" s="35">
        <v>350000</v>
      </c>
      <c r="T126" s="35">
        <v>350000</v>
      </c>
      <c r="U126" s="35">
        <v>0</v>
      </c>
      <c r="V126" s="35">
        <v>0</v>
      </c>
      <c r="W126" s="35">
        <v>700000</v>
      </c>
      <c r="X126" s="280">
        <v>-255750</v>
      </c>
      <c r="Y126" s="13">
        <v>-0.33514611453282661</v>
      </c>
      <c r="Z126" s="13">
        <v>0.05</v>
      </c>
      <c r="AA126" s="35">
        <v>11195.121951219513</v>
      </c>
      <c r="AB126" s="13">
        <v>0.18155410312273057</v>
      </c>
      <c r="AC126" s="35"/>
      <c r="AD126" s="35"/>
      <c r="AE126" s="35"/>
    </row>
    <row r="127" spans="4:31">
      <c r="D127" s="26">
        <v>46</v>
      </c>
      <c r="E127" s="12">
        <v>137</v>
      </c>
      <c r="F127" s="12">
        <v>4</v>
      </c>
      <c r="G127" s="313">
        <v>1429000</v>
      </c>
      <c r="H127" s="16">
        <v>428700</v>
      </c>
      <c r="I127" s="16">
        <v>275000</v>
      </c>
      <c r="J127" s="35">
        <v>0</v>
      </c>
      <c r="K127" s="35">
        <v>0</v>
      </c>
      <c r="L127" s="35">
        <v>703700</v>
      </c>
      <c r="M127" s="35">
        <v>69800</v>
      </c>
      <c r="N127" s="12">
        <v>275000</v>
      </c>
      <c r="O127" s="35">
        <v>0</v>
      </c>
      <c r="P127" s="16"/>
      <c r="Q127" s="35">
        <v>0</v>
      </c>
      <c r="R127" s="35">
        <v>344800</v>
      </c>
      <c r="S127" s="35">
        <v>233333.33333333334</v>
      </c>
      <c r="T127" s="35">
        <v>385000</v>
      </c>
      <c r="U127" s="35">
        <v>0</v>
      </c>
      <c r="V127" s="35">
        <v>0</v>
      </c>
      <c r="W127" s="35">
        <v>618333.33333333337</v>
      </c>
      <c r="X127" s="280">
        <v>-259433.33333333337</v>
      </c>
      <c r="Y127" s="13">
        <v>-0.3686703614229549</v>
      </c>
      <c r="Z127" s="13">
        <v>4.8845346396081173E-2</v>
      </c>
      <c r="AA127" s="35">
        <v>10430.656934306569</v>
      </c>
      <c r="AB127" s="13">
        <v>0.19244226731980407</v>
      </c>
      <c r="AC127" s="35"/>
      <c r="AD127" s="35"/>
      <c r="AE127" s="35"/>
    </row>
    <row r="128" spans="4:31">
      <c r="D128" s="26">
        <v>47</v>
      </c>
      <c r="E128" s="12">
        <v>74</v>
      </c>
      <c r="F128" s="12">
        <v>2</v>
      </c>
      <c r="G128" s="313">
        <v>774000</v>
      </c>
      <c r="H128" s="16">
        <v>232200</v>
      </c>
      <c r="I128" s="16">
        <v>200000</v>
      </c>
      <c r="J128" s="35">
        <v>0</v>
      </c>
      <c r="K128" s="35">
        <v>0</v>
      </c>
      <c r="L128" s="35">
        <v>432200</v>
      </c>
      <c r="M128" s="35">
        <v>38700</v>
      </c>
      <c r="N128" s="12">
        <v>200000</v>
      </c>
      <c r="O128" s="35">
        <v>0</v>
      </c>
      <c r="P128" s="16"/>
      <c r="Q128" s="35">
        <v>0</v>
      </c>
      <c r="R128" s="35">
        <v>238700</v>
      </c>
      <c r="S128" s="35">
        <v>233333.33333333334</v>
      </c>
      <c r="T128" s="35">
        <v>280000</v>
      </c>
      <c r="U128" s="35">
        <v>0</v>
      </c>
      <c r="V128" s="35">
        <v>0</v>
      </c>
      <c r="W128" s="35">
        <v>513333.33333333337</v>
      </c>
      <c r="X128" s="280">
        <v>-319833.33333333337</v>
      </c>
      <c r="Y128" s="13">
        <v>-0.74001233996606519</v>
      </c>
      <c r="Z128" s="13">
        <v>0.05</v>
      </c>
      <c r="AA128" s="35">
        <v>10459.45945945946</v>
      </c>
      <c r="AB128" s="13">
        <v>0.25839793281653745</v>
      </c>
      <c r="AC128" s="35"/>
      <c r="AD128" s="35"/>
      <c r="AE128" s="35"/>
    </row>
    <row r="129" spans="4:31">
      <c r="D129" s="26">
        <v>48</v>
      </c>
      <c r="E129" s="12">
        <v>157</v>
      </c>
      <c r="F129" s="12">
        <v>3</v>
      </c>
      <c r="G129" s="313">
        <v>1715000</v>
      </c>
      <c r="H129" s="16">
        <v>514500</v>
      </c>
      <c r="I129" s="16">
        <v>300000</v>
      </c>
      <c r="J129" s="35">
        <v>0</v>
      </c>
      <c r="K129" s="35">
        <v>0</v>
      </c>
      <c r="L129" s="35">
        <v>814500</v>
      </c>
      <c r="M129" s="35">
        <v>85750</v>
      </c>
      <c r="N129" s="12">
        <v>300000</v>
      </c>
      <c r="O129" s="35">
        <v>0</v>
      </c>
      <c r="P129" s="16"/>
      <c r="Q129" s="35">
        <v>0</v>
      </c>
      <c r="R129" s="35">
        <v>385750</v>
      </c>
      <c r="S129" s="35">
        <v>233333.33333333334</v>
      </c>
      <c r="T129" s="35">
        <v>420000</v>
      </c>
      <c r="U129" s="35">
        <v>0</v>
      </c>
      <c r="V129" s="35">
        <v>0</v>
      </c>
      <c r="W129" s="35">
        <v>653333.33333333337</v>
      </c>
      <c r="X129" s="280">
        <v>-224583.33333333337</v>
      </c>
      <c r="Y129" s="13">
        <v>-0.27573153263761002</v>
      </c>
      <c r="Z129" s="13">
        <v>0.05</v>
      </c>
      <c r="AA129" s="35">
        <v>10923.566878980891</v>
      </c>
      <c r="AB129" s="13">
        <v>0.1749271137026239</v>
      </c>
      <c r="AC129" s="35"/>
      <c r="AD129" s="35"/>
      <c r="AE129" s="35"/>
    </row>
    <row r="130" spans="4:31">
      <c r="D130" s="26">
        <v>49</v>
      </c>
      <c r="E130" s="12">
        <v>155</v>
      </c>
      <c r="F130" s="12">
        <v>3</v>
      </c>
      <c r="G130" s="313">
        <v>1617000</v>
      </c>
      <c r="H130" s="16">
        <v>485100</v>
      </c>
      <c r="I130" s="16">
        <v>250000</v>
      </c>
      <c r="J130" s="35">
        <v>0</v>
      </c>
      <c r="K130" s="35">
        <v>0</v>
      </c>
      <c r="L130" s="35">
        <v>735100</v>
      </c>
      <c r="M130" s="35">
        <v>118320</v>
      </c>
      <c r="N130" s="12">
        <v>285000</v>
      </c>
      <c r="O130" s="35">
        <v>0</v>
      </c>
      <c r="P130" s="16">
        <v>0</v>
      </c>
      <c r="Q130" s="35">
        <v>0</v>
      </c>
      <c r="R130" s="35">
        <v>403320</v>
      </c>
      <c r="S130" s="35">
        <v>233333.33333333334</v>
      </c>
      <c r="T130" s="35">
        <v>350000</v>
      </c>
      <c r="U130" s="35">
        <v>0</v>
      </c>
      <c r="V130" s="35">
        <v>0</v>
      </c>
      <c r="W130" s="35">
        <v>583333.33333333337</v>
      </c>
      <c r="X130" s="280">
        <v>-251553.33333333337</v>
      </c>
      <c r="Y130" s="13">
        <v>-0.34220287489230494</v>
      </c>
      <c r="Z130" s="13">
        <v>7.317254174397031E-2</v>
      </c>
      <c r="AA130" s="35">
        <v>10432.258064516129</v>
      </c>
      <c r="AB130" s="13">
        <v>0.17625231910946196</v>
      </c>
      <c r="AC130" s="85"/>
      <c r="AD130" s="85"/>
      <c r="AE130" s="85"/>
    </row>
    <row r="131" spans="4:31">
      <c r="D131" s="26">
        <v>50</v>
      </c>
      <c r="E131" s="12">
        <v>115</v>
      </c>
      <c r="F131" s="12">
        <v>2</v>
      </c>
      <c r="G131" s="313">
        <v>1235000</v>
      </c>
      <c r="H131" s="16">
        <v>370500</v>
      </c>
      <c r="I131" s="16">
        <v>225000</v>
      </c>
      <c r="J131" s="35">
        <v>0</v>
      </c>
      <c r="K131" s="35">
        <v>0</v>
      </c>
      <c r="L131" s="35">
        <v>595500</v>
      </c>
      <c r="M131" s="35">
        <v>61750</v>
      </c>
      <c r="N131" s="12">
        <v>225000</v>
      </c>
      <c r="O131" s="35">
        <v>0</v>
      </c>
      <c r="P131" s="16">
        <v>0</v>
      </c>
      <c r="Q131" s="35">
        <v>0</v>
      </c>
      <c r="R131" s="35">
        <v>286750</v>
      </c>
      <c r="S131" s="35">
        <v>233333.33333333334</v>
      </c>
      <c r="T131" s="35">
        <v>315000</v>
      </c>
      <c r="U131" s="35">
        <v>0</v>
      </c>
      <c r="V131" s="35">
        <v>0</v>
      </c>
      <c r="W131" s="35">
        <v>548333.33333333337</v>
      </c>
      <c r="X131" s="280">
        <v>-239583.33333333337</v>
      </c>
      <c r="Y131" s="13">
        <v>-0.40232297788972859</v>
      </c>
      <c r="Z131" s="13">
        <v>0.05</v>
      </c>
      <c r="AA131" s="35">
        <v>10739.130434782608</v>
      </c>
      <c r="AB131" s="13">
        <v>0.18218623481781376</v>
      </c>
      <c r="AC131" s="85"/>
      <c r="AD131" s="85"/>
      <c r="AE131" s="85"/>
    </row>
    <row r="132" spans="4:31">
      <c r="D132" s="26">
        <v>51</v>
      </c>
      <c r="E132" s="12">
        <v>110</v>
      </c>
      <c r="F132" s="12">
        <v>2</v>
      </c>
      <c r="G132" s="313">
        <v>1196000</v>
      </c>
      <c r="H132" s="16">
        <v>358800</v>
      </c>
      <c r="I132" s="16">
        <v>225000</v>
      </c>
      <c r="J132" s="35">
        <v>0</v>
      </c>
      <c r="K132" s="35">
        <v>0</v>
      </c>
      <c r="L132" s="35">
        <v>583800</v>
      </c>
      <c r="M132" s="35">
        <v>59800</v>
      </c>
      <c r="N132" s="12">
        <v>225000</v>
      </c>
      <c r="O132" s="35">
        <v>0</v>
      </c>
      <c r="P132" s="16">
        <v>0</v>
      </c>
      <c r="Q132" s="35">
        <v>0</v>
      </c>
      <c r="R132" s="35">
        <v>284800</v>
      </c>
      <c r="S132" s="35">
        <v>233333.33333333334</v>
      </c>
      <c r="T132" s="35">
        <v>315000</v>
      </c>
      <c r="U132" s="35">
        <v>0</v>
      </c>
      <c r="V132" s="35">
        <v>0</v>
      </c>
      <c r="W132" s="35">
        <v>548333.33333333337</v>
      </c>
      <c r="X132" s="280">
        <v>-249333.33333333337</v>
      </c>
      <c r="Y132" s="13">
        <v>-0.42708690190704585</v>
      </c>
      <c r="Z132" s="13">
        <v>0.05</v>
      </c>
      <c r="AA132" s="35">
        <v>10872.727272727272</v>
      </c>
      <c r="AB132" s="13">
        <v>0.18812709030100336</v>
      </c>
      <c r="AC132" s="35"/>
      <c r="AD132" s="35"/>
      <c r="AE132" s="35"/>
    </row>
    <row r="133" spans="4:31">
      <c r="D133" s="26">
        <v>52</v>
      </c>
      <c r="E133" s="12">
        <v>8</v>
      </c>
      <c r="F133" s="12">
        <v>1</v>
      </c>
      <c r="G133" s="313">
        <v>77000</v>
      </c>
      <c r="H133" s="16">
        <v>23100</v>
      </c>
      <c r="I133" s="16">
        <v>25000</v>
      </c>
      <c r="J133" s="35">
        <v>0</v>
      </c>
      <c r="K133" s="35">
        <v>0</v>
      </c>
      <c r="L133" s="35">
        <v>48100</v>
      </c>
      <c r="M133" s="35">
        <v>0</v>
      </c>
      <c r="N133" s="12">
        <v>25000</v>
      </c>
      <c r="O133" s="35">
        <v>0</v>
      </c>
      <c r="P133" s="16">
        <v>0</v>
      </c>
      <c r="Q133" s="35">
        <v>0</v>
      </c>
      <c r="R133" s="35">
        <v>25000</v>
      </c>
      <c r="S133" s="35">
        <v>233333.33333333334</v>
      </c>
      <c r="T133" s="35">
        <v>35000</v>
      </c>
      <c r="U133" s="35">
        <v>0</v>
      </c>
      <c r="V133" s="35">
        <v>0</v>
      </c>
      <c r="W133" s="35">
        <v>268333.33333333337</v>
      </c>
      <c r="X133" s="280">
        <v>-245233.33333333337</v>
      </c>
      <c r="Y133" s="13">
        <v>-5.098406098406099</v>
      </c>
      <c r="Z133" s="13">
        <v>0</v>
      </c>
      <c r="AA133" s="35">
        <v>9625</v>
      </c>
      <c r="AB133" s="13">
        <v>0.32467532467532467</v>
      </c>
      <c r="AC133" s="35"/>
      <c r="AD133" s="35"/>
      <c r="AE133" s="35"/>
    </row>
    <row r="134" spans="4:31">
      <c r="D134" s="26" t="s">
        <v>180</v>
      </c>
      <c r="E134" s="12">
        <v>0</v>
      </c>
      <c r="F134" s="12">
        <v>0</v>
      </c>
      <c r="G134" s="313">
        <v>0</v>
      </c>
      <c r="H134" s="16">
        <v>0</v>
      </c>
      <c r="I134" s="16">
        <v>0</v>
      </c>
      <c r="J134" s="35">
        <v>0</v>
      </c>
      <c r="K134" s="35">
        <v>0</v>
      </c>
      <c r="L134" s="35">
        <v>0</v>
      </c>
      <c r="M134" s="35">
        <v>0</v>
      </c>
      <c r="N134" s="12">
        <v>0</v>
      </c>
      <c r="O134" s="35">
        <v>0</v>
      </c>
      <c r="P134" s="16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280">
        <v>0</v>
      </c>
      <c r="Y134" s="13">
        <v>0</v>
      </c>
      <c r="Z134" s="13">
        <v>0</v>
      </c>
      <c r="AA134" s="35">
        <v>0</v>
      </c>
      <c r="AB134" s="13">
        <v>0</v>
      </c>
      <c r="AC134" s="35"/>
      <c r="AD134" s="35"/>
      <c r="AE134" s="35"/>
    </row>
    <row r="135" spans="4:31">
      <c r="D135" s="26" t="s">
        <v>181</v>
      </c>
      <c r="E135" s="12">
        <v>0</v>
      </c>
      <c r="F135" s="12">
        <v>0</v>
      </c>
      <c r="G135" s="313">
        <v>0</v>
      </c>
      <c r="H135" s="16">
        <v>0</v>
      </c>
      <c r="I135" s="16">
        <v>0</v>
      </c>
      <c r="J135" s="35">
        <v>0</v>
      </c>
      <c r="K135" s="35">
        <v>0</v>
      </c>
      <c r="L135" s="35">
        <v>0</v>
      </c>
      <c r="M135" s="35">
        <v>0</v>
      </c>
      <c r="N135" s="12">
        <v>0</v>
      </c>
      <c r="O135" s="35">
        <v>0</v>
      </c>
      <c r="P135" s="16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0</v>
      </c>
      <c r="W135" s="35">
        <v>0</v>
      </c>
      <c r="X135" s="280">
        <v>0</v>
      </c>
      <c r="Y135" s="13">
        <v>0</v>
      </c>
      <c r="Z135" s="13">
        <v>0</v>
      </c>
      <c r="AA135" s="35">
        <v>0</v>
      </c>
      <c r="AB135" s="13">
        <v>0</v>
      </c>
      <c r="AC135" s="35"/>
      <c r="AD135" s="35"/>
      <c r="AE135" s="35"/>
    </row>
    <row r="136" spans="4:31">
      <c r="D136" s="26" t="s">
        <v>182</v>
      </c>
      <c r="E136" s="12">
        <v>0</v>
      </c>
      <c r="F136" s="12">
        <v>0</v>
      </c>
      <c r="G136" s="313">
        <v>0</v>
      </c>
      <c r="H136" s="16">
        <v>0</v>
      </c>
      <c r="I136" s="16">
        <v>0</v>
      </c>
      <c r="J136" s="35">
        <v>0</v>
      </c>
      <c r="K136" s="35">
        <v>0</v>
      </c>
      <c r="L136" s="35">
        <v>0</v>
      </c>
      <c r="M136" s="35">
        <v>0</v>
      </c>
      <c r="N136" s="12">
        <v>0</v>
      </c>
      <c r="O136" s="35">
        <v>0</v>
      </c>
      <c r="P136" s="16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0</v>
      </c>
      <c r="W136" s="35">
        <v>0</v>
      </c>
      <c r="X136" s="280">
        <v>0</v>
      </c>
      <c r="Y136" s="13">
        <v>0</v>
      </c>
      <c r="Z136" s="13">
        <v>0</v>
      </c>
      <c r="AA136" s="35">
        <v>0</v>
      </c>
      <c r="AB136" s="13">
        <v>0</v>
      </c>
      <c r="AC136" s="35"/>
      <c r="AD136" s="35"/>
      <c r="AE136" s="35"/>
    </row>
    <row r="137" spans="4:31">
      <c r="D137" s="11" t="s">
        <v>178</v>
      </c>
      <c r="E137" s="12">
        <v>4518</v>
      </c>
      <c r="F137" s="12">
        <v>6</v>
      </c>
      <c r="G137" s="313">
        <v>17188014</v>
      </c>
      <c r="H137" s="16">
        <v>3781363.0799999996</v>
      </c>
      <c r="I137" s="16">
        <v>4325000</v>
      </c>
      <c r="J137" s="35">
        <v>4895100</v>
      </c>
      <c r="K137" s="35">
        <v>0</v>
      </c>
      <c r="L137" s="35">
        <v>13001463.079999998</v>
      </c>
      <c r="M137" s="35">
        <v>1338700</v>
      </c>
      <c r="N137" s="12">
        <v>6340000</v>
      </c>
      <c r="O137" s="35">
        <v>0</v>
      </c>
      <c r="P137" s="16">
        <v>0</v>
      </c>
      <c r="Q137" s="35">
        <v>0</v>
      </c>
      <c r="R137" s="35">
        <v>7678700</v>
      </c>
      <c r="S137" s="35">
        <v>0</v>
      </c>
      <c r="T137" s="35">
        <v>7420010</v>
      </c>
      <c r="U137" s="35">
        <v>0</v>
      </c>
      <c r="V137" s="35">
        <v>0</v>
      </c>
      <c r="W137" s="35">
        <v>7420010</v>
      </c>
      <c r="X137" s="280">
        <v>-2097246.92</v>
      </c>
      <c r="Y137" s="13">
        <v>-0.16130853174718243</v>
      </c>
      <c r="Z137" s="13">
        <v>7.7885670793612333E-2</v>
      </c>
      <c r="AA137" s="35">
        <v>3804.3413014608232</v>
      </c>
      <c r="AB137" s="13">
        <v>0.36886169629603516</v>
      </c>
      <c r="AC137" s="35"/>
      <c r="AD137" s="35"/>
      <c r="AE137" s="35"/>
    </row>
    <row r="138" spans="4:31">
      <c r="D138" s="26">
        <v>39</v>
      </c>
      <c r="E138" s="12">
        <v>502</v>
      </c>
      <c r="F138" s="12">
        <v>6</v>
      </c>
      <c r="G138" s="313">
        <v>1594000</v>
      </c>
      <c r="H138" s="16">
        <v>350680</v>
      </c>
      <c r="I138" s="16">
        <v>475000</v>
      </c>
      <c r="J138" s="35">
        <v>632700</v>
      </c>
      <c r="K138" s="35">
        <v>0</v>
      </c>
      <c r="L138" s="35">
        <v>1458380</v>
      </c>
      <c r="M138" s="35">
        <v>29400</v>
      </c>
      <c r="N138" s="12">
        <v>1140000</v>
      </c>
      <c r="O138" s="35">
        <v>0</v>
      </c>
      <c r="P138" s="16"/>
      <c r="Q138" s="35">
        <v>0</v>
      </c>
      <c r="R138" s="35">
        <v>1169400</v>
      </c>
      <c r="S138" s="35">
        <v>0</v>
      </c>
      <c r="T138" s="35">
        <v>665000</v>
      </c>
      <c r="U138" s="35">
        <v>0</v>
      </c>
      <c r="V138" s="35">
        <v>0</v>
      </c>
      <c r="W138" s="35">
        <v>665000</v>
      </c>
      <c r="X138" s="280">
        <v>-376020</v>
      </c>
      <c r="Y138" s="13">
        <v>-0.25783403502516489</v>
      </c>
      <c r="Z138" s="13">
        <v>1.8444165621079048E-2</v>
      </c>
      <c r="AA138" s="35">
        <v>3175.2988047808767</v>
      </c>
      <c r="AB138" s="13">
        <v>0.71518193224592219</v>
      </c>
      <c r="AC138" s="37"/>
      <c r="AD138" s="37"/>
      <c r="AE138" s="37"/>
    </row>
    <row r="139" spans="4:31">
      <c r="D139" s="26">
        <v>40</v>
      </c>
      <c r="E139" s="12">
        <v>556</v>
      </c>
      <c r="F139" s="12">
        <v>3</v>
      </c>
      <c r="G139" s="313">
        <v>1762002</v>
      </c>
      <c r="H139" s="16">
        <v>387640.44</v>
      </c>
      <c r="I139" s="16">
        <v>450000</v>
      </c>
      <c r="J139" s="35">
        <v>466200</v>
      </c>
      <c r="K139" s="35">
        <v>0</v>
      </c>
      <c r="L139" s="35">
        <v>1303840.44</v>
      </c>
      <c r="M139" s="35">
        <v>0</v>
      </c>
      <c r="N139" s="12">
        <v>700000</v>
      </c>
      <c r="O139" s="35">
        <v>0</v>
      </c>
      <c r="P139" s="16"/>
      <c r="Q139" s="35">
        <v>0</v>
      </c>
      <c r="R139" s="35">
        <v>700000</v>
      </c>
      <c r="S139" s="35">
        <v>0</v>
      </c>
      <c r="T139" s="35">
        <v>735000</v>
      </c>
      <c r="U139" s="35">
        <v>0</v>
      </c>
      <c r="V139" s="35">
        <v>0</v>
      </c>
      <c r="W139" s="35">
        <v>735000</v>
      </c>
      <c r="X139" s="280">
        <v>-131159.56000000006</v>
      </c>
      <c r="Y139" s="13">
        <v>-0.10059479363901312</v>
      </c>
      <c r="Z139" s="13">
        <v>0</v>
      </c>
      <c r="AA139" s="35">
        <v>3169.0683453237411</v>
      </c>
      <c r="AB139" s="13">
        <v>0.39727537199163226</v>
      </c>
      <c r="AC139" s="85"/>
      <c r="AD139" s="85"/>
      <c r="AE139" s="85"/>
    </row>
    <row r="140" spans="4:31">
      <c r="D140" s="26">
        <v>41</v>
      </c>
      <c r="E140" s="12">
        <v>514</v>
      </c>
      <c r="F140" s="12">
        <v>4</v>
      </c>
      <c r="G140" s="313">
        <v>2118002</v>
      </c>
      <c r="H140" s="16">
        <v>465960.44</v>
      </c>
      <c r="I140" s="16">
        <v>475000</v>
      </c>
      <c r="J140" s="35">
        <v>499500</v>
      </c>
      <c r="K140" s="35">
        <v>0</v>
      </c>
      <c r="L140" s="35">
        <v>1440460.44</v>
      </c>
      <c r="M140" s="35">
        <v>0</v>
      </c>
      <c r="N140" s="12">
        <v>750000</v>
      </c>
      <c r="O140" s="35">
        <v>0</v>
      </c>
      <c r="P140" s="16"/>
      <c r="Q140" s="35">
        <v>0</v>
      </c>
      <c r="R140" s="35">
        <v>750000</v>
      </c>
      <c r="S140" s="35">
        <v>0</v>
      </c>
      <c r="T140" s="35">
        <v>980000</v>
      </c>
      <c r="U140" s="35">
        <v>0</v>
      </c>
      <c r="V140" s="35">
        <v>0</v>
      </c>
      <c r="W140" s="35">
        <v>980000</v>
      </c>
      <c r="X140" s="280">
        <v>-289539.56000000006</v>
      </c>
      <c r="Y140" s="13">
        <v>-0.20100486758247943</v>
      </c>
      <c r="Z140" s="13">
        <v>0</v>
      </c>
      <c r="AA140" s="35">
        <v>4120.6264591439685</v>
      </c>
      <c r="AB140" s="13">
        <v>0.35410731434625653</v>
      </c>
      <c r="AC140" s="37"/>
      <c r="AD140" s="37"/>
      <c r="AE140" s="37"/>
    </row>
    <row r="141" spans="4:31">
      <c r="D141" s="26">
        <v>42</v>
      </c>
      <c r="E141" s="12">
        <v>783</v>
      </c>
      <c r="F141" s="12">
        <v>4</v>
      </c>
      <c r="G141" s="313">
        <v>3210000</v>
      </c>
      <c r="H141" s="16">
        <v>706200</v>
      </c>
      <c r="I141" s="16">
        <v>600000</v>
      </c>
      <c r="J141" s="35">
        <v>666000</v>
      </c>
      <c r="K141" s="35">
        <v>0</v>
      </c>
      <c r="L141" s="35">
        <v>1972200</v>
      </c>
      <c r="M141" s="35">
        <v>109300</v>
      </c>
      <c r="N141" s="12">
        <v>1000000</v>
      </c>
      <c r="O141" s="35">
        <v>0</v>
      </c>
      <c r="P141" s="16"/>
      <c r="Q141" s="35">
        <v>0</v>
      </c>
      <c r="R141" s="35">
        <v>1109300</v>
      </c>
      <c r="S141" s="35">
        <v>0</v>
      </c>
      <c r="T141" s="35">
        <v>980000</v>
      </c>
      <c r="U141" s="35">
        <v>0</v>
      </c>
      <c r="V141" s="35">
        <v>0</v>
      </c>
      <c r="W141" s="35">
        <v>980000</v>
      </c>
      <c r="X141" s="280">
        <v>-117100</v>
      </c>
      <c r="Y141" s="13">
        <v>-5.9375316904979214E-2</v>
      </c>
      <c r="Z141" s="13">
        <v>3.4049844236760121E-2</v>
      </c>
      <c r="AA141" s="35">
        <v>4099.6168582375476</v>
      </c>
      <c r="AB141" s="13">
        <v>0.3115264797507788</v>
      </c>
      <c r="AC141" s="85"/>
      <c r="AD141" s="85"/>
      <c r="AE141" s="85"/>
    </row>
    <row r="142" spans="4:31">
      <c r="D142" s="26">
        <v>43</v>
      </c>
      <c r="E142" s="12">
        <v>695</v>
      </c>
      <c r="F142" s="12">
        <v>5</v>
      </c>
      <c r="G142" s="313">
        <v>2876000</v>
      </c>
      <c r="H142" s="16">
        <v>632720</v>
      </c>
      <c r="I142" s="16">
        <v>650000</v>
      </c>
      <c r="J142" s="35">
        <v>799200</v>
      </c>
      <c r="K142" s="35">
        <v>0</v>
      </c>
      <c r="L142" s="35">
        <v>2081920</v>
      </c>
      <c r="M142" s="35">
        <v>1200000</v>
      </c>
      <c r="N142" s="12">
        <v>0</v>
      </c>
      <c r="O142" s="35">
        <v>0</v>
      </c>
      <c r="P142" s="16"/>
      <c r="Q142" s="35">
        <v>0</v>
      </c>
      <c r="R142" s="35">
        <v>1200000</v>
      </c>
      <c r="S142" s="35">
        <v>0</v>
      </c>
      <c r="T142" s="35">
        <v>1225010</v>
      </c>
      <c r="U142" s="35">
        <v>0</v>
      </c>
      <c r="V142" s="35">
        <v>0</v>
      </c>
      <c r="W142" s="35">
        <v>1225010</v>
      </c>
      <c r="X142" s="280">
        <v>-343090</v>
      </c>
      <c r="Y142" s="13">
        <v>-0.16479499692591454</v>
      </c>
      <c r="Z142" s="13">
        <v>0.41724617524339358</v>
      </c>
      <c r="AA142" s="35">
        <v>4138.1294964028775</v>
      </c>
      <c r="AB142" s="13">
        <v>0</v>
      </c>
      <c r="AC142" s="35"/>
      <c r="AD142" s="35"/>
      <c r="AE142" s="35"/>
    </row>
    <row r="143" spans="4:31">
      <c r="D143" s="26">
        <v>44</v>
      </c>
      <c r="E143" s="12">
        <v>500</v>
      </c>
      <c r="F143" s="12">
        <v>4</v>
      </c>
      <c r="G143" s="313">
        <v>1950000</v>
      </c>
      <c r="H143" s="16">
        <v>429000</v>
      </c>
      <c r="I143" s="16">
        <v>550000</v>
      </c>
      <c r="J143" s="35">
        <v>632700</v>
      </c>
      <c r="K143" s="35">
        <v>0</v>
      </c>
      <c r="L143" s="35">
        <v>1611700</v>
      </c>
      <c r="M143" s="35">
        <v>0</v>
      </c>
      <c r="N143" s="12">
        <v>950000</v>
      </c>
      <c r="O143" s="35">
        <v>0</v>
      </c>
      <c r="P143" s="16"/>
      <c r="Q143" s="35">
        <v>0</v>
      </c>
      <c r="R143" s="35">
        <v>950000</v>
      </c>
      <c r="S143" s="35">
        <v>0</v>
      </c>
      <c r="T143" s="35">
        <v>980000</v>
      </c>
      <c r="U143" s="35">
        <v>0</v>
      </c>
      <c r="V143" s="35">
        <v>0</v>
      </c>
      <c r="W143" s="35">
        <v>980000</v>
      </c>
      <c r="X143" s="280">
        <v>-318300</v>
      </c>
      <c r="Y143" s="13">
        <v>-0.19749333002419805</v>
      </c>
      <c r="Z143" s="13">
        <v>0</v>
      </c>
      <c r="AA143" s="35">
        <v>3900</v>
      </c>
      <c r="AB143" s="13">
        <v>0.48717948717948717</v>
      </c>
    </row>
    <row r="144" spans="4:31">
      <c r="D144" s="26">
        <v>45</v>
      </c>
      <c r="E144" s="12">
        <v>532</v>
      </c>
      <c r="F144" s="12">
        <v>3</v>
      </c>
      <c r="G144" s="313">
        <v>2086006</v>
      </c>
      <c r="H144" s="16">
        <v>458921.32</v>
      </c>
      <c r="I144" s="16">
        <v>475000</v>
      </c>
      <c r="J144" s="35">
        <v>566100</v>
      </c>
      <c r="K144" s="35">
        <v>0</v>
      </c>
      <c r="L144" s="35">
        <v>1500021.32</v>
      </c>
      <c r="M144" s="35">
        <v>0</v>
      </c>
      <c r="N144" s="12">
        <v>850000</v>
      </c>
      <c r="O144" s="35">
        <v>0</v>
      </c>
      <c r="P144" s="16"/>
      <c r="Q144" s="35">
        <v>0</v>
      </c>
      <c r="R144" s="35">
        <v>850000</v>
      </c>
      <c r="S144" s="35">
        <v>0</v>
      </c>
      <c r="T144" s="35">
        <v>735000</v>
      </c>
      <c r="U144" s="35">
        <v>0</v>
      </c>
      <c r="V144" s="35">
        <v>0</v>
      </c>
      <c r="W144" s="35">
        <v>735000</v>
      </c>
      <c r="X144" s="280">
        <v>-84978.679999999935</v>
      </c>
      <c r="Y144" s="13">
        <v>-5.6651648124574613E-2</v>
      </c>
      <c r="Z144" s="13">
        <v>0</v>
      </c>
      <c r="AA144" s="35">
        <v>3921.0639097744361</v>
      </c>
      <c r="AB144" s="13">
        <v>0.40747725557836362</v>
      </c>
    </row>
    <row r="145" spans="4:28">
      <c r="D145" s="26">
        <v>46</v>
      </c>
      <c r="E145" s="12">
        <v>359</v>
      </c>
      <c r="F145" s="12">
        <v>4</v>
      </c>
      <c r="G145" s="313">
        <v>1348004</v>
      </c>
      <c r="H145" s="16">
        <v>296560.88</v>
      </c>
      <c r="I145" s="16">
        <v>550000</v>
      </c>
      <c r="J145" s="35">
        <v>532800</v>
      </c>
      <c r="K145" s="35">
        <v>0</v>
      </c>
      <c r="L145" s="35">
        <v>1379360.88</v>
      </c>
      <c r="M145" s="35">
        <v>0</v>
      </c>
      <c r="N145" s="12">
        <v>800000</v>
      </c>
      <c r="O145" s="35">
        <v>0</v>
      </c>
      <c r="P145" s="16"/>
      <c r="Q145" s="35">
        <v>0</v>
      </c>
      <c r="R145" s="35">
        <v>800000</v>
      </c>
      <c r="S145" s="35">
        <v>0</v>
      </c>
      <c r="T145" s="35">
        <v>980000</v>
      </c>
      <c r="U145" s="35">
        <v>0</v>
      </c>
      <c r="V145" s="35">
        <v>0</v>
      </c>
      <c r="W145" s="35">
        <v>980000</v>
      </c>
      <c r="X145" s="280">
        <v>-400639.12000000011</v>
      </c>
      <c r="Y145" s="13">
        <v>-0.29045272039323033</v>
      </c>
      <c r="Z145" s="13">
        <v>0</v>
      </c>
      <c r="AA145" s="35">
        <v>3754.8857938718661</v>
      </c>
      <c r="AB145" s="13">
        <v>0.59347004905029954</v>
      </c>
    </row>
    <row r="146" spans="4:28">
      <c r="D146" s="26">
        <v>47</v>
      </c>
      <c r="E146" s="12">
        <v>77</v>
      </c>
      <c r="F146" s="12">
        <v>2</v>
      </c>
      <c r="G146" s="313">
        <v>244000</v>
      </c>
      <c r="H146" s="16">
        <v>53680</v>
      </c>
      <c r="I146" s="16">
        <v>100000</v>
      </c>
      <c r="J146" s="35">
        <v>99900</v>
      </c>
      <c r="K146" s="35">
        <v>0</v>
      </c>
      <c r="L146" s="35">
        <v>253580</v>
      </c>
      <c r="M146" s="35">
        <v>0</v>
      </c>
      <c r="N146" s="12">
        <v>150000</v>
      </c>
      <c r="O146" s="35">
        <v>0</v>
      </c>
      <c r="P146" s="16"/>
      <c r="Q146" s="35">
        <v>0</v>
      </c>
      <c r="R146" s="35">
        <v>150000</v>
      </c>
      <c r="S146" s="35">
        <v>0</v>
      </c>
      <c r="T146" s="35">
        <v>140000</v>
      </c>
      <c r="U146" s="35">
        <v>0</v>
      </c>
      <c r="V146" s="35">
        <v>0</v>
      </c>
      <c r="W146" s="35">
        <v>140000</v>
      </c>
      <c r="X146" s="280">
        <v>-36420</v>
      </c>
      <c r="Y146" s="13">
        <v>-0.14362331414149382</v>
      </c>
      <c r="Z146" s="13">
        <v>0</v>
      </c>
      <c r="AA146" s="35">
        <v>3168.8311688311687</v>
      </c>
      <c r="AB146" s="13">
        <v>0.61475409836065575</v>
      </c>
    </row>
    <row r="147" spans="4:28">
      <c r="D147" s="26" t="s">
        <v>180</v>
      </c>
      <c r="E147" s="12">
        <v>0</v>
      </c>
      <c r="F147" s="12">
        <v>0</v>
      </c>
      <c r="G147" s="313">
        <v>0</v>
      </c>
      <c r="H147" s="16">
        <v>0</v>
      </c>
      <c r="I147" s="16">
        <v>0</v>
      </c>
      <c r="J147" s="35">
        <v>0</v>
      </c>
      <c r="K147" s="35">
        <v>0</v>
      </c>
      <c r="L147" s="35">
        <v>0</v>
      </c>
      <c r="M147" s="35">
        <v>0</v>
      </c>
      <c r="N147" s="12">
        <v>0</v>
      </c>
      <c r="O147" s="35">
        <v>0</v>
      </c>
      <c r="P147" s="16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280">
        <v>0</v>
      </c>
      <c r="Y147" s="13">
        <v>0</v>
      </c>
      <c r="Z147" s="13">
        <v>0</v>
      </c>
      <c r="AA147" s="35">
        <v>0</v>
      </c>
      <c r="AB147" s="13">
        <v>0</v>
      </c>
    </row>
    <row r="148" spans="4:28">
      <c r="D148" s="26" t="s">
        <v>181</v>
      </c>
      <c r="E148" s="12">
        <v>0</v>
      </c>
      <c r="F148" s="12">
        <v>0</v>
      </c>
      <c r="G148" s="313">
        <v>0</v>
      </c>
      <c r="H148" s="16">
        <v>0</v>
      </c>
      <c r="I148" s="16">
        <v>0</v>
      </c>
      <c r="J148" s="35">
        <v>0</v>
      </c>
      <c r="K148" s="35">
        <v>0</v>
      </c>
      <c r="L148" s="35">
        <v>0</v>
      </c>
      <c r="M148" s="35">
        <v>0</v>
      </c>
      <c r="N148" s="12">
        <v>0</v>
      </c>
      <c r="O148" s="35">
        <v>0</v>
      </c>
      <c r="P148" s="16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0</v>
      </c>
      <c r="X148" s="280">
        <v>0</v>
      </c>
      <c r="Y148" s="13">
        <v>0</v>
      </c>
      <c r="Z148" s="13">
        <v>0</v>
      </c>
      <c r="AA148" s="35">
        <v>0</v>
      </c>
      <c r="AB148" s="13">
        <v>0</v>
      </c>
    </row>
    <row r="149" spans="4:28">
      <c r="D149" s="26" t="s">
        <v>182</v>
      </c>
      <c r="E149" s="12">
        <v>0</v>
      </c>
      <c r="F149" s="12">
        <v>0</v>
      </c>
      <c r="G149" s="313">
        <v>0</v>
      </c>
      <c r="H149" s="16">
        <v>0</v>
      </c>
      <c r="I149" s="16">
        <v>0</v>
      </c>
      <c r="J149" s="35">
        <v>0</v>
      </c>
      <c r="K149" s="35">
        <v>0</v>
      </c>
      <c r="L149" s="35">
        <v>0</v>
      </c>
      <c r="M149" s="35">
        <v>0</v>
      </c>
      <c r="N149" s="12">
        <v>0</v>
      </c>
      <c r="O149" s="35">
        <v>0</v>
      </c>
      <c r="P149" s="16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280">
        <v>0</v>
      </c>
      <c r="Y149" s="13">
        <v>0</v>
      </c>
      <c r="Z149" s="13">
        <v>0</v>
      </c>
      <c r="AA149" s="35">
        <v>0</v>
      </c>
      <c r="AB149" s="13">
        <v>0</v>
      </c>
    </row>
    <row r="150" spans="4:28">
      <c r="D150" s="11" t="s">
        <v>202</v>
      </c>
      <c r="E150" s="12">
        <v>1417</v>
      </c>
      <c r="F150" s="12">
        <v>3</v>
      </c>
      <c r="G150" s="313">
        <v>13577000</v>
      </c>
      <c r="H150" s="16">
        <v>1357700</v>
      </c>
      <c r="I150" s="16">
        <v>0</v>
      </c>
      <c r="J150" s="35">
        <v>0</v>
      </c>
      <c r="K150" s="35">
        <v>0</v>
      </c>
      <c r="L150" s="35">
        <v>1357700</v>
      </c>
      <c r="M150" s="35">
        <v>0</v>
      </c>
      <c r="N150" s="12">
        <v>0</v>
      </c>
      <c r="O150" s="35">
        <v>0</v>
      </c>
      <c r="P150" s="16">
        <v>0</v>
      </c>
      <c r="Q150" s="35">
        <v>0</v>
      </c>
      <c r="R150" s="35">
        <v>0</v>
      </c>
      <c r="S150" s="35">
        <v>3383333.333333333</v>
      </c>
      <c r="T150" s="35">
        <v>0</v>
      </c>
      <c r="U150" s="35">
        <v>0</v>
      </c>
      <c r="V150" s="35">
        <v>0</v>
      </c>
      <c r="W150" s="35">
        <v>3383333.333333333</v>
      </c>
      <c r="X150" s="280">
        <v>-2025633.3333333335</v>
      </c>
      <c r="Y150" s="13">
        <v>-1.4919594412118535</v>
      </c>
      <c r="Z150" s="13">
        <v>0</v>
      </c>
      <c r="AA150" s="35">
        <v>9581.5102328863795</v>
      </c>
      <c r="AB150" s="13">
        <v>0</v>
      </c>
    </row>
    <row r="151" spans="4:28">
      <c r="D151" s="26">
        <v>46</v>
      </c>
      <c r="E151" s="12">
        <v>49</v>
      </c>
      <c r="F151" s="12">
        <v>1</v>
      </c>
      <c r="G151" s="313">
        <v>462000</v>
      </c>
      <c r="H151" s="16">
        <v>46200</v>
      </c>
      <c r="I151" s="16">
        <v>0</v>
      </c>
      <c r="J151" s="35">
        <v>0</v>
      </c>
      <c r="K151" s="35">
        <v>0</v>
      </c>
      <c r="L151" s="35">
        <v>46200</v>
      </c>
      <c r="M151" s="35">
        <v>0</v>
      </c>
      <c r="N151" s="12">
        <v>0</v>
      </c>
      <c r="O151" s="35">
        <v>0</v>
      </c>
      <c r="P151" s="16"/>
      <c r="Q151" s="35">
        <v>0</v>
      </c>
      <c r="R151" s="35">
        <v>0</v>
      </c>
      <c r="S151" s="35">
        <v>233333.33333333334</v>
      </c>
      <c r="T151" s="35">
        <v>0</v>
      </c>
      <c r="U151" s="35">
        <v>0</v>
      </c>
      <c r="V151" s="35">
        <v>0</v>
      </c>
      <c r="W151" s="35">
        <v>233333.33333333334</v>
      </c>
      <c r="X151" s="280">
        <v>-187133.33333333334</v>
      </c>
      <c r="Y151" s="13">
        <v>-4.0505050505050511</v>
      </c>
      <c r="Z151" s="13">
        <v>0</v>
      </c>
      <c r="AA151" s="35">
        <v>9428.5714285714294</v>
      </c>
      <c r="AB151" s="13">
        <v>0</v>
      </c>
    </row>
    <row r="152" spans="4:28">
      <c r="D152" s="26">
        <v>47</v>
      </c>
      <c r="E152" s="12">
        <v>92</v>
      </c>
      <c r="F152" s="12">
        <v>3</v>
      </c>
      <c r="G152" s="313">
        <v>896000</v>
      </c>
      <c r="H152" s="16">
        <v>89600</v>
      </c>
      <c r="I152" s="16">
        <v>0</v>
      </c>
      <c r="J152" s="35">
        <v>0</v>
      </c>
      <c r="K152" s="35">
        <v>0</v>
      </c>
      <c r="L152" s="35">
        <v>89600</v>
      </c>
      <c r="M152" s="35">
        <v>0</v>
      </c>
      <c r="N152" s="12">
        <v>0</v>
      </c>
      <c r="O152" s="35">
        <v>0</v>
      </c>
      <c r="P152" s="16"/>
      <c r="Q152" s="35">
        <v>0</v>
      </c>
      <c r="R152" s="35">
        <v>0</v>
      </c>
      <c r="S152" s="35">
        <v>233333.33333333334</v>
      </c>
      <c r="T152" s="35">
        <v>0</v>
      </c>
      <c r="U152" s="35">
        <v>0</v>
      </c>
      <c r="V152" s="35">
        <v>0</v>
      </c>
      <c r="W152" s="35">
        <v>233333.33333333334</v>
      </c>
      <c r="X152" s="280">
        <v>-143733.33333333334</v>
      </c>
      <c r="Y152" s="13">
        <v>-1.6041666666666667</v>
      </c>
      <c r="Z152" s="13">
        <v>0</v>
      </c>
      <c r="AA152" s="35">
        <v>9739.1304347826081</v>
      </c>
      <c r="AB152" s="13">
        <v>0</v>
      </c>
    </row>
    <row r="153" spans="4:28">
      <c r="D153" s="26">
        <v>48</v>
      </c>
      <c r="E153" s="12">
        <v>109</v>
      </c>
      <c r="F153" s="12">
        <v>1</v>
      </c>
      <c r="G153" s="313">
        <v>1052000</v>
      </c>
      <c r="H153" s="16">
        <v>105200</v>
      </c>
      <c r="I153" s="16">
        <v>0</v>
      </c>
      <c r="J153" s="35">
        <v>0</v>
      </c>
      <c r="K153" s="35">
        <v>0</v>
      </c>
      <c r="L153" s="35">
        <v>105200</v>
      </c>
      <c r="M153" s="35">
        <v>0</v>
      </c>
      <c r="N153" s="12">
        <v>0</v>
      </c>
      <c r="O153" s="35">
        <v>0</v>
      </c>
      <c r="P153" s="16"/>
      <c r="Q153" s="35">
        <v>0</v>
      </c>
      <c r="R153" s="35">
        <v>0</v>
      </c>
      <c r="S153" s="35">
        <v>233333.33333333334</v>
      </c>
      <c r="T153" s="35">
        <v>0</v>
      </c>
      <c r="U153" s="35">
        <v>0</v>
      </c>
      <c r="V153" s="35">
        <v>0</v>
      </c>
      <c r="W153" s="35">
        <v>233333.33333333334</v>
      </c>
      <c r="X153" s="280">
        <v>-128133.33333333334</v>
      </c>
      <c r="Y153" s="13">
        <v>-1.2179974651457541</v>
      </c>
      <c r="Z153" s="13">
        <v>0</v>
      </c>
      <c r="AA153" s="35">
        <v>9651.3761467889908</v>
      </c>
      <c r="AB153" s="13">
        <v>0</v>
      </c>
    </row>
    <row r="154" spans="4:28">
      <c r="D154" s="26">
        <v>49</v>
      </c>
      <c r="E154" s="12">
        <v>212</v>
      </c>
      <c r="F154" s="12">
        <v>1</v>
      </c>
      <c r="G154" s="313">
        <v>2057000</v>
      </c>
      <c r="H154" s="16">
        <v>205700</v>
      </c>
      <c r="I154" s="16">
        <v>0</v>
      </c>
      <c r="J154" s="35">
        <v>0</v>
      </c>
      <c r="K154" s="35">
        <v>0</v>
      </c>
      <c r="L154" s="35">
        <v>205700</v>
      </c>
      <c r="M154" s="35">
        <v>0</v>
      </c>
      <c r="N154" s="12">
        <v>0</v>
      </c>
      <c r="O154" s="35">
        <v>0</v>
      </c>
      <c r="P154" s="16">
        <v>0</v>
      </c>
      <c r="Q154" s="35">
        <v>0</v>
      </c>
      <c r="R154" s="35">
        <v>0</v>
      </c>
      <c r="S154" s="35">
        <v>233333.33333333334</v>
      </c>
      <c r="T154" s="35">
        <v>0</v>
      </c>
      <c r="U154" s="35">
        <v>0</v>
      </c>
      <c r="V154" s="35">
        <v>0</v>
      </c>
      <c r="W154" s="35">
        <v>233333.33333333334</v>
      </c>
      <c r="X154" s="280">
        <v>-27633.333333333343</v>
      </c>
      <c r="Y154" s="13">
        <v>-0.13433803273375472</v>
      </c>
      <c r="Z154" s="13">
        <v>0</v>
      </c>
      <c r="AA154" s="35">
        <v>9702.8301886792451</v>
      </c>
      <c r="AB154" s="13">
        <v>0</v>
      </c>
    </row>
    <row r="155" spans="4:28">
      <c r="D155" s="26">
        <v>50</v>
      </c>
      <c r="E155" s="12">
        <v>144</v>
      </c>
      <c r="F155" s="12">
        <v>1</v>
      </c>
      <c r="G155" s="313">
        <v>1391000</v>
      </c>
      <c r="H155" s="16">
        <v>139100</v>
      </c>
      <c r="I155" s="16">
        <v>0</v>
      </c>
      <c r="J155" s="35">
        <v>0</v>
      </c>
      <c r="K155" s="35">
        <v>0</v>
      </c>
      <c r="L155" s="35">
        <v>139100</v>
      </c>
      <c r="M155" s="35">
        <v>0</v>
      </c>
      <c r="N155" s="12">
        <v>0</v>
      </c>
      <c r="O155" s="35">
        <v>0</v>
      </c>
      <c r="P155" s="16">
        <v>0</v>
      </c>
      <c r="Q155" s="35">
        <v>0</v>
      </c>
      <c r="R155" s="35">
        <v>0</v>
      </c>
      <c r="S155" s="35">
        <v>233333.33333333334</v>
      </c>
      <c r="T155" s="35">
        <v>0</v>
      </c>
      <c r="U155" s="35">
        <v>0</v>
      </c>
      <c r="V155" s="35">
        <v>0</v>
      </c>
      <c r="W155" s="35">
        <v>233333.33333333334</v>
      </c>
      <c r="X155" s="280">
        <v>-94233.333333333343</v>
      </c>
      <c r="Y155" s="13">
        <v>-0.67745027558111681</v>
      </c>
      <c r="Z155" s="13">
        <v>0</v>
      </c>
      <c r="AA155" s="35">
        <v>9659.7222222222226</v>
      </c>
      <c r="AB155" s="13">
        <v>0</v>
      </c>
    </row>
    <row r="156" spans="4:28">
      <c r="D156" s="26">
        <v>51</v>
      </c>
      <c r="E156" s="12">
        <v>136</v>
      </c>
      <c r="F156" s="12">
        <v>1</v>
      </c>
      <c r="G156" s="313">
        <v>1317000</v>
      </c>
      <c r="H156" s="16">
        <v>131700</v>
      </c>
      <c r="I156" s="16">
        <v>0</v>
      </c>
      <c r="J156" s="35">
        <v>0</v>
      </c>
      <c r="K156" s="35">
        <v>0</v>
      </c>
      <c r="L156" s="35">
        <v>131700</v>
      </c>
      <c r="M156" s="35">
        <v>0</v>
      </c>
      <c r="N156" s="12">
        <v>0</v>
      </c>
      <c r="O156" s="35">
        <v>0</v>
      </c>
      <c r="P156" s="16">
        <v>0</v>
      </c>
      <c r="Q156" s="35">
        <v>0</v>
      </c>
      <c r="R156" s="35">
        <v>0</v>
      </c>
      <c r="S156" s="35">
        <v>233333.33333333334</v>
      </c>
      <c r="T156" s="35">
        <v>0</v>
      </c>
      <c r="U156" s="35">
        <v>0</v>
      </c>
      <c r="V156" s="35">
        <v>0</v>
      </c>
      <c r="W156" s="35">
        <v>233333.33333333334</v>
      </c>
      <c r="X156" s="280">
        <v>-101633.33333333334</v>
      </c>
      <c r="Y156" s="13">
        <v>-0.7717033662363959</v>
      </c>
      <c r="Z156" s="13">
        <v>0</v>
      </c>
      <c r="AA156" s="35">
        <v>9683.823529411764</v>
      </c>
      <c r="AB156" s="13">
        <v>0</v>
      </c>
    </row>
    <row r="157" spans="4:28">
      <c r="D157" s="26">
        <v>52</v>
      </c>
      <c r="E157" s="12">
        <v>107</v>
      </c>
      <c r="F157" s="12">
        <v>1</v>
      </c>
      <c r="G157" s="313">
        <v>1015000</v>
      </c>
      <c r="H157" s="16">
        <v>101500</v>
      </c>
      <c r="I157" s="16">
        <v>0</v>
      </c>
      <c r="J157" s="35">
        <v>0</v>
      </c>
      <c r="K157" s="35">
        <v>0</v>
      </c>
      <c r="L157" s="35">
        <v>101500</v>
      </c>
      <c r="M157" s="35">
        <v>0</v>
      </c>
      <c r="N157" s="12">
        <v>0</v>
      </c>
      <c r="O157" s="35">
        <v>0</v>
      </c>
      <c r="P157" s="16">
        <v>0</v>
      </c>
      <c r="Q157" s="35">
        <v>0</v>
      </c>
      <c r="R157" s="35">
        <v>0</v>
      </c>
      <c r="S157" s="35">
        <v>233333.33333333334</v>
      </c>
      <c r="T157" s="35">
        <v>0</v>
      </c>
      <c r="U157" s="35">
        <v>0</v>
      </c>
      <c r="V157" s="35">
        <v>0</v>
      </c>
      <c r="W157" s="35">
        <v>233333.33333333334</v>
      </c>
      <c r="X157" s="280">
        <v>-131833.33333333334</v>
      </c>
      <c r="Y157" s="13">
        <v>-1.2988505747126438</v>
      </c>
      <c r="Z157" s="13">
        <v>0</v>
      </c>
      <c r="AA157" s="35">
        <v>9485.9813084112157</v>
      </c>
      <c r="AB157" s="13">
        <v>0</v>
      </c>
    </row>
    <row r="158" spans="4:28">
      <c r="D158" s="82">
        <v>12026</v>
      </c>
      <c r="E158" s="246">
        <v>144</v>
      </c>
      <c r="F158" s="246">
        <v>1</v>
      </c>
      <c r="G158" s="322">
        <v>1373000</v>
      </c>
      <c r="H158" s="81">
        <v>137300</v>
      </c>
      <c r="I158" s="81">
        <v>0</v>
      </c>
      <c r="J158" s="37">
        <v>0</v>
      </c>
      <c r="K158" s="37">
        <v>0</v>
      </c>
      <c r="L158" s="37">
        <v>137300</v>
      </c>
      <c r="M158" s="37">
        <v>0</v>
      </c>
      <c r="N158" s="246">
        <v>0</v>
      </c>
      <c r="O158" s="37">
        <v>0</v>
      </c>
      <c r="P158" s="81">
        <v>0</v>
      </c>
      <c r="Q158" s="37">
        <v>0</v>
      </c>
      <c r="R158" s="37">
        <v>0</v>
      </c>
      <c r="S158" s="37">
        <v>350000</v>
      </c>
      <c r="T158" s="37">
        <v>0</v>
      </c>
      <c r="U158" s="37">
        <v>0</v>
      </c>
      <c r="V158" s="37">
        <v>0</v>
      </c>
      <c r="W158" s="37">
        <v>350000</v>
      </c>
      <c r="X158" s="283">
        <v>-212700</v>
      </c>
      <c r="Y158" s="244">
        <v>-1.5491624180626367</v>
      </c>
      <c r="Z158" s="244">
        <v>0</v>
      </c>
      <c r="AA158" s="37">
        <v>9534.7222222222226</v>
      </c>
      <c r="AB158" s="244">
        <v>0</v>
      </c>
    </row>
    <row r="159" spans="4:28">
      <c r="D159" s="82">
        <v>22026</v>
      </c>
      <c r="E159" s="246">
        <v>124</v>
      </c>
      <c r="F159" s="246">
        <v>1</v>
      </c>
      <c r="G159" s="322">
        <v>1165000</v>
      </c>
      <c r="H159" s="81">
        <v>116500</v>
      </c>
      <c r="I159" s="81">
        <v>0</v>
      </c>
      <c r="J159" s="37">
        <v>0</v>
      </c>
      <c r="K159" s="37">
        <v>0</v>
      </c>
      <c r="L159" s="37">
        <v>116500</v>
      </c>
      <c r="M159" s="37">
        <v>0</v>
      </c>
      <c r="N159" s="246">
        <v>0</v>
      </c>
      <c r="O159" s="37">
        <v>0</v>
      </c>
      <c r="P159" s="81">
        <v>0</v>
      </c>
      <c r="Q159" s="37">
        <v>0</v>
      </c>
      <c r="R159" s="37">
        <v>0</v>
      </c>
      <c r="S159" s="37">
        <v>350000</v>
      </c>
      <c r="T159" s="37">
        <v>0</v>
      </c>
      <c r="U159" s="37">
        <v>0</v>
      </c>
      <c r="V159" s="37">
        <v>0</v>
      </c>
      <c r="W159" s="37">
        <v>350000</v>
      </c>
      <c r="X159" s="283">
        <v>-233500</v>
      </c>
      <c r="Y159" s="244">
        <v>-2.0042918454935621</v>
      </c>
      <c r="Z159" s="244">
        <v>0</v>
      </c>
      <c r="AA159" s="37">
        <v>9395.1612903225814</v>
      </c>
      <c r="AB159" s="244">
        <v>0</v>
      </c>
    </row>
    <row r="160" spans="4:28">
      <c r="D160" s="26">
        <v>32026</v>
      </c>
      <c r="E160" s="12">
        <v>79</v>
      </c>
      <c r="F160" s="12">
        <v>1</v>
      </c>
      <c r="G160" s="313">
        <v>754000</v>
      </c>
      <c r="H160" s="16">
        <v>75400</v>
      </c>
      <c r="I160" s="16">
        <v>0</v>
      </c>
      <c r="J160" s="35">
        <v>0</v>
      </c>
      <c r="K160" s="35">
        <v>0</v>
      </c>
      <c r="L160" s="35">
        <v>75400</v>
      </c>
      <c r="M160" s="35">
        <v>0</v>
      </c>
      <c r="N160" s="12">
        <v>0</v>
      </c>
      <c r="O160" s="35">
        <v>0</v>
      </c>
      <c r="P160" s="16">
        <v>0</v>
      </c>
      <c r="Q160" s="35">
        <v>0</v>
      </c>
      <c r="R160" s="35">
        <v>0</v>
      </c>
      <c r="S160" s="35">
        <v>350000</v>
      </c>
      <c r="T160" s="35">
        <v>0</v>
      </c>
      <c r="U160" s="35">
        <v>0</v>
      </c>
      <c r="V160" s="35">
        <v>0</v>
      </c>
      <c r="W160" s="35">
        <v>350000</v>
      </c>
      <c r="X160" s="280">
        <v>-274600</v>
      </c>
      <c r="Y160" s="13">
        <v>-3.6419098143236073</v>
      </c>
      <c r="Z160" s="13">
        <v>0</v>
      </c>
      <c r="AA160" s="35">
        <v>9544.3037974683539</v>
      </c>
      <c r="AB160" s="13">
        <v>0</v>
      </c>
    </row>
    <row r="161" spans="4:28">
      <c r="D161" s="26">
        <v>42026</v>
      </c>
      <c r="E161" s="12">
        <v>71</v>
      </c>
      <c r="F161" s="12">
        <v>1</v>
      </c>
      <c r="G161" s="313">
        <v>679000</v>
      </c>
      <c r="H161" s="16">
        <v>67900</v>
      </c>
      <c r="I161" s="16">
        <v>0</v>
      </c>
      <c r="J161" s="35">
        <v>0</v>
      </c>
      <c r="K161" s="35">
        <v>0</v>
      </c>
      <c r="L161" s="35">
        <v>67900</v>
      </c>
      <c r="M161" s="35">
        <v>0</v>
      </c>
      <c r="N161" s="12">
        <v>0</v>
      </c>
      <c r="O161" s="35">
        <v>0</v>
      </c>
      <c r="P161" s="16">
        <v>0</v>
      </c>
      <c r="Q161" s="35">
        <v>0</v>
      </c>
      <c r="R161" s="35">
        <v>0</v>
      </c>
      <c r="S161" s="35">
        <v>350000</v>
      </c>
      <c r="T161" s="35">
        <v>0</v>
      </c>
      <c r="U161" s="35">
        <v>0</v>
      </c>
      <c r="V161" s="35">
        <v>0</v>
      </c>
      <c r="W161" s="35">
        <v>350000</v>
      </c>
      <c r="X161" s="280">
        <v>-282100</v>
      </c>
      <c r="Y161" s="13">
        <v>-4.1546391752577323</v>
      </c>
      <c r="Z161" s="13">
        <v>0</v>
      </c>
      <c r="AA161" s="35">
        <v>9563.3802816901407</v>
      </c>
      <c r="AB161" s="13">
        <v>0</v>
      </c>
    </row>
    <row r="162" spans="4:28">
      <c r="D162" s="26">
        <v>52026</v>
      </c>
      <c r="E162" s="12">
        <v>84</v>
      </c>
      <c r="F162" s="12">
        <v>1</v>
      </c>
      <c r="G162" s="313">
        <v>789000</v>
      </c>
      <c r="H162" s="16">
        <v>78900</v>
      </c>
      <c r="I162" s="16">
        <v>0</v>
      </c>
      <c r="J162" s="35">
        <v>0</v>
      </c>
      <c r="K162" s="35">
        <v>0</v>
      </c>
      <c r="L162" s="35">
        <v>78900</v>
      </c>
      <c r="M162" s="35">
        <v>0</v>
      </c>
      <c r="N162" s="12">
        <v>0</v>
      </c>
      <c r="O162" s="35">
        <v>0</v>
      </c>
      <c r="P162" s="16">
        <v>0</v>
      </c>
      <c r="Q162" s="35">
        <v>0</v>
      </c>
      <c r="R162" s="35">
        <v>0</v>
      </c>
      <c r="S162" s="35">
        <v>350000</v>
      </c>
      <c r="T162" s="35">
        <v>0</v>
      </c>
      <c r="U162" s="35">
        <v>0</v>
      </c>
      <c r="V162" s="35">
        <v>0</v>
      </c>
      <c r="W162" s="35">
        <v>350000</v>
      </c>
      <c r="X162" s="280">
        <v>-271100</v>
      </c>
      <c r="Y162" s="13">
        <v>-3.4359949302915083</v>
      </c>
      <c r="Z162" s="13">
        <v>0</v>
      </c>
      <c r="AA162" s="35">
        <v>9392.8571428571431</v>
      </c>
      <c r="AB162" s="13">
        <v>0</v>
      </c>
    </row>
    <row r="163" spans="4:28">
      <c r="D163" s="26">
        <v>62026</v>
      </c>
      <c r="E163" s="12">
        <v>49</v>
      </c>
      <c r="F163" s="12">
        <v>1</v>
      </c>
      <c r="G163" s="313">
        <v>466000</v>
      </c>
      <c r="H163" s="16">
        <v>46600</v>
      </c>
      <c r="I163" s="16">
        <v>0</v>
      </c>
      <c r="J163" s="35">
        <v>0</v>
      </c>
      <c r="K163" s="35">
        <v>0</v>
      </c>
      <c r="L163" s="35">
        <v>46600</v>
      </c>
      <c r="M163" s="35">
        <v>0</v>
      </c>
      <c r="N163" s="12">
        <v>0</v>
      </c>
      <c r="O163" s="35">
        <v>0</v>
      </c>
      <c r="P163" s="16">
        <v>0</v>
      </c>
      <c r="Q163" s="35">
        <v>0</v>
      </c>
      <c r="R163" s="35">
        <v>0</v>
      </c>
      <c r="S163" s="35"/>
      <c r="T163" s="35">
        <v>0</v>
      </c>
      <c r="U163" s="35">
        <v>0</v>
      </c>
      <c r="V163" s="35">
        <v>0</v>
      </c>
      <c r="W163" s="35">
        <v>0</v>
      </c>
      <c r="X163" s="280">
        <v>46600</v>
      </c>
      <c r="Y163" s="13">
        <v>1</v>
      </c>
      <c r="Z163" s="13">
        <v>0</v>
      </c>
      <c r="AA163" s="35">
        <v>9510.2040816326535</v>
      </c>
      <c r="AB163" s="13">
        <v>0</v>
      </c>
    </row>
    <row r="164" spans="4:28">
      <c r="D164" s="26">
        <v>72026</v>
      </c>
      <c r="E164" s="12">
        <v>17</v>
      </c>
      <c r="F164" s="12">
        <v>1</v>
      </c>
      <c r="G164" s="313">
        <v>161000</v>
      </c>
      <c r="H164" s="16">
        <v>16100</v>
      </c>
      <c r="I164" s="16">
        <v>0</v>
      </c>
      <c r="J164" s="35">
        <v>0</v>
      </c>
      <c r="K164" s="35">
        <v>0</v>
      </c>
      <c r="L164" s="35">
        <v>16100</v>
      </c>
      <c r="M164" s="35">
        <v>0</v>
      </c>
      <c r="N164" s="12">
        <v>0</v>
      </c>
      <c r="O164" s="35">
        <v>0</v>
      </c>
      <c r="P164" s="16">
        <v>0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280">
        <v>16100</v>
      </c>
      <c r="Y164" s="13">
        <v>1</v>
      </c>
      <c r="Z164" s="13">
        <v>0</v>
      </c>
      <c r="AA164" s="35">
        <v>9470.5882352941171</v>
      </c>
      <c r="AB164" s="13">
        <v>0</v>
      </c>
    </row>
    <row r="165" spans="4:28">
      <c r="D165" s="26" t="s">
        <v>180</v>
      </c>
      <c r="E165" s="12">
        <v>0</v>
      </c>
      <c r="F165" s="12">
        <v>0</v>
      </c>
      <c r="G165" s="313">
        <v>0</v>
      </c>
      <c r="H165" s="16">
        <v>0</v>
      </c>
      <c r="I165" s="16">
        <v>0</v>
      </c>
      <c r="J165" s="35">
        <v>0</v>
      </c>
      <c r="K165" s="35">
        <v>0</v>
      </c>
      <c r="L165" s="35">
        <v>0</v>
      </c>
      <c r="M165" s="35">
        <v>0</v>
      </c>
      <c r="N165" s="12">
        <v>0</v>
      </c>
      <c r="O165" s="35">
        <v>0</v>
      </c>
      <c r="P165" s="16">
        <v>0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280">
        <v>0</v>
      </c>
      <c r="Y165" s="13">
        <v>0</v>
      </c>
      <c r="Z165" s="13">
        <v>0</v>
      </c>
      <c r="AA165" s="35">
        <v>0</v>
      </c>
      <c r="AB165" s="13">
        <v>0</v>
      </c>
    </row>
    <row r="166" spans="4:28">
      <c r="D166" s="26" t="s">
        <v>181</v>
      </c>
      <c r="E166" s="12">
        <v>0</v>
      </c>
      <c r="F166" s="12">
        <v>0</v>
      </c>
      <c r="G166" s="313">
        <v>0</v>
      </c>
      <c r="H166" s="16">
        <v>0</v>
      </c>
      <c r="I166" s="16">
        <v>0</v>
      </c>
      <c r="J166" s="35">
        <v>0</v>
      </c>
      <c r="K166" s="35">
        <v>0</v>
      </c>
      <c r="L166" s="35">
        <v>0</v>
      </c>
      <c r="M166" s="35">
        <v>0</v>
      </c>
      <c r="N166" s="12">
        <v>0</v>
      </c>
      <c r="O166" s="35">
        <v>0</v>
      </c>
      <c r="P166" s="16">
        <v>0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0</v>
      </c>
      <c r="X166" s="280">
        <v>0</v>
      </c>
      <c r="Y166" s="13">
        <v>0</v>
      </c>
      <c r="Z166" s="13">
        <v>0</v>
      </c>
      <c r="AA166" s="35">
        <v>0</v>
      </c>
      <c r="AB166" s="13">
        <v>0</v>
      </c>
    </row>
    <row r="167" spans="4:28">
      <c r="D167" s="26" t="s">
        <v>182</v>
      </c>
      <c r="E167" s="12">
        <v>0</v>
      </c>
      <c r="F167" s="12">
        <v>0</v>
      </c>
      <c r="G167" s="313">
        <v>0</v>
      </c>
      <c r="H167" s="16">
        <v>0</v>
      </c>
      <c r="I167" s="16">
        <v>0</v>
      </c>
      <c r="J167" s="35">
        <v>0</v>
      </c>
      <c r="K167" s="35">
        <v>0</v>
      </c>
      <c r="L167" s="35">
        <v>0</v>
      </c>
      <c r="M167" s="35">
        <v>0</v>
      </c>
      <c r="N167" s="12">
        <v>0</v>
      </c>
      <c r="O167" s="35">
        <v>0</v>
      </c>
      <c r="P167" s="16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280">
        <v>0</v>
      </c>
      <c r="Y167" s="13">
        <v>0</v>
      </c>
      <c r="Z167" s="13">
        <v>0</v>
      </c>
      <c r="AA167" s="35">
        <v>0</v>
      </c>
      <c r="AB167" s="13">
        <v>0</v>
      </c>
    </row>
    <row r="168" spans="4:28">
      <c r="D168" s="11" t="s">
        <v>204</v>
      </c>
      <c r="E168" s="12">
        <v>260</v>
      </c>
      <c r="F168" s="12">
        <v>3</v>
      </c>
      <c r="G168" s="313">
        <v>2220000</v>
      </c>
      <c r="H168" s="16">
        <v>666000</v>
      </c>
      <c r="I168" s="16">
        <v>0</v>
      </c>
      <c r="J168" s="35">
        <v>0</v>
      </c>
      <c r="K168" s="35">
        <v>0</v>
      </c>
      <c r="L168" s="35">
        <v>666000</v>
      </c>
      <c r="M168" s="35">
        <v>52200</v>
      </c>
      <c r="N168" s="12">
        <v>850000</v>
      </c>
      <c r="O168" s="35">
        <v>0</v>
      </c>
      <c r="P168" s="16">
        <v>0</v>
      </c>
      <c r="Q168" s="35">
        <v>0</v>
      </c>
      <c r="R168" s="35">
        <v>902200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280">
        <v>-236200</v>
      </c>
      <c r="Y168" s="13">
        <v>-0.35465465465465468</v>
      </c>
      <c r="Z168" s="13">
        <v>2.3513513513513513E-2</v>
      </c>
      <c r="AA168" s="35">
        <v>8538.461538461539</v>
      </c>
      <c r="AB168" s="13">
        <v>0.38288288288288286</v>
      </c>
    </row>
    <row r="169" spans="4:28">
      <c r="D169" s="26">
        <v>51</v>
      </c>
      <c r="E169" s="12">
        <v>56</v>
      </c>
      <c r="F169" s="12">
        <v>3</v>
      </c>
      <c r="G169" s="313">
        <v>516000</v>
      </c>
      <c r="H169" s="16">
        <v>154800</v>
      </c>
      <c r="I169" s="16">
        <v>0</v>
      </c>
      <c r="J169" s="35">
        <v>0</v>
      </c>
      <c r="K169" s="35">
        <v>0</v>
      </c>
      <c r="L169" s="35">
        <v>154800</v>
      </c>
      <c r="M169" s="35">
        <v>15480</v>
      </c>
      <c r="N169" s="12">
        <v>200000</v>
      </c>
      <c r="O169" s="35">
        <v>0</v>
      </c>
      <c r="P169" s="16">
        <v>0</v>
      </c>
      <c r="Q169" s="35">
        <v>0</v>
      </c>
      <c r="R169" s="35">
        <v>215480</v>
      </c>
      <c r="S169" s="35">
        <v>0</v>
      </c>
      <c r="T169" s="35">
        <v>0</v>
      </c>
      <c r="U169" s="35">
        <v>0</v>
      </c>
      <c r="V169" s="35">
        <v>0</v>
      </c>
      <c r="W169" s="35">
        <v>0</v>
      </c>
      <c r="X169" s="280">
        <v>-60680</v>
      </c>
      <c r="Y169" s="13">
        <v>-0.39198966408268732</v>
      </c>
      <c r="Z169" s="13">
        <v>0.03</v>
      </c>
      <c r="AA169" s="35">
        <v>9214.2857142857138</v>
      </c>
      <c r="AB169" s="13">
        <v>0.38759689922480622</v>
      </c>
    </row>
    <row r="170" spans="4:28">
      <c r="D170" s="26">
        <v>52</v>
      </c>
      <c r="E170" s="12">
        <v>143</v>
      </c>
      <c r="F170" s="12">
        <v>3</v>
      </c>
      <c r="G170" s="313">
        <v>1224000</v>
      </c>
      <c r="H170" s="16">
        <v>367200</v>
      </c>
      <c r="I170" s="16">
        <v>0</v>
      </c>
      <c r="J170" s="35">
        <v>0</v>
      </c>
      <c r="K170" s="35">
        <v>0</v>
      </c>
      <c r="L170" s="35">
        <v>367200</v>
      </c>
      <c r="M170" s="35">
        <v>36720</v>
      </c>
      <c r="N170" s="12">
        <v>650000</v>
      </c>
      <c r="O170" s="35"/>
      <c r="P170" s="16"/>
      <c r="Q170" s="35"/>
      <c r="R170" s="35">
        <v>686720</v>
      </c>
      <c r="S170" s="35">
        <v>0</v>
      </c>
      <c r="T170" s="35">
        <v>0</v>
      </c>
      <c r="U170" s="35">
        <v>0</v>
      </c>
      <c r="V170" s="35">
        <v>0</v>
      </c>
      <c r="W170" s="35">
        <v>0</v>
      </c>
      <c r="X170" s="280">
        <v>-319520</v>
      </c>
      <c r="Y170" s="13">
        <v>-0.87015250544662315</v>
      </c>
      <c r="Z170" s="13">
        <v>0.03</v>
      </c>
      <c r="AA170" s="35">
        <v>8559.4405594405598</v>
      </c>
      <c r="AB170" s="13">
        <v>0.53104575163398693</v>
      </c>
    </row>
    <row r="171" spans="4:28">
      <c r="D171" s="82">
        <v>12026</v>
      </c>
      <c r="E171" s="246">
        <v>61</v>
      </c>
      <c r="F171" s="246">
        <v>2</v>
      </c>
      <c r="G171" s="322">
        <v>480000</v>
      </c>
      <c r="H171" s="81">
        <v>144000</v>
      </c>
      <c r="I171" s="81">
        <v>0</v>
      </c>
      <c r="J171" s="37">
        <v>0</v>
      </c>
      <c r="K171" s="37">
        <v>0</v>
      </c>
      <c r="L171" s="37">
        <v>144000</v>
      </c>
      <c r="M171" s="37">
        <v>0</v>
      </c>
      <c r="N171" s="246">
        <v>0</v>
      </c>
      <c r="O171" s="37">
        <v>0</v>
      </c>
      <c r="P171" s="81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283">
        <v>144000</v>
      </c>
      <c r="Y171" s="244">
        <v>1</v>
      </c>
      <c r="Z171" s="244">
        <v>0</v>
      </c>
      <c r="AA171" s="37">
        <v>7868.8524590163934</v>
      </c>
      <c r="AB171" s="244">
        <v>0</v>
      </c>
    </row>
    <row r="172" spans="4:28">
      <c r="D172" s="26" t="s">
        <v>180</v>
      </c>
      <c r="E172" s="12">
        <v>0</v>
      </c>
      <c r="F172" s="12">
        <v>0</v>
      </c>
      <c r="G172" s="313">
        <v>0</v>
      </c>
      <c r="H172" s="16">
        <v>0</v>
      </c>
      <c r="I172" s="16">
        <v>0</v>
      </c>
      <c r="J172" s="35">
        <v>0</v>
      </c>
      <c r="K172" s="35">
        <v>0</v>
      </c>
      <c r="L172" s="35">
        <v>0</v>
      </c>
      <c r="M172" s="35">
        <v>0</v>
      </c>
      <c r="N172" s="12">
        <v>0</v>
      </c>
      <c r="O172" s="35">
        <v>0</v>
      </c>
      <c r="P172" s="16">
        <v>0</v>
      </c>
      <c r="Q172" s="35">
        <v>0</v>
      </c>
      <c r="R172" s="35">
        <v>0</v>
      </c>
      <c r="S172" s="35">
        <v>0</v>
      </c>
      <c r="T172" s="35">
        <v>0</v>
      </c>
      <c r="U172" s="35">
        <v>0</v>
      </c>
      <c r="V172" s="35">
        <v>0</v>
      </c>
      <c r="W172" s="35">
        <v>0</v>
      </c>
      <c r="X172" s="280">
        <v>0</v>
      </c>
      <c r="Y172" s="13">
        <v>0</v>
      </c>
      <c r="Z172" s="13">
        <v>0</v>
      </c>
      <c r="AA172" s="35">
        <v>0</v>
      </c>
      <c r="AB172" s="13">
        <v>0</v>
      </c>
    </row>
    <row r="173" spans="4:28">
      <c r="D173" s="26" t="s">
        <v>181</v>
      </c>
      <c r="E173" s="12">
        <v>0</v>
      </c>
      <c r="F173" s="12">
        <v>0</v>
      </c>
      <c r="G173" s="313">
        <v>0</v>
      </c>
      <c r="H173" s="16">
        <v>0</v>
      </c>
      <c r="I173" s="16">
        <v>0</v>
      </c>
      <c r="J173" s="35">
        <v>0</v>
      </c>
      <c r="K173" s="35">
        <v>0</v>
      </c>
      <c r="L173" s="35">
        <v>0</v>
      </c>
      <c r="M173" s="35">
        <v>0</v>
      </c>
      <c r="N173" s="12">
        <v>0</v>
      </c>
      <c r="O173" s="35">
        <v>0</v>
      </c>
      <c r="P173" s="16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35">
        <v>0</v>
      </c>
      <c r="X173" s="280">
        <v>0</v>
      </c>
      <c r="Y173" s="13">
        <v>0</v>
      </c>
      <c r="Z173" s="13">
        <v>0</v>
      </c>
      <c r="AA173" s="35">
        <v>0</v>
      </c>
      <c r="AB173" s="13">
        <v>0</v>
      </c>
    </row>
    <row r="174" spans="4:28">
      <c r="D174" s="26" t="s">
        <v>182</v>
      </c>
      <c r="E174" s="12">
        <v>0</v>
      </c>
      <c r="F174" s="12">
        <v>0</v>
      </c>
      <c r="G174" s="313">
        <v>0</v>
      </c>
      <c r="H174" s="16">
        <v>0</v>
      </c>
      <c r="I174" s="16">
        <v>0</v>
      </c>
      <c r="J174" s="35">
        <v>0</v>
      </c>
      <c r="K174" s="35">
        <v>0</v>
      </c>
      <c r="L174" s="35">
        <v>0</v>
      </c>
      <c r="M174" s="35">
        <v>0</v>
      </c>
      <c r="N174" s="12">
        <v>0</v>
      </c>
      <c r="O174" s="35">
        <v>0</v>
      </c>
      <c r="P174" s="16">
        <v>0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0</v>
      </c>
      <c r="W174" s="35">
        <v>0</v>
      </c>
      <c r="X174" s="280">
        <v>0</v>
      </c>
      <c r="Y174" s="13">
        <v>0</v>
      </c>
      <c r="Z174" s="13">
        <v>0</v>
      </c>
      <c r="AA174" s="35">
        <v>0</v>
      </c>
      <c r="AB174" s="13">
        <v>0</v>
      </c>
    </row>
    <row r="175" spans="4:28">
      <c r="D175" s="11" t="s">
        <v>167</v>
      </c>
      <c r="E175" s="12">
        <v>5224676.2832826702</v>
      </c>
      <c r="F175" s="12">
        <v>293</v>
      </c>
      <c r="G175" s="313">
        <v>45958106973.277718</v>
      </c>
      <c r="H175" s="16">
        <v>11269626157.062185</v>
      </c>
      <c r="I175" s="16">
        <v>2713282539.8845992</v>
      </c>
      <c r="J175" s="35">
        <v>942172563.99999917</v>
      </c>
      <c r="K175" s="35">
        <v>19829200</v>
      </c>
      <c r="L175" s="35">
        <v>14990195460.846659</v>
      </c>
      <c r="M175" s="35">
        <v>5016756581.6927919</v>
      </c>
      <c r="N175" s="12">
        <v>4574816474.5398445</v>
      </c>
      <c r="O175" s="35">
        <v>313759569</v>
      </c>
      <c r="P175" s="16">
        <v>13199999</v>
      </c>
      <c r="Q175" s="35">
        <v>58199999</v>
      </c>
      <c r="R175" s="35">
        <v>9976732624.9039783</v>
      </c>
      <c r="S175" s="35">
        <v>230030000.25629154</v>
      </c>
      <c r="T175" s="35">
        <v>4503633581.479538</v>
      </c>
      <c r="U175" s="35">
        <v>3671607</v>
      </c>
      <c r="V175" s="35">
        <v>44602101.068791054</v>
      </c>
      <c r="W175" s="35">
        <v>4781812289.5108356</v>
      </c>
      <c r="X175" s="280">
        <v>231650546.91481179</v>
      </c>
      <c r="Y175" s="13">
        <v>1.5453470738247998E-2</v>
      </c>
      <c r="Z175" s="13">
        <v>0.10915933906089254</v>
      </c>
      <c r="AA175" s="35">
        <v>8796.3549283099674</v>
      </c>
      <c r="AB175" s="13">
        <v>9.9543187825379006E-2</v>
      </c>
    </row>
    <row r="176" spans="4:28">
      <c r="W176"/>
      <c r="Y176"/>
    </row>
    <row r="177" spans="23:25">
      <c r="W177"/>
      <c r="Y177"/>
    </row>
    <row r="178" spans="23:25">
      <c r="W178"/>
      <c r="Y178"/>
    </row>
    <row r="179" spans="23:25">
      <c r="W179"/>
      <c r="Y179"/>
    </row>
    <row r="180" spans="23:25">
      <c r="W180"/>
      <c r="Y180"/>
    </row>
    <row r="181" spans="23:25">
      <c r="W181"/>
      <c r="Y181"/>
    </row>
    <row r="182" spans="23:25">
      <c r="W182"/>
      <c r="Y182"/>
    </row>
    <row r="183" spans="23:25">
      <c r="W183"/>
      <c r="Y183"/>
    </row>
    <row r="184" spans="23:25">
      <c r="W184"/>
      <c r="Y184"/>
    </row>
    <row r="185" spans="23:25">
      <c r="W185"/>
      <c r="Y185"/>
    </row>
    <row r="186" spans="23:25">
      <c r="W186"/>
      <c r="Y186"/>
    </row>
    <row r="187" spans="23:25">
      <c r="W187"/>
      <c r="Y187"/>
    </row>
    <row r="188" spans="23:25">
      <c r="W188"/>
      <c r="Y188"/>
    </row>
    <row r="189" spans="23:25">
      <c r="W189"/>
      <c r="Y189"/>
    </row>
    <row r="190" spans="23:25">
      <c r="W190"/>
      <c r="Y190"/>
    </row>
    <row r="191" spans="23:25">
      <c r="W191"/>
      <c r="Y191"/>
    </row>
    <row r="192" spans="23:25">
      <c r="W192"/>
      <c r="Y192"/>
    </row>
    <row r="193" spans="23:25">
      <c r="W193"/>
      <c r="Y193"/>
    </row>
    <row r="194" spans="23:25">
      <c r="W194"/>
      <c r="Y194"/>
    </row>
    <row r="195" spans="23:25">
      <c r="W195"/>
      <c r="Y195"/>
    </row>
    <row r="196" spans="23:25">
      <c r="W196"/>
      <c r="Y196"/>
    </row>
    <row r="197" spans="23:25">
      <c r="W197"/>
      <c r="Y197"/>
    </row>
    <row r="198" spans="23:25">
      <c r="W198"/>
      <c r="Y198"/>
    </row>
    <row r="199" spans="23:25">
      <c r="W199"/>
      <c r="Y199"/>
    </row>
    <row r="200" spans="23:25">
      <c r="W200"/>
      <c r="Y200"/>
    </row>
    <row r="201" spans="23:25">
      <c r="W201"/>
      <c r="Y201"/>
    </row>
    <row r="202" spans="23:25">
      <c r="W202"/>
      <c r="Y202"/>
    </row>
    <row r="203" spans="23:25">
      <c r="W203"/>
      <c r="Y203"/>
    </row>
    <row r="204" spans="23:25">
      <c r="W204"/>
      <c r="Y204"/>
    </row>
    <row r="205" spans="23:25">
      <c r="W205"/>
      <c r="Y205"/>
    </row>
    <row r="206" spans="23:25">
      <c r="W206"/>
      <c r="Y206"/>
    </row>
    <row r="207" spans="23:25">
      <c r="W207"/>
      <c r="Y207"/>
    </row>
    <row r="208" spans="23:25">
      <c r="W208"/>
      <c r="Y208"/>
    </row>
    <row r="209" spans="23:25">
      <c r="W209"/>
      <c r="Y209"/>
    </row>
    <row r="210" spans="23:25">
      <c r="W210"/>
      <c r="Y210"/>
    </row>
    <row r="211" spans="23:25">
      <c r="W211"/>
      <c r="Y211"/>
    </row>
    <row r="212" spans="23:25">
      <c r="W212"/>
      <c r="Y212"/>
    </row>
    <row r="213" spans="23:25">
      <c r="W213"/>
      <c r="Y213"/>
    </row>
    <row r="214" spans="23:25">
      <c r="W214"/>
      <c r="Y214"/>
    </row>
    <row r="215" spans="23:25">
      <c r="W215"/>
      <c r="Y215"/>
    </row>
    <row r="216" spans="23:25">
      <c r="W216"/>
      <c r="Y216"/>
    </row>
    <row r="217" spans="23:25">
      <c r="W217"/>
      <c r="Y217"/>
    </row>
    <row r="218" spans="23:25">
      <c r="W218"/>
      <c r="Y218"/>
    </row>
    <row r="219" spans="23:25">
      <c r="W219"/>
      <c r="Y219"/>
    </row>
    <row r="220" spans="23:25">
      <c r="W220"/>
      <c r="Y220"/>
    </row>
    <row r="221" spans="23:25">
      <c r="W221"/>
      <c r="Y221"/>
    </row>
    <row r="222" spans="23:25">
      <c r="W222"/>
      <c r="Y222"/>
    </row>
    <row r="223" spans="23:25">
      <c r="W223"/>
      <c r="Y223"/>
    </row>
    <row r="224" spans="23:25">
      <c r="W224"/>
      <c r="Y224"/>
    </row>
    <row r="225" spans="23:25">
      <c r="W225"/>
      <c r="Y225"/>
    </row>
    <row r="226" spans="23:25">
      <c r="W226"/>
      <c r="Y226"/>
    </row>
    <row r="227" spans="23:25">
      <c r="W227"/>
      <c r="Y227"/>
    </row>
    <row r="228" spans="23:25">
      <c r="W228"/>
      <c r="Y228"/>
    </row>
    <row r="229" spans="23:25">
      <c r="W229"/>
      <c r="Y229"/>
    </row>
    <row r="230" spans="23:25">
      <c r="W230"/>
      <c r="Y230"/>
    </row>
    <row r="231" spans="23:25">
      <c r="W231"/>
      <c r="Y231"/>
    </row>
    <row r="232" spans="23:25">
      <c r="W232"/>
      <c r="Y232"/>
    </row>
    <row r="233" spans="23:25">
      <c r="W233"/>
      <c r="Y233"/>
    </row>
    <row r="234" spans="23:25">
      <c r="W234"/>
      <c r="Y234"/>
    </row>
    <row r="235" spans="23:25">
      <c r="W235"/>
      <c r="Y235"/>
    </row>
    <row r="236" spans="23:25">
      <c r="W236"/>
      <c r="Y236"/>
    </row>
    <row r="237" spans="23:25">
      <c r="W237"/>
      <c r="Y237"/>
    </row>
    <row r="238" spans="23:25">
      <c r="W238"/>
      <c r="Y238"/>
    </row>
    <row r="239" spans="23:25">
      <c r="W239"/>
      <c r="Y239"/>
    </row>
    <row r="240" spans="23:25">
      <c r="W240"/>
      <c r="Y240"/>
    </row>
    <row r="241" spans="23:25">
      <c r="W241"/>
      <c r="Y241"/>
    </row>
    <row r="242" spans="23:25">
      <c r="W242"/>
      <c r="Y242"/>
    </row>
    <row r="243" spans="23:25">
      <c r="W243"/>
      <c r="Y243"/>
    </row>
    <row r="244" spans="23:25">
      <c r="W244"/>
      <c r="Y244"/>
    </row>
    <row r="245" spans="23:25">
      <c r="W245"/>
      <c r="Y245"/>
    </row>
    <row r="246" spans="23:25">
      <c r="W246"/>
      <c r="Y246"/>
    </row>
    <row r="247" spans="23:25">
      <c r="W247"/>
      <c r="Y247"/>
    </row>
    <row r="248" spans="23:25">
      <c r="W248"/>
      <c r="Y248"/>
    </row>
    <row r="249" spans="23:25">
      <c r="W249"/>
      <c r="Y249"/>
    </row>
    <row r="250" spans="23:25">
      <c r="W250"/>
      <c r="Y250"/>
    </row>
    <row r="251" spans="23:25">
      <c r="W251"/>
      <c r="Y251"/>
    </row>
    <row r="252" spans="23:25">
      <c r="W252"/>
      <c r="Y252"/>
    </row>
    <row r="253" spans="23:25">
      <c r="W253"/>
      <c r="Y253"/>
    </row>
    <row r="254" spans="23:25">
      <c r="W254"/>
      <c r="Y254"/>
    </row>
    <row r="255" spans="23:25">
      <c r="W255"/>
      <c r="Y255"/>
    </row>
    <row r="256" spans="23:25">
      <c r="W256"/>
      <c r="Y256"/>
    </row>
    <row r="257" spans="23:25">
      <c r="W257"/>
      <c r="Y257"/>
    </row>
    <row r="258" spans="23:25">
      <c r="W258"/>
      <c r="Y258"/>
    </row>
    <row r="259" spans="23:25">
      <c r="W259"/>
      <c r="Y259"/>
    </row>
    <row r="260" spans="23:25">
      <c r="W260"/>
      <c r="Y260"/>
    </row>
    <row r="261" spans="23:25">
      <c r="W261"/>
      <c r="Y261"/>
    </row>
    <row r="262" spans="23:25">
      <c r="W262"/>
      <c r="Y262"/>
    </row>
    <row r="263" spans="23:25">
      <c r="W263"/>
      <c r="Y263"/>
    </row>
    <row r="264" spans="23:25">
      <c r="W264"/>
      <c r="Y264"/>
    </row>
    <row r="265" spans="23:25">
      <c r="W265"/>
      <c r="Y265"/>
    </row>
    <row r="266" spans="23:25">
      <c r="W266"/>
      <c r="Y266"/>
    </row>
    <row r="267" spans="23:25">
      <c r="W267"/>
      <c r="Y267"/>
    </row>
    <row r="268" spans="23:25">
      <c r="W268"/>
      <c r="Y268"/>
    </row>
    <row r="269" spans="23:25">
      <c r="W269"/>
      <c r="Y269"/>
    </row>
    <row r="270" spans="23:25">
      <c r="W270"/>
      <c r="Y270"/>
    </row>
    <row r="271" spans="23:25">
      <c r="W271"/>
      <c r="Y271"/>
    </row>
    <row r="272" spans="23:25">
      <c r="W272"/>
      <c r="Y272"/>
    </row>
    <row r="273" spans="23:25">
      <c r="W273"/>
      <c r="Y273"/>
    </row>
    <row r="274" spans="23:25">
      <c r="W274"/>
      <c r="Y274"/>
    </row>
    <row r="275" spans="23:25">
      <c r="W275"/>
      <c r="Y275"/>
    </row>
    <row r="276" spans="23:25">
      <c r="W276"/>
      <c r="Y276"/>
    </row>
    <row r="277" spans="23:25">
      <c r="W277"/>
      <c r="Y277"/>
    </row>
    <row r="278" spans="23:25">
      <c r="W278"/>
      <c r="Y278"/>
    </row>
    <row r="279" spans="23:25">
      <c r="W279"/>
      <c r="Y279"/>
    </row>
    <row r="280" spans="23:25">
      <c r="W280"/>
      <c r="Y280"/>
    </row>
    <row r="281" spans="23:25">
      <c r="W281"/>
      <c r="Y281"/>
    </row>
    <row r="282" spans="23:25">
      <c r="W282"/>
      <c r="Y282"/>
    </row>
    <row r="283" spans="23:25">
      <c r="W283"/>
      <c r="Y283"/>
    </row>
    <row r="284" spans="23:25">
      <c r="W284"/>
      <c r="Y284"/>
    </row>
    <row r="285" spans="23:25">
      <c r="W285"/>
      <c r="Y285"/>
    </row>
    <row r="286" spans="23:25">
      <c r="W286"/>
      <c r="Y286"/>
    </row>
    <row r="287" spans="23:25">
      <c r="W287"/>
      <c r="Y287"/>
    </row>
    <row r="288" spans="23:25">
      <c r="W288"/>
      <c r="Y288"/>
    </row>
    <row r="289" spans="23:25">
      <c r="W289"/>
      <c r="Y289"/>
    </row>
    <row r="290" spans="23:25">
      <c r="W290"/>
      <c r="Y290"/>
    </row>
    <row r="291" spans="23:25">
      <c r="W291"/>
      <c r="Y291"/>
    </row>
    <row r="292" spans="23:25">
      <c r="W292"/>
      <c r="Y292"/>
    </row>
    <row r="293" spans="23:25">
      <c r="W293"/>
      <c r="Y293"/>
    </row>
    <row r="294" spans="23:25">
      <c r="W294"/>
      <c r="Y294"/>
    </row>
    <row r="295" spans="23:25">
      <c r="W295"/>
      <c r="Y295"/>
    </row>
    <row r="296" spans="23:25">
      <c r="W296"/>
      <c r="Y296"/>
    </row>
    <row r="297" spans="23:25">
      <c r="W297"/>
      <c r="Y297"/>
    </row>
    <row r="298" spans="23:25">
      <c r="W298"/>
      <c r="Y298"/>
    </row>
    <row r="299" spans="23:25">
      <c r="W299"/>
      <c r="Y299"/>
    </row>
    <row r="300" spans="23:25">
      <c r="W300"/>
      <c r="Y300"/>
    </row>
    <row r="301" spans="23:25">
      <c r="W301"/>
      <c r="Y301"/>
    </row>
    <row r="302" spans="23:25">
      <c r="W302"/>
      <c r="Y302"/>
    </row>
    <row r="303" spans="23:25">
      <c r="W303"/>
      <c r="Y303"/>
    </row>
    <row r="304" spans="23:25">
      <c r="W304"/>
      <c r="Y304"/>
    </row>
    <row r="305" spans="23:25">
      <c r="W305"/>
      <c r="Y305"/>
    </row>
    <row r="306" spans="23:25">
      <c r="W306"/>
      <c r="Y306"/>
    </row>
    <row r="307" spans="23:25">
      <c r="W307"/>
      <c r="Y307"/>
    </row>
    <row r="308" spans="23:25">
      <c r="W308"/>
      <c r="Y308"/>
    </row>
    <row r="309" spans="23:25">
      <c r="W309"/>
      <c r="Y309"/>
    </row>
    <row r="310" spans="23:25">
      <c r="W310"/>
      <c r="Y310"/>
    </row>
    <row r="311" spans="23:25">
      <c r="W311"/>
      <c r="Y311"/>
    </row>
    <row r="312" spans="23:25">
      <c r="W312"/>
      <c r="Y312"/>
    </row>
    <row r="313" spans="23:25">
      <c r="W313"/>
      <c r="Y313"/>
    </row>
    <row r="314" spans="23:25">
      <c r="W314"/>
      <c r="Y314"/>
    </row>
    <row r="315" spans="23:25">
      <c r="W315"/>
      <c r="Y315"/>
    </row>
    <row r="316" spans="23:25">
      <c r="W316"/>
      <c r="Y316"/>
    </row>
    <row r="317" spans="23:25">
      <c r="W317"/>
      <c r="Y317"/>
    </row>
    <row r="318" spans="23:25">
      <c r="W318"/>
      <c r="Y318"/>
    </row>
    <row r="319" spans="23:25">
      <c r="W319"/>
      <c r="Y319"/>
    </row>
    <row r="320" spans="23:25">
      <c r="W320"/>
      <c r="Y320"/>
    </row>
    <row r="321" spans="23:25">
      <c r="W321"/>
      <c r="Y321"/>
    </row>
    <row r="322" spans="23:25">
      <c r="W322"/>
      <c r="Y322"/>
    </row>
    <row r="323" spans="23:25">
      <c r="W323"/>
      <c r="Y323"/>
    </row>
    <row r="324" spans="23:25">
      <c r="W324"/>
      <c r="Y324"/>
    </row>
    <row r="325" spans="23:25">
      <c r="W325"/>
      <c r="Y325"/>
    </row>
    <row r="326" spans="23:25">
      <c r="W326"/>
      <c r="Y326"/>
    </row>
    <row r="327" spans="23:25">
      <c r="W327"/>
      <c r="Y327"/>
    </row>
    <row r="328" spans="23:25">
      <c r="W328"/>
      <c r="Y328"/>
    </row>
    <row r="329" spans="23:25">
      <c r="W329"/>
      <c r="Y329"/>
    </row>
    <row r="330" spans="23:25">
      <c r="W330"/>
      <c r="Y330"/>
    </row>
    <row r="331" spans="23:25">
      <c r="W331"/>
      <c r="Y331"/>
    </row>
    <row r="332" spans="23:25">
      <c r="W332"/>
      <c r="Y332"/>
    </row>
    <row r="333" spans="23:25">
      <c r="W333"/>
      <c r="Y333"/>
    </row>
    <row r="334" spans="23:25">
      <c r="W334"/>
      <c r="Y334"/>
    </row>
    <row r="335" spans="23:25">
      <c r="W335"/>
      <c r="Y335"/>
    </row>
    <row r="336" spans="23:25">
      <c r="W336"/>
      <c r="Y336"/>
    </row>
    <row r="337" spans="23:25">
      <c r="W337"/>
      <c r="Y337"/>
    </row>
    <row r="338" spans="23:25">
      <c r="W338"/>
      <c r="Y338"/>
    </row>
    <row r="339" spans="23:25">
      <c r="W339"/>
      <c r="Y339"/>
    </row>
    <row r="340" spans="23:25">
      <c r="W340"/>
      <c r="Y340"/>
    </row>
    <row r="341" spans="23:25">
      <c r="W341"/>
      <c r="Y341"/>
    </row>
    <row r="342" spans="23:25">
      <c r="W342"/>
      <c r="Y342"/>
    </row>
    <row r="343" spans="23:25">
      <c r="W343"/>
      <c r="Y343"/>
    </row>
    <row r="344" spans="23:25">
      <c r="W344"/>
      <c r="Y344"/>
    </row>
    <row r="345" spans="23:25">
      <c r="W345"/>
      <c r="Y345"/>
    </row>
    <row r="346" spans="23:25">
      <c r="W346"/>
      <c r="Y346"/>
    </row>
    <row r="347" spans="23:25">
      <c r="W347"/>
      <c r="Y347"/>
    </row>
    <row r="348" spans="23:25">
      <c r="W348"/>
      <c r="Y348"/>
    </row>
    <row r="349" spans="23:25">
      <c r="W349"/>
      <c r="Y349"/>
    </row>
    <row r="350" spans="23:25">
      <c r="W350"/>
      <c r="Y350"/>
    </row>
    <row r="351" spans="23:25">
      <c r="W351"/>
      <c r="Y351"/>
    </row>
    <row r="352" spans="23:25">
      <c r="W352"/>
      <c r="Y352"/>
    </row>
    <row r="353" spans="23:25">
      <c r="W353"/>
      <c r="Y353"/>
    </row>
    <row r="354" spans="23:25">
      <c r="W354"/>
      <c r="Y354"/>
    </row>
    <row r="355" spans="23:25">
      <c r="W355"/>
      <c r="Y355"/>
    </row>
    <row r="356" spans="23:25">
      <c r="W356"/>
      <c r="Y356"/>
    </row>
    <row r="357" spans="23:25">
      <c r="W357"/>
      <c r="Y357"/>
    </row>
    <row r="358" spans="23:25">
      <c r="W358"/>
      <c r="Y358"/>
    </row>
    <row r="359" spans="23:25">
      <c r="W359"/>
      <c r="Y359"/>
    </row>
    <row r="360" spans="23:25">
      <c r="W360"/>
      <c r="Y360"/>
    </row>
    <row r="361" spans="23:25">
      <c r="W361"/>
      <c r="Y361"/>
    </row>
    <row r="362" spans="23:25">
      <c r="W362"/>
      <c r="Y362"/>
    </row>
    <row r="363" spans="23:25">
      <c r="W363"/>
      <c r="Y363"/>
    </row>
    <row r="364" spans="23:25">
      <c r="W364"/>
      <c r="Y364"/>
    </row>
    <row r="365" spans="23:25">
      <c r="W365"/>
      <c r="Y365"/>
    </row>
    <row r="366" spans="23:25">
      <c r="W366"/>
      <c r="Y366"/>
    </row>
    <row r="367" spans="23:25">
      <c r="W367"/>
      <c r="Y367"/>
    </row>
    <row r="368" spans="23:25">
      <c r="W368"/>
      <c r="Y368"/>
    </row>
    <row r="369" spans="23:25">
      <c r="W369"/>
      <c r="Y369"/>
    </row>
    <row r="370" spans="23:25">
      <c r="W370"/>
      <c r="Y370"/>
    </row>
    <row r="371" spans="23:25">
      <c r="W371"/>
      <c r="Y371"/>
    </row>
    <row r="372" spans="23:25">
      <c r="W372"/>
      <c r="Y372"/>
    </row>
    <row r="373" spans="23:25">
      <c r="W373"/>
      <c r="Y373"/>
    </row>
    <row r="374" spans="23:25">
      <c r="W374"/>
      <c r="Y374"/>
    </row>
    <row r="375" spans="23:25">
      <c r="W375"/>
      <c r="Y375"/>
    </row>
    <row r="376" spans="23:25">
      <c r="W376"/>
      <c r="Y376"/>
    </row>
    <row r="377" spans="23:25">
      <c r="W377"/>
      <c r="Y377"/>
    </row>
    <row r="378" spans="23:25">
      <c r="W378"/>
      <c r="Y378"/>
    </row>
    <row r="379" spans="23:25">
      <c r="W379"/>
      <c r="Y379"/>
    </row>
    <row r="380" spans="23:25">
      <c r="W380"/>
      <c r="Y380"/>
    </row>
    <row r="381" spans="23:25">
      <c r="W381"/>
      <c r="Y381"/>
    </row>
    <row r="382" spans="23:25">
      <c r="W382"/>
      <c r="Y382"/>
    </row>
    <row r="383" spans="23:25">
      <c r="W383"/>
      <c r="Y383"/>
    </row>
    <row r="384" spans="23:25">
      <c r="W384"/>
      <c r="Y384"/>
    </row>
    <row r="385" spans="23:25">
      <c r="W385"/>
      <c r="Y385"/>
    </row>
    <row r="386" spans="23:25">
      <c r="W386"/>
      <c r="Y386"/>
    </row>
    <row r="387" spans="23:25">
      <c r="W387"/>
      <c r="Y387"/>
    </row>
    <row r="388" spans="23:25">
      <c r="W388"/>
      <c r="Y388"/>
    </row>
    <row r="389" spans="23:25">
      <c r="W389"/>
      <c r="Y389"/>
    </row>
  </sheetData>
  <mergeCells count="9">
    <mergeCell ref="BJ3:BM3"/>
    <mergeCell ref="BO3:BR3"/>
    <mergeCell ref="BT3:BW3"/>
    <mergeCell ref="AU3:AX3"/>
    <mergeCell ref="H3:K3"/>
    <mergeCell ref="M3:P3"/>
    <mergeCell ref="R3:U3"/>
    <mergeCell ref="AK3:AN3"/>
    <mergeCell ref="AP3:A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06C5-A0A5-4853-9C1C-B10EAF9FB593}">
  <dimension ref="A1:AK4"/>
  <sheetViews>
    <sheetView workbookViewId="0"/>
  </sheetViews>
  <sheetFormatPr defaultColWidth="8.85546875" defaultRowHeight="15"/>
  <cols>
    <col min="2" max="2" width="14.42578125" bestFit="1" customWidth="1"/>
    <col min="3" max="3" width="9.85546875" bestFit="1" customWidth="1"/>
    <col min="4" max="4" width="13.85546875" bestFit="1" customWidth="1"/>
    <col min="5" max="5" width="12.42578125" bestFit="1" customWidth="1"/>
    <col min="6" max="6" width="17" bestFit="1" customWidth="1"/>
    <col min="7" max="7" width="16.7109375" bestFit="1" customWidth="1"/>
    <col min="9" max="9" width="18.42578125" bestFit="1" customWidth="1"/>
    <col min="10" max="10" width="13.42578125" bestFit="1" customWidth="1"/>
    <col min="11" max="11" width="20.140625" bestFit="1" customWidth="1"/>
    <col min="12" max="12" width="17.28515625" bestFit="1" customWidth="1"/>
    <col min="13" max="13" width="31" bestFit="1" customWidth="1"/>
    <col min="14" max="14" width="38.85546875" bestFit="1" customWidth="1"/>
    <col min="15" max="15" width="30.140625" bestFit="1" customWidth="1"/>
    <col min="16" max="16" width="41.42578125" bestFit="1" customWidth="1"/>
    <col min="17" max="17" width="10.42578125" bestFit="1" customWidth="1"/>
    <col min="18" max="18" width="35.42578125" bestFit="1" customWidth="1"/>
    <col min="19" max="19" width="15.140625" bestFit="1" customWidth="1"/>
    <col min="20" max="20" width="29" bestFit="1" customWidth="1"/>
    <col min="21" max="21" width="20.42578125" bestFit="1" customWidth="1"/>
    <col min="22" max="22" width="26.140625" bestFit="1" customWidth="1"/>
    <col min="23" max="23" width="13.28515625" bestFit="1" customWidth="1"/>
    <col min="24" max="24" width="14.28515625" bestFit="1" customWidth="1"/>
    <col min="25" max="25" width="23.42578125" bestFit="1" customWidth="1"/>
    <col min="26" max="26" width="34" bestFit="1" customWidth="1"/>
    <col min="27" max="27" width="31" bestFit="1" customWidth="1"/>
    <col min="28" max="28" width="33" bestFit="1" customWidth="1"/>
    <col min="29" max="29" width="17.42578125" bestFit="1" customWidth="1"/>
    <col min="30" max="30" width="43.42578125" bestFit="1" customWidth="1"/>
    <col min="31" max="31" width="16" bestFit="1" customWidth="1"/>
    <col min="33" max="33" width="13.42578125" bestFit="1" customWidth="1"/>
    <col min="34" max="34" width="19" bestFit="1" customWidth="1"/>
    <col min="35" max="35" width="15.85546875" bestFit="1" customWidth="1"/>
    <col min="36" max="36" width="21.7109375" bestFit="1" customWidth="1"/>
    <col min="37" max="37" width="31.42578125" bestFit="1" customWidth="1"/>
  </cols>
  <sheetData>
    <row r="1" spans="1:37">
      <c r="A1" s="30" t="s">
        <v>236</v>
      </c>
    </row>
    <row r="3" spans="1:37">
      <c r="A3" t="s">
        <v>104</v>
      </c>
      <c r="B3" t="s">
        <v>102</v>
      </c>
      <c r="C3" t="s">
        <v>3</v>
      </c>
      <c r="D3" t="s">
        <v>237</v>
      </c>
      <c r="E3" t="s">
        <v>106</v>
      </c>
      <c r="F3" t="s">
        <v>100</v>
      </c>
      <c r="G3" t="s">
        <v>238</v>
      </c>
      <c r="H3" t="s">
        <v>0</v>
      </c>
      <c r="I3" t="s">
        <v>239</v>
      </c>
      <c r="J3" t="s">
        <v>240</v>
      </c>
      <c r="K3" t="s">
        <v>5</v>
      </c>
      <c r="L3" t="s">
        <v>6</v>
      </c>
      <c r="M3" t="s">
        <v>241</v>
      </c>
      <c r="N3" t="s">
        <v>8</v>
      </c>
      <c r="O3" t="s">
        <v>9</v>
      </c>
      <c r="P3" t="s">
        <v>10</v>
      </c>
      <c r="Q3" t="s">
        <v>242</v>
      </c>
      <c r="R3" t="s">
        <v>11</v>
      </c>
      <c r="S3" t="s">
        <v>243</v>
      </c>
      <c r="T3" t="s">
        <v>13</v>
      </c>
      <c r="U3" t="s">
        <v>244</v>
      </c>
      <c r="V3" t="s">
        <v>12</v>
      </c>
      <c r="W3" t="s">
        <v>245</v>
      </c>
      <c r="X3" t="s">
        <v>48</v>
      </c>
      <c r="Y3" t="s">
        <v>246</v>
      </c>
      <c r="Z3" t="s">
        <v>247</v>
      </c>
      <c r="AA3" t="s">
        <v>248</v>
      </c>
      <c r="AB3" t="s">
        <v>17</v>
      </c>
      <c r="AC3" t="s">
        <v>249</v>
      </c>
      <c r="AD3" t="s">
        <v>250</v>
      </c>
      <c r="AE3" t="s">
        <v>45</v>
      </c>
      <c r="AF3" t="s">
        <v>18</v>
      </c>
      <c r="AG3" t="s">
        <v>251</v>
      </c>
      <c r="AH3" t="s">
        <v>252</v>
      </c>
      <c r="AI3" t="s">
        <v>253</v>
      </c>
      <c r="AJ3" t="s">
        <v>254</v>
      </c>
      <c r="AK3" t="s">
        <v>255</v>
      </c>
    </row>
    <row r="4" spans="1:37">
      <c r="A4">
        <v>2026</v>
      </c>
      <c r="B4" t="s">
        <v>23</v>
      </c>
      <c r="C4" t="s">
        <v>23</v>
      </c>
      <c r="D4" t="s">
        <v>168</v>
      </c>
      <c r="E4" t="s">
        <v>28</v>
      </c>
      <c r="F4" t="s">
        <v>28</v>
      </c>
      <c r="G4">
        <v>152026</v>
      </c>
      <c r="H4" t="s">
        <v>160</v>
      </c>
      <c r="I4" t="s">
        <v>256</v>
      </c>
      <c r="J4" t="s">
        <v>198</v>
      </c>
      <c r="K4">
        <v>183</v>
      </c>
      <c r="L4">
        <v>60723</v>
      </c>
      <c r="M4">
        <v>533718000</v>
      </c>
      <c r="N4">
        <v>63509825</v>
      </c>
      <c r="O4">
        <v>48275000</v>
      </c>
      <c r="P4">
        <v>0</v>
      </c>
      <c r="Q4">
        <v>0</v>
      </c>
      <c r="R4">
        <v>0</v>
      </c>
      <c r="S4">
        <v>0</v>
      </c>
      <c r="T4">
        <v>111784825</v>
      </c>
      <c r="U4">
        <v>3450000</v>
      </c>
      <c r="V4">
        <v>44835000</v>
      </c>
      <c r="W4">
        <v>0</v>
      </c>
      <c r="X4">
        <v>289348.17784946243</v>
      </c>
      <c r="Y4">
        <v>48574348.177849464</v>
      </c>
      <c r="Z4">
        <v>138766680</v>
      </c>
      <c r="AA4">
        <v>26875000</v>
      </c>
      <c r="AB4">
        <v>0</v>
      </c>
      <c r="AC4">
        <v>1075000</v>
      </c>
      <c r="AD4">
        <v>0</v>
      </c>
      <c r="AE4">
        <v>166716680</v>
      </c>
      <c r="AF4">
        <v>6357506.8221505284</v>
      </c>
      <c r="AG4">
        <v>23242506.822150536</v>
      </c>
      <c r="AH4">
        <v>0.1674934272561002</v>
      </c>
      <c r="AI4">
        <v>-17960000</v>
      </c>
      <c r="AJ4">
        <v>-0.66827906976744189</v>
      </c>
      <c r="AK4" t="s">
        <v>257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EBF4-F5A1-41A0-BEDC-0B4821CBF2DE}">
  <dimension ref="A1:AK4"/>
  <sheetViews>
    <sheetView workbookViewId="0"/>
  </sheetViews>
  <sheetFormatPr defaultColWidth="11.42578125" defaultRowHeight="15"/>
  <cols>
    <col min="2" max="2" width="14.42578125" bestFit="1" customWidth="1"/>
    <col min="3" max="3" width="9.85546875" bestFit="1" customWidth="1"/>
    <col min="4" max="4" width="13.85546875" bestFit="1" customWidth="1"/>
    <col min="5" max="5" width="12.42578125" bestFit="1" customWidth="1"/>
    <col min="6" max="6" width="17" bestFit="1" customWidth="1"/>
    <col min="7" max="7" width="16.7109375" bestFit="1" customWidth="1"/>
    <col min="9" max="9" width="18.42578125" bestFit="1" customWidth="1"/>
    <col min="10" max="10" width="13.42578125" bestFit="1" customWidth="1"/>
    <col min="11" max="11" width="20.140625" bestFit="1" customWidth="1"/>
    <col min="12" max="12" width="17.28515625" bestFit="1" customWidth="1"/>
    <col min="13" max="13" width="31" bestFit="1" customWidth="1"/>
    <col min="14" max="14" width="38.85546875" bestFit="1" customWidth="1"/>
    <col min="15" max="15" width="30.140625" bestFit="1" customWidth="1"/>
    <col min="16" max="16" width="41.42578125" bestFit="1" customWidth="1"/>
    <col min="17" max="17" width="10.42578125" bestFit="1" customWidth="1"/>
    <col min="18" max="18" width="35.42578125" bestFit="1" customWidth="1"/>
    <col min="19" max="19" width="15.140625" bestFit="1" customWidth="1"/>
    <col min="20" max="20" width="29" bestFit="1" customWidth="1"/>
    <col min="21" max="21" width="20.42578125" bestFit="1" customWidth="1"/>
    <col min="22" max="22" width="26.140625" bestFit="1" customWidth="1"/>
    <col min="23" max="23" width="13.28515625" bestFit="1" customWidth="1"/>
    <col min="24" max="24" width="14.28515625" bestFit="1" customWidth="1"/>
    <col min="25" max="25" width="23.42578125" bestFit="1" customWidth="1"/>
    <col min="26" max="26" width="34" bestFit="1" customWidth="1"/>
    <col min="27" max="27" width="31" bestFit="1" customWidth="1"/>
    <col min="28" max="28" width="33" bestFit="1" customWidth="1"/>
    <col min="29" max="29" width="17.42578125" bestFit="1" customWidth="1"/>
    <col min="30" max="30" width="43.42578125" bestFit="1" customWidth="1"/>
    <col min="31" max="31" width="16" bestFit="1" customWidth="1"/>
    <col min="33" max="33" width="13.42578125" bestFit="1" customWidth="1"/>
    <col min="34" max="34" width="19" bestFit="1" customWidth="1"/>
    <col min="35" max="35" width="15.85546875" bestFit="1" customWidth="1"/>
    <col min="36" max="36" width="21.7109375" bestFit="1" customWidth="1"/>
    <col min="37" max="37" width="31.42578125" bestFit="1" customWidth="1"/>
  </cols>
  <sheetData>
    <row r="1" spans="1:37">
      <c r="A1" s="30" t="s">
        <v>258</v>
      </c>
    </row>
    <row r="3" spans="1:37">
      <c r="A3" t="s">
        <v>104</v>
      </c>
      <c r="B3" t="s">
        <v>102</v>
      </c>
      <c r="C3" t="s">
        <v>3</v>
      </c>
      <c r="D3" t="s">
        <v>237</v>
      </c>
      <c r="E3" t="s">
        <v>106</v>
      </c>
      <c r="F3" t="s">
        <v>100</v>
      </c>
      <c r="G3" t="s">
        <v>238</v>
      </c>
      <c r="H3" t="s">
        <v>0</v>
      </c>
      <c r="I3" t="s">
        <v>239</v>
      </c>
      <c r="J3" t="s">
        <v>240</v>
      </c>
      <c r="K3" t="s">
        <v>5</v>
      </c>
      <c r="L3" t="s">
        <v>6</v>
      </c>
      <c r="M3" t="s">
        <v>241</v>
      </c>
      <c r="N3" t="s">
        <v>8</v>
      </c>
      <c r="O3" t="s">
        <v>9</v>
      </c>
      <c r="P3" t="s">
        <v>10</v>
      </c>
      <c r="Q3" t="s">
        <v>242</v>
      </c>
      <c r="R3" t="s">
        <v>11</v>
      </c>
      <c r="S3" t="s">
        <v>243</v>
      </c>
      <c r="T3" t="s">
        <v>13</v>
      </c>
      <c r="U3" t="s">
        <v>244</v>
      </c>
      <c r="V3" t="s">
        <v>12</v>
      </c>
      <c r="W3" t="s">
        <v>245</v>
      </c>
      <c r="X3" t="s">
        <v>48</v>
      </c>
      <c r="Y3" t="s">
        <v>246</v>
      </c>
      <c r="Z3" t="s">
        <v>247</v>
      </c>
      <c r="AA3" t="s">
        <v>248</v>
      </c>
      <c r="AB3" t="s">
        <v>17</v>
      </c>
      <c r="AC3" t="s">
        <v>249</v>
      </c>
      <c r="AD3" t="s">
        <v>250</v>
      </c>
      <c r="AE3" t="s">
        <v>45</v>
      </c>
      <c r="AF3" t="s">
        <v>18</v>
      </c>
      <c r="AG3" t="s">
        <v>251</v>
      </c>
      <c r="AH3" t="s">
        <v>252</v>
      </c>
      <c r="AI3" t="s">
        <v>253</v>
      </c>
      <c r="AJ3" t="s">
        <v>254</v>
      </c>
      <c r="AK3" t="s">
        <v>255</v>
      </c>
    </row>
    <row r="4" spans="1:37">
      <c r="A4">
        <v>2026</v>
      </c>
      <c r="B4" t="s">
        <v>23</v>
      </c>
      <c r="C4" t="s">
        <v>23</v>
      </c>
      <c r="D4" t="s">
        <v>168</v>
      </c>
      <c r="E4" t="s">
        <v>28</v>
      </c>
      <c r="F4" t="s">
        <v>28</v>
      </c>
      <c r="G4">
        <v>152026</v>
      </c>
      <c r="H4" t="s">
        <v>160</v>
      </c>
      <c r="I4" t="s">
        <v>256</v>
      </c>
      <c r="J4" t="s">
        <v>198</v>
      </c>
      <c r="K4">
        <v>183</v>
      </c>
      <c r="L4">
        <v>60723</v>
      </c>
      <c r="M4">
        <v>533718000</v>
      </c>
      <c r="N4">
        <v>63509825</v>
      </c>
      <c r="O4">
        <v>48275000</v>
      </c>
      <c r="P4">
        <v>0</v>
      </c>
      <c r="Q4">
        <v>0</v>
      </c>
      <c r="R4">
        <v>0</v>
      </c>
      <c r="S4">
        <v>0</v>
      </c>
      <c r="T4">
        <v>111784825</v>
      </c>
      <c r="U4">
        <v>3450000</v>
      </c>
      <c r="V4">
        <v>44835000</v>
      </c>
      <c r="W4">
        <v>0</v>
      </c>
      <c r="X4">
        <v>289348.17784946243</v>
      </c>
      <c r="Y4">
        <v>48574348.177849464</v>
      </c>
      <c r="Z4">
        <v>138766680</v>
      </c>
      <c r="AA4">
        <v>26875000</v>
      </c>
      <c r="AB4">
        <v>0</v>
      </c>
      <c r="AC4">
        <v>1075000</v>
      </c>
      <c r="AD4">
        <v>0</v>
      </c>
      <c r="AE4">
        <v>166716680</v>
      </c>
      <c r="AF4">
        <v>6357506.8221505284</v>
      </c>
      <c r="AG4">
        <v>23242506.822150536</v>
      </c>
      <c r="AH4">
        <v>0.1674934272561002</v>
      </c>
      <c r="AI4">
        <v>-17960000</v>
      </c>
      <c r="AJ4">
        <v>-0.66827906976744189</v>
      </c>
      <c r="AK4" t="s">
        <v>257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B1BB-EA1D-E446-93AA-BEFFC7135D55}">
  <sheetPr>
    <tabColor rgb="FF92D050"/>
  </sheetPr>
  <dimension ref="A1:MS545"/>
  <sheetViews>
    <sheetView topLeftCell="A3" zoomScale="125" workbookViewId="0">
      <pane xSplit="6" ySplit="5" topLeftCell="G298" activePane="bottomRight" state="frozen"/>
      <selection pane="bottomRight" activeCell="M315" sqref="M315"/>
      <selection pane="bottomLeft" activeCell="A8" sqref="A8"/>
      <selection pane="topRight" activeCell="G3" sqref="G3"/>
    </sheetView>
  </sheetViews>
  <sheetFormatPr defaultColWidth="11.42578125" defaultRowHeight="15"/>
  <cols>
    <col min="1" max="1" width="2" customWidth="1"/>
    <col min="2" max="2" width="6.140625" customWidth="1"/>
    <col min="3" max="3" width="4.7109375" customWidth="1"/>
    <col min="4" max="4" width="6.140625" customWidth="1"/>
    <col min="5" max="5" width="13.28515625" customWidth="1"/>
    <col min="6" max="6" width="9.85546875" customWidth="1"/>
    <col min="7" max="7" width="7.28515625" bestFit="1" customWidth="1"/>
    <col min="8" max="8" width="13.7109375" style="1" bestFit="1" customWidth="1"/>
    <col min="9" max="9" width="13.42578125" style="1" customWidth="1"/>
    <col min="10" max="10" width="12.7109375" bestFit="1" customWidth="1"/>
    <col min="11" max="11" width="7" customWidth="1"/>
    <col min="12" max="12" width="10.7109375" style="123" customWidth="1"/>
    <col min="13" max="13" width="12.7109375" style="1" customWidth="1"/>
    <col min="14" max="14" width="12.7109375" bestFit="1" customWidth="1"/>
    <col min="15" max="15" width="12.7109375" style="1" bestFit="1" customWidth="1"/>
    <col min="16" max="16" width="11.140625" bestFit="1" customWidth="1"/>
    <col min="17" max="17" width="14.42578125" bestFit="1" customWidth="1"/>
    <col min="18" max="18" width="13" bestFit="1" customWidth="1"/>
    <col min="19" max="19" width="8" style="123" bestFit="1" customWidth="1"/>
    <col min="20" max="20" width="14.7109375" style="123" bestFit="1" customWidth="1"/>
    <col min="21" max="21" width="13.28515625" bestFit="1" customWidth="1"/>
    <col min="22" max="22" width="9.140625" bestFit="1" customWidth="1"/>
    <col min="23" max="23" width="12.140625" bestFit="1" customWidth="1"/>
    <col min="24" max="24" width="11.28515625" bestFit="1" customWidth="1"/>
    <col min="25" max="25" width="14" bestFit="1" customWidth="1"/>
    <col min="26" max="26" width="12.140625" bestFit="1" customWidth="1"/>
    <col min="27" max="27" width="8.7109375" bestFit="1" customWidth="1"/>
    <col min="28" max="28" width="8.140625" customWidth="1"/>
    <col min="29" max="29" width="8" bestFit="1" customWidth="1"/>
    <col min="30" max="30" width="7.140625" customWidth="1"/>
    <col min="31" max="31" width="3.140625" customWidth="1"/>
    <col min="32" max="32" width="8.28515625" customWidth="1"/>
    <col min="33" max="33" width="12.42578125" customWidth="1"/>
    <col min="34" max="34" width="14.28515625" bestFit="1" customWidth="1"/>
    <col min="35" max="35" width="16" bestFit="1" customWidth="1"/>
    <col min="36" max="36" width="15.7109375" bestFit="1" customWidth="1"/>
    <col min="37" max="38" width="12.85546875" bestFit="1" customWidth="1"/>
    <col min="39" max="39" width="14.7109375" customWidth="1"/>
    <col min="40" max="41" width="12.85546875" bestFit="1" customWidth="1"/>
    <col min="42" max="42" width="15.7109375" bestFit="1" customWidth="1"/>
    <col min="43" max="43" width="11.85546875" bestFit="1" customWidth="1"/>
    <col min="44" max="44" width="14.7109375" bestFit="1" customWidth="1"/>
    <col min="45" max="45" width="14.7109375" customWidth="1"/>
    <col min="46" max="46" width="18.42578125" bestFit="1" customWidth="1"/>
    <col min="47" max="47" width="14.42578125" customWidth="1"/>
    <col min="48" max="48" width="11.42578125" bestFit="1" customWidth="1"/>
    <col min="49" max="49" width="17" bestFit="1" customWidth="1"/>
    <col min="50" max="50" width="12.42578125" bestFit="1" customWidth="1"/>
    <col min="51" max="51" width="8.7109375" bestFit="1" customWidth="1"/>
    <col min="52" max="52" width="15" bestFit="1" customWidth="1"/>
    <col min="53" max="53" width="11.42578125" bestFit="1" customWidth="1"/>
    <col min="54" max="54" width="14.28515625" bestFit="1" customWidth="1"/>
    <col min="55" max="59" width="11.42578125" bestFit="1" customWidth="1"/>
    <col min="61" max="61" width="12" bestFit="1" customWidth="1"/>
    <col min="62" max="62" width="21.42578125" bestFit="1" customWidth="1"/>
    <col min="63" max="63" width="13" bestFit="1" customWidth="1"/>
    <col min="64" max="64" width="5.85546875" bestFit="1" customWidth="1"/>
    <col min="65" max="65" width="4.85546875" bestFit="1" customWidth="1"/>
    <col min="66" max="66" width="10" bestFit="1" customWidth="1"/>
    <col min="67" max="67" width="5" bestFit="1" customWidth="1"/>
    <col min="68" max="68" width="4.140625" bestFit="1" customWidth="1"/>
    <col min="69" max="69" width="6.7109375" bestFit="1" customWidth="1"/>
    <col min="70" max="70" width="10.140625" bestFit="1" customWidth="1"/>
    <col min="71" max="71" width="7.7109375" bestFit="1" customWidth="1"/>
    <col min="72" max="73" width="9.42578125" bestFit="1" customWidth="1"/>
    <col min="74" max="74" width="10.140625" bestFit="1" customWidth="1"/>
    <col min="75" max="75" width="10" bestFit="1" customWidth="1"/>
    <col min="76" max="76" width="12.7109375" bestFit="1" customWidth="1"/>
    <col min="78" max="78" width="21.42578125" bestFit="1" customWidth="1"/>
    <col min="79" max="79" width="15.140625" bestFit="1" customWidth="1"/>
    <col min="80" max="80" width="6.140625" bestFit="1" customWidth="1"/>
    <col min="81" max="81" width="9" bestFit="1" customWidth="1"/>
    <col min="82" max="83" width="12.7109375" bestFit="1" customWidth="1"/>
    <col min="84" max="87" width="8" bestFit="1" customWidth="1"/>
    <col min="88" max="88" width="12.140625" bestFit="1" customWidth="1"/>
    <col min="89" max="89" width="7.7109375" bestFit="1" customWidth="1"/>
    <col min="90" max="90" width="21.140625" bestFit="1" customWidth="1"/>
    <col min="91" max="91" width="15.85546875" bestFit="1" customWidth="1"/>
    <col min="92" max="124" width="4.28515625" hidden="1" customWidth="1"/>
    <col min="125" max="135" width="4.140625" hidden="1" customWidth="1"/>
    <col min="136" max="142" width="4.42578125" bestFit="1" customWidth="1"/>
    <col min="143" max="145" width="9.7109375" bestFit="1" customWidth="1"/>
    <col min="146" max="147" width="10.140625" bestFit="1" customWidth="1"/>
    <col min="148" max="151" width="8" bestFit="1" customWidth="1"/>
    <col min="152" max="152" width="10" bestFit="1" customWidth="1"/>
    <col min="153" max="153" width="4.140625" customWidth="1"/>
    <col min="154" max="154" width="9" bestFit="1" customWidth="1"/>
    <col min="155" max="155" width="20" bestFit="1" customWidth="1"/>
    <col min="156" max="156" width="12.85546875" bestFit="1" customWidth="1"/>
    <col min="157" max="157" width="21.28515625" bestFit="1" customWidth="1"/>
    <col min="158" max="158" width="23.140625" bestFit="1" customWidth="1"/>
    <col min="159" max="159" width="21.140625" bestFit="1" customWidth="1"/>
    <col min="160" max="160" width="22.28515625" bestFit="1" customWidth="1"/>
    <col min="161" max="161" width="12.85546875" bestFit="1" customWidth="1"/>
    <col min="162" max="162" width="18.42578125" bestFit="1" customWidth="1"/>
    <col min="163" max="163" width="26" bestFit="1" customWidth="1"/>
    <col min="164" max="164" width="20.85546875" bestFit="1" customWidth="1"/>
    <col min="165" max="165" width="27.7109375" bestFit="1" customWidth="1"/>
    <col min="166" max="166" width="23.85546875" bestFit="1" customWidth="1"/>
    <col min="167" max="167" width="19.85546875" bestFit="1" customWidth="1"/>
    <col min="168" max="168" width="14.42578125" bestFit="1" customWidth="1"/>
    <col min="169" max="169" width="11.28515625" bestFit="1" customWidth="1"/>
    <col min="170" max="170" width="17" bestFit="1" customWidth="1"/>
    <col min="171" max="171" width="12.140625" bestFit="1" customWidth="1"/>
    <col min="172" max="172" width="8.7109375" bestFit="1" customWidth="1"/>
    <col min="173" max="173" width="29.7109375" bestFit="1" customWidth="1"/>
    <col min="174" max="174" width="13.85546875" bestFit="1" customWidth="1"/>
    <col min="175" max="175" width="32.85546875" bestFit="1" customWidth="1"/>
    <col min="176" max="188" width="4.140625" bestFit="1" customWidth="1"/>
    <col min="189" max="189" width="12.7109375" bestFit="1" customWidth="1"/>
    <col min="190" max="200" width="10" customWidth="1"/>
    <col min="201" max="201" width="16.85546875" bestFit="1" customWidth="1"/>
    <col min="202" max="202" width="12.85546875" bestFit="1" customWidth="1"/>
    <col min="203" max="203" width="14.85546875" bestFit="1" customWidth="1"/>
    <col min="204" max="204" width="21.140625" bestFit="1" customWidth="1"/>
    <col min="205" max="205" width="22.28515625" bestFit="1" customWidth="1"/>
    <col min="206" max="206" width="15" bestFit="1" customWidth="1"/>
    <col min="207" max="207" width="18.42578125" bestFit="1" customWidth="1"/>
    <col min="208" max="208" width="19.85546875" bestFit="1" customWidth="1"/>
    <col min="209" max="209" width="17" bestFit="1" customWidth="1"/>
    <col min="210" max="210" width="12.42578125" bestFit="1" customWidth="1"/>
    <col min="211" max="211" width="8.7109375" bestFit="1" customWidth="1"/>
    <col min="212" max="212" width="29.7109375" bestFit="1" customWidth="1"/>
    <col min="213" max="213" width="13.85546875" bestFit="1" customWidth="1"/>
    <col min="214" max="214" width="32.85546875" bestFit="1" customWidth="1"/>
    <col min="215" max="215" width="12.28515625" customWidth="1"/>
    <col min="216" max="216" width="14.140625" style="1" bestFit="1" customWidth="1"/>
    <col min="217" max="217" width="12.28515625" bestFit="1" customWidth="1"/>
    <col min="218" max="218" width="12.7109375" style="1" bestFit="1" customWidth="1"/>
    <col min="219" max="220" width="12.28515625" bestFit="1" customWidth="1"/>
    <col min="221" max="221" width="6.42578125" customWidth="1"/>
    <col min="222" max="222" width="7" customWidth="1"/>
    <col min="223" max="223" width="13.7109375" customWidth="1"/>
    <col min="224" max="224" width="21.42578125" bestFit="1" customWidth="1"/>
    <col min="225" max="225" width="15.28515625" bestFit="1" customWidth="1"/>
    <col min="226" max="226" width="4.28515625" bestFit="1" customWidth="1"/>
    <col min="227" max="243" width="8.7109375" hidden="1" customWidth="1"/>
    <col min="244" max="270" width="4.28515625" bestFit="1" customWidth="1"/>
    <col min="271" max="271" width="10" bestFit="1" customWidth="1"/>
    <col min="272" max="272" width="12.140625" bestFit="1" customWidth="1"/>
    <col min="273" max="273" width="12.85546875" bestFit="1" customWidth="1"/>
    <col min="274" max="274" width="14.85546875" bestFit="1" customWidth="1"/>
    <col min="275" max="275" width="21.28515625" style="1" bestFit="1" customWidth="1"/>
    <col min="276" max="276" width="23.140625" style="1" bestFit="1" customWidth="1"/>
    <col min="277" max="277" width="21.140625" bestFit="1" customWidth="1"/>
    <col min="278" max="278" width="22.28515625" bestFit="1" customWidth="1"/>
    <col min="279" max="279" width="13.7109375" style="123" bestFit="1" customWidth="1"/>
    <col min="280" max="280" width="13.7109375" style="1" bestFit="1" customWidth="1"/>
    <col min="281" max="281" width="26" bestFit="1" customWidth="1"/>
    <col min="282" max="282" width="20.85546875" style="1" bestFit="1" customWidth="1"/>
    <col min="283" max="283" width="27.7109375" bestFit="1" customWidth="1"/>
    <col min="284" max="284" width="23.85546875" bestFit="1" customWidth="1"/>
    <col min="285" max="285" width="19.85546875" bestFit="1" customWidth="1"/>
    <col min="286" max="286" width="18.42578125" style="123" bestFit="1" customWidth="1"/>
    <col min="287" max="287" width="14.42578125" style="123" bestFit="1" customWidth="1"/>
    <col min="288" max="288" width="11.28515625" bestFit="1" customWidth="1"/>
    <col min="289" max="289" width="17" bestFit="1" customWidth="1"/>
    <col min="290" max="290" width="12.140625" bestFit="1" customWidth="1"/>
    <col min="291" max="291" width="8.7109375" bestFit="1" customWidth="1"/>
    <col min="292" max="292" width="29.7109375" bestFit="1" customWidth="1"/>
    <col min="293" max="293" width="13.85546875" bestFit="1" customWidth="1"/>
    <col min="294" max="294" width="32.85546875" bestFit="1" customWidth="1"/>
    <col min="300" max="300" width="21.42578125" bestFit="1" customWidth="1"/>
    <col min="301" max="301" width="10.42578125" bestFit="1" customWidth="1"/>
    <col min="302" max="346" width="4.42578125" bestFit="1" customWidth="1"/>
    <col min="347" max="349" width="9.7109375" bestFit="1" customWidth="1"/>
    <col min="350" max="351" width="10.140625" bestFit="1" customWidth="1"/>
    <col min="352" max="355" width="8" bestFit="1" customWidth="1"/>
    <col min="356" max="356" width="10" bestFit="1" customWidth="1"/>
    <col min="357" max="357" width="12.7109375" bestFit="1" customWidth="1"/>
  </cols>
  <sheetData>
    <row r="1" spans="1:357" ht="6" hidden="1" customHeight="1">
      <c r="BJ1" t="s">
        <v>259</v>
      </c>
    </row>
    <row r="2" spans="1:357" ht="6" hidden="1" customHeight="1"/>
    <row r="3" spans="1:357">
      <c r="E3" s="30" t="s">
        <v>260</v>
      </c>
      <c r="L3" s="210" t="s">
        <v>261</v>
      </c>
      <c r="M3" s="211"/>
      <c r="N3" s="212"/>
      <c r="BJ3" s="10" t="s">
        <v>104</v>
      </c>
      <c r="BK3" s="11">
        <v>2026</v>
      </c>
      <c r="BL3" s="123"/>
      <c r="CB3" s="123"/>
      <c r="HR3" s="123"/>
      <c r="JL3" s="30"/>
      <c r="KP3" s="123"/>
    </row>
    <row r="4" spans="1:357" ht="14.1" customHeight="1">
      <c r="B4" t="s">
        <v>262</v>
      </c>
      <c r="L4" s="210" t="s">
        <v>263</v>
      </c>
      <c r="M4" s="211"/>
      <c r="N4" s="212" t="s">
        <v>264</v>
      </c>
      <c r="AK4" s="1"/>
      <c r="AL4" s="1"/>
      <c r="AP4" s="1"/>
      <c r="AR4" s="1"/>
      <c r="AV4" s="123"/>
      <c r="AW4" s="123"/>
      <c r="BJ4" s="10" t="s">
        <v>102</v>
      </c>
      <c r="BK4" t="s">
        <v>101</v>
      </c>
      <c r="BL4" s="123"/>
      <c r="BZ4" s="10" t="s">
        <v>104</v>
      </c>
      <c r="CA4" s="11">
        <v>2026</v>
      </c>
      <c r="CB4" s="123"/>
      <c r="CL4" s="10" t="s">
        <v>104</v>
      </c>
      <c r="CM4" s="11">
        <v>2025</v>
      </c>
      <c r="EL4" s="11"/>
      <c r="FB4" s="1"/>
      <c r="FC4" s="1"/>
      <c r="FG4" s="1"/>
      <c r="FI4" s="1"/>
      <c r="FM4" s="123"/>
      <c r="FN4" s="123"/>
      <c r="GS4" s="10" t="s">
        <v>104</v>
      </c>
      <c r="GT4" s="11">
        <v>2025</v>
      </c>
      <c r="GV4" s="1"/>
      <c r="GW4" s="1"/>
      <c r="GZ4" s="1"/>
      <c r="HA4" s="1"/>
      <c r="HC4" s="1"/>
      <c r="HI4" s="123"/>
      <c r="HQ4" s="11"/>
      <c r="HR4" s="123"/>
      <c r="KN4" s="10" t="s">
        <v>104</v>
      </c>
      <c r="KO4" s="11">
        <v>2025</v>
      </c>
      <c r="KP4" s="123"/>
    </row>
    <row r="5" spans="1:357">
      <c r="B5" t="s">
        <v>265</v>
      </c>
      <c r="E5" s="10" t="s">
        <v>104</v>
      </c>
      <c r="F5" t="s">
        <v>105</v>
      </c>
      <c r="G5" s="1"/>
      <c r="L5" s="187"/>
      <c r="M5" s="1">
        <f>M51-M49</f>
        <v>-3096600</v>
      </c>
      <c r="R5" s="1"/>
      <c r="S5" s="1"/>
      <c r="T5" s="1"/>
      <c r="V5" s="1"/>
      <c r="AH5" s="10" t="s">
        <v>3</v>
      </c>
      <c r="AI5" t="s">
        <v>105</v>
      </c>
      <c r="AJ5" s="1"/>
      <c r="AK5" s="1"/>
      <c r="AL5" s="1"/>
      <c r="AO5" s="27"/>
      <c r="AP5" s="1"/>
      <c r="AR5" s="1"/>
      <c r="AV5" s="123"/>
      <c r="AW5" s="123"/>
      <c r="BK5" t="e">
        <f>AVERAGE(BK10:BK56)+AVERAGE(BK58:BK105)+AVERAGE(BK107:BK114)+AVERAGE(BK116:BK163)+AVERAGE(BK165:BK212)</f>
        <v>#DIV/0!</v>
      </c>
      <c r="BL5">
        <f>SUM(BL85,BL46,BL124,BL163)</f>
        <v>14</v>
      </c>
      <c r="BS5">
        <f>SUM(BS85,BS46,BS124,BS163)</f>
        <v>0</v>
      </c>
      <c r="CB5" s="123"/>
      <c r="EY5" s="10" t="s">
        <v>106</v>
      </c>
      <c r="EZ5" t="s">
        <v>24</v>
      </c>
      <c r="FA5" s="1"/>
      <c r="FB5" s="1"/>
      <c r="FC5" s="1"/>
      <c r="FF5" s="27"/>
      <c r="FG5" s="1"/>
      <c r="FI5" s="1"/>
      <c r="FM5" s="123"/>
      <c r="FN5" s="123"/>
      <c r="GS5" s="10" t="s">
        <v>102</v>
      </c>
      <c r="GT5" t="s">
        <v>23</v>
      </c>
      <c r="GU5" s="1"/>
      <c r="GV5" s="1"/>
      <c r="GW5" s="1"/>
      <c r="GZ5" s="1"/>
      <c r="HA5" s="1"/>
      <c r="HC5" s="1"/>
      <c r="HI5" s="123"/>
      <c r="HR5" s="123"/>
      <c r="JM5" s="11"/>
      <c r="JN5" s="1"/>
      <c r="JS5" s="187"/>
      <c r="KP5" s="123"/>
    </row>
    <row r="6" spans="1:357" ht="33" customHeight="1">
      <c r="B6" t="s">
        <v>266</v>
      </c>
      <c r="E6" s="176"/>
      <c r="G6" s="1"/>
      <c r="H6" s="217"/>
      <c r="I6" s="1" t="s">
        <v>267</v>
      </c>
      <c r="K6" s="1">
        <f>227*20000*6</f>
        <v>27240000</v>
      </c>
      <c r="L6" s="187"/>
      <c r="Q6" s="213" t="s">
        <v>268</v>
      </c>
      <c r="R6" s="1"/>
      <c r="AJ6" s="1"/>
      <c r="AK6" s="1"/>
      <c r="AL6" s="1"/>
      <c r="AO6" s="27"/>
      <c r="AP6" s="1"/>
      <c r="AR6" s="1"/>
      <c r="AV6" s="123"/>
      <c r="AW6" s="123"/>
      <c r="BJ6" s="10" t="s">
        <v>269</v>
      </c>
      <c r="BK6" s="178" t="s">
        <v>157</v>
      </c>
      <c r="BZ6" s="10" t="s">
        <v>269</v>
      </c>
      <c r="CA6" s="31" t="s">
        <v>157</v>
      </c>
      <c r="CL6" s="10" t="s">
        <v>115</v>
      </c>
      <c r="CM6" s="31" t="s">
        <v>157</v>
      </c>
      <c r="FA6" s="1"/>
      <c r="FB6" s="1"/>
      <c r="FC6" s="1"/>
      <c r="FF6" s="27"/>
      <c r="FG6" s="1"/>
      <c r="FI6" s="1"/>
      <c r="FM6" s="123"/>
      <c r="FN6" s="123"/>
      <c r="GU6" s="1"/>
      <c r="GV6" s="1"/>
      <c r="GW6" s="1"/>
      <c r="GZ6" s="1"/>
      <c r="HA6" s="1"/>
      <c r="HC6" s="1"/>
      <c r="HI6" s="123"/>
      <c r="JN6" s="1"/>
      <c r="JS6" s="187"/>
      <c r="KN6" s="10" t="s">
        <v>269</v>
      </c>
      <c r="KO6" s="31" t="s">
        <v>157</v>
      </c>
    </row>
    <row r="7" spans="1:357" s="176" customFormat="1" ht="46.5" customHeight="1">
      <c r="B7" s="40" t="s">
        <v>228</v>
      </c>
      <c r="C7" s="40" t="s">
        <v>229</v>
      </c>
      <c r="D7" s="208" t="s">
        <v>230</v>
      </c>
      <c r="E7" s="31" t="s">
        <v>113</v>
      </c>
      <c r="F7" s="176" t="s">
        <v>114</v>
      </c>
      <c r="G7" s="176" t="s">
        <v>115</v>
      </c>
      <c r="H7" s="176" t="s">
        <v>116</v>
      </c>
      <c r="I7" s="342" t="s">
        <v>117</v>
      </c>
      <c r="J7" s="342" t="s">
        <v>119</v>
      </c>
      <c r="K7" s="176" t="s">
        <v>118</v>
      </c>
      <c r="L7" s="331" t="s">
        <v>235</v>
      </c>
      <c r="M7" s="327" t="s">
        <v>120</v>
      </c>
      <c r="N7" s="342" t="s">
        <v>142</v>
      </c>
      <c r="O7" s="342" t="s">
        <v>143</v>
      </c>
      <c r="P7" s="176" t="s">
        <v>144</v>
      </c>
      <c r="Q7" s="176" t="s">
        <v>231</v>
      </c>
      <c r="R7" s="176" t="s">
        <v>145</v>
      </c>
      <c r="S7" s="176" t="s">
        <v>270</v>
      </c>
      <c r="T7" s="328" t="s">
        <v>121</v>
      </c>
      <c r="U7" s="176" t="s">
        <v>133</v>
      </c>
      <c r="V7" s="176" t="s">
        <v>191</v>
      </c>
      <c r="W7" s="176" t="s">
        <v>146</v>
      </c>
      <c r="X7" s="176" t="s">
        <v>147</v>
      </c>
      <c r="Y7" s="328" t="s">
        <v>122</v>
      </c>
      <c r="Z7" s="329" t="s">
        <v>124</v>
      </c>
      <c r="AA7" s="329" t="s">
        <v>125</v>
      </c>
      <c r="AB7" s="330" t="s">
        <v>232</v>
      </c>
      <c r="AC7" s="176" t="s">
        <v>126</v>
      </c>
      <c r="AD7" s="176" t="s">
        <v>233</v>
      </c>
      <c r="AE7"/>
      <c r="AF7" s="32" t="s">
        <v>271</v>
      </c>
      <c r="AH7" s="31" t="s">
        <v>113</v>
      </c>
      <c r="AI7" s="176" t="s">
        <v>114</v>
      </c>
      <c r="AJ7" s="176" t="s">
        <v>116</v>
      </c>
      <c r="AK7" s="342" t="s">
        <v>117</v>
      </c>
      <c r="AL7" s="342" t="s">
        <v>119</v>
      </c>
      <c r="AM7" s="176" t="s">
        <v>118</v>
      </c>
      <c r="AN7" s="327" t="s">
        <v>120</v>
      </c>
      <c r="AO7" s="342" t="s">
        <v>142</v>
      </c>
      <c r="AP7" s="342" t="s">
        <v>143</v>
      </c>
      <c r="AQ7" s="176" t="s">
        <v>144</v>
      </c>
      <c r="AR7" s="176" t="s">
        <v>145</v>
      </c>
      <c r="AS7" s="328" t="s">
        <v>121</v>
      </c>
      <c r="AT7" s="342" t="s">
        <v>133</v>
      </c>
      <c r="AU7" s="176" t="s">
        <v>146</v>
      </c>
      <c r="AV7" s="176" t="s">
        <v>147</v>
      </c>
      <c r="AW7" s="328" t="s">
        <v>122</v>
      </c>
      <c r="AX7" s="329" t="s">
        <v>124</v>
      </c>
      <c r="AY7" s="329" t="s">
        <v>125</v>
      </c>
      <c r="AZ7" s="330" t="s">
        <v>232</v>
      </c>
      <c r="BA7" s="176" t="s">
        <v>126</v>
      </c>
      <c r="BB7" s="330" t="s">
        <v>233</v>
      </c>
      <c r="BD7" s="176" t="s">
        <v>131</v>
      </c>
      <c r="BE7" s="176" t="s">
        <v>129</v>
      </c>
      <c r="BI7" s="177"/>
      <c r="BJ7" s="31" t="s">
        <v>113</v>
      </c>
      <c r="BK7" t="s">
        <v>158</v>
      </c>
      <c r="BL7" t="s">
        <v>159</v>
      </c>
      <c r="BM7" t="s">
        <v>160</v>
      </c>
      <c r="BN7" t="s">
        <v>167</v>
      </c>
      <c r="BO7"/>
      <c r="BP7"/>
      <c r="BQ7"/>
      <c r="BR7"/>
      <c r="BS7"/>
      <c r="BT7"/>
      <c r="BU7"/>
      <c r="BV7"/>
      <c r="BW7"/>
      <c r="BX7"/>
      <c r="BZ7" s="178" t="s">
        <v>113</v>
      </c>
      <c r="CA7">
        <v>12026</v>
      </c>
      <c r="CB7">
        <v>22026</v>
      </c>
      <c r="CC7" t="s">
        <v>180</v>
      </c>
      <c r="CD7" t="s">
        <v>181</v>
      </c>
      <c r="CE7" t="s">
        <v>182</v>
      </c>
      <c r="CF7" t="s">
        <v>167</v>
      </c>
      <c r="CG7"/>
      <c r="CH7"/>
      <c r="CI7"/>
      <c r="CJ7"/>
      <c r="CK7"/>
      <c r="CL7" s="178" t="s">
        <v>113</v>
      </c>
      <c r="CM7">
        <v>1</v>
      </c>
      <c r="CN7">
        <v>2</v>
      </c>
      <c r="CO7">
        <v>3</v>
      </c>
      <c r="CP7">
        <v>4</v>
      </c>
      <c r="CQ7">
        <v>5</v>
      </c>
      <c r="CR7">
        <v>6</v>
      </c>
      <c r="CS7">
        <v>7</v>
      </c>
      <c r="CT7">
        <v>8</v>
      </c>
      <c r="CU7">
        <v>9</v>
      </c>
      <c r="CV7">
        <v>10</v>
      </c>
      <c r="CW7">
        <v>11</v>
      </c>
      <c r="CX7">
        <v>12</v>
      </c>
      <c r="CY7">
        <v>13</v>
      </c>
      <c r="CZ7">
        <v>14</v>
      </c>
      <c r="DA7">
        <v>15</v>
      </c>
      <c r="DB7">
        <v>16</v>
      </c>
      <c r="DC7">
        <v>17</v>
      </c>
      <c r="DD7">
        <v>18</v>
      </c>
      <c r="DE7">
        <v>19</v>
      </c>
      <c r="DF7">
        <v>20</v>
      </c>
      <c r="DG7">
        <v>21</v>
      </c>
      <c r="DH7">
        <v>22</v>
      </c>
      <c r="DI7">
        <v>23</v>
      </c>
      <c r="DJ7">
        <v>24</v>
      </c>
      <c r="DK7">
        <v>25</v>
      </c>
      <c r="DL7">
        <v>26</v>
      </c>
      <c r="DM7">
        <v>27</v>
      </c>
      <c r="DN7">
        <v>28</v>
      </c>
      <c r="DO7">
        <v>29</v>
      </c>
      <c r="DP7">
        <v>30</v>
      </c>
      <c r="DQ7">
        <v>31</v>
      </c>
      <c r="DR7">
        <v>32</v>
      </c>
      <c r="DS7">
        <v>33</v>
      </c>
      <c r="DT7">
        <v>34</v>
      </c>
      <c r="DU7">
        <v>35</v>
      </c>
      <c r="DV7">
        <v>36</v>
      </c>
      <c r="DW7">
        <v>37</v>
      </c>
      <c r="DX7">
        <v>38</v>
      </c>
      <c r="DY7">
        <v>39</v>
      </c>
      <c r="DZ7">
        <v>40</v>
      </c>
      <c r="EA7">
        <v>41</v>
      </c>
      <c r="EB7">
        <v>42</v>
      </c>
      <c r="EC7">
        <v>43</v>
      </c>
      <c r="ED7">
        <v>44</v>
      </c>
      <c r="EE7">
        <v>45</v>
      </c>
      <c r="EF7">
        <v>46</v>
      </c>
      <c r="EG7">
        <v>47</v>
      </c>
      <c r="EH7">
        <v>48</v>
      </c>
      <c r="EI7">
        <v>49</v>
      </c>
      <c r="EJ7">
        <v>50</v>
      </c>
      <c r="EK7">
        <v>51</v>
      </c>
      <c r="EL7">
        <v>52</v>
      </c>
      <c r="EM7" t="s">
        <v>180</v>
      </c>
      <c r="EN7" t="s">
        <v>181</v>
      </c>
      <c r="EO7" t="s">
        <v>182</v>
      </c>
      <c r="EP7" t="s">
        <v>167</v>
      </c>
      <c r="EQ7"/>
      <c r="ER7"/>
      <c r="ES7"/>
      <c r="ET7"/>
      <c r="EU7"/>
      <c r="EV7"/>
      <c r="EW7"/>
      <c r="EX7"/>
      <c r="EY7" s="178" t="s">
        <v>113</v>
      </c>
      <c r="EZ7" s="176" t="s">
        <v>114</v>
      </c>
      <c r="FA7" s="176" t="s">
        <v>116</v>
      </c>
      <c r="FB7" s="176" t="s">
        <v>117</v>
      </c>
      <c r="FC7" s="176" t="s">
        <v>119</v>
      </c>
      <c r="FD7" s="176" t="s">
        <v>118</v>
      </c>
      <c r="FE7" s="327" t="s">
        <v>120</v>
      </c>
      <c r="FF7" s="176" t="s">
        <v>133</v>
      </c>
      <c r="FG7" s="176" t="s">
        <v>142</v>
      </c>
      <c r="FH7" s="176" t="s">
        <v>143</v>
      </c>
      <c r="FI7" s="176" t="s">
        <v>144</v>
      </c>
      <c r="FJ7" s="176" t="s">
        <v>145</v>
      </c>
      <c r="FK7" s="328" t="s">
        <v>121</v>
      </c>
      <c r="FL7" s="176" t="s">
        <v>146</v>
      </c>
      <c r="FM7" s="176" t="s">
        <v>147</v>
      </c>
      <c r="FN7" s="328" t="s">
        <v>122</v>
      </c>
      <c r="FO7" s="329" t="s">
        <v>124</v>
      </c>
      <c r="FP7" s="329" t="s">
        <v>125</v>
      </c>
      <c r="FQ7" s="330" t="s">
        <v>232</v>
      </c>
      <c r="FR7" s="176" t="s">
        <v>126</v>
      </c>
      <c r="FS7" s="330" t="s">
        <v>233</v>
      </c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 s="31" t="s">
        <v>113</v>
      </c>
      <c r="GT7" s="176" t="s">
        <v>114</v>
      </c>
      <c r="GU7" s="176" t="s">
        <v>115</v>
      </c>
      <c r="GV7" s="176" t="s">
        <v>119</v>
      </c>
      <c r="GW7" s="176" t="s">
        <v>118</v>
      </c>
      <c r="GX7" s="327" t="s">
        <v>120</v>
      </c>
      <c r="GY7" s="176" t="s">
        <v>133</v>
      </c>
      <c r="GZ7" s="328" t="s">
        <v>121</v>
      </c>
      <c r="HA7" s="328" t="s">
        <v>122</v>
      </c>
      <c r="HB7" s="329" t="s">
        <v>124</v>
      </c>
      <c r="HC7" s="329" t="s">
        <v>125</v>
      </c>
      <c r="HD7" s="330" t="s">
        <v>232</v>
      </c>
      <c r="HE7" s="176" t="s">
        <v>126</v>
      </c>
      <c r="HF7" s="176" t="s">
        <v>233</v>
      </c>
      <c r="HH7" s="1" t="s">
        <v>136</v>
      </c>
      <c r="HI7" t="s">
        <v>137</v>
      </c>
      <c r="HJ7" s="1" t="s">
        <v>272</v>
      </c>
      <c r="HK7" t="s">
        <v>273</v>
      </c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N7" s="178" t="s">
        <v>113</v>
      </c>
      <c r="KO7">
        <v>1</v>
      </c>
      <c r="KP7">
        <v>2</v>
      </c>
      <c r="KQ7">
        <v>3</v>
      </c>
      <c r="KR7">
        <v>4</v>
      </c>
      <c r="KS7">
        <v>5</v>
      </c>
      <c r="KT7">
        <v>6</v>
      </c>
      <c r="KU7">
        <v>7</v>
      </c>
      <c r="KV7">
        <v>8</v>
      </c>
      <c r="KW7">
        <v>9</v>
      </c>
      <c r="KX7">
        <v>10</v>
      </c>
      <c r="KY7">
        <v>11</v>
      </c>
      <c r="KZ7">
        <v>12</v>
      </c>
      <c r="LA7">
        <v>13</v>
      </c>
      <c r="LB7">
        <v>14</v>
      </c>
      <c r="LC7">
        <v>15</v>
      </c>
      <c r="LD7">
        <v>16</v>
      </c>
      <c r="LE7">
        <v>17</v>
      </c>
      <c r="LF7">
        <v>18</v>
      </c>
      <c r="LG7">
        <v>19</v>
      </c>
      <c r="LH7">
        <v>20</v>
      </c>
      <c r="LI7">
        <v>21</v>
      </c>
      <c r="LJ7">
        <v>22</v>
      </c>
      <c r="LK7">
        <v>23</v>
      </c>
      <c r="LL7">
        <v>24</v>
      </c>
      <c r="LM7">
        <v>25</v>
      </c>
      <c r="LN7">
        <v>26</v>
      </c>
      <c r="LO7">
        <v>27</v>
      </c>
      <c r="LP7">
        <v>28</v>
      </c>
      <c r="LQ7">
        <v>29</v>
      </c>
      <c r="LR7">
        <v>30</v>
      </c>
      <c r="LS7">
        <v>31</v>
      </c>
      <c r="LT7">
        <v>32</v>
      </c>
      <c r="LU7">
        <v>33</v>
      </c>
      <c r="LV7">
        <v>34</v>
      </c>
      <c r="LW7">
        <v>35</v>
      </c>
      <c r="LX7">
        <v>36</v>
      </c>
      <c r="LY7">
        <v>37</v>
      </c>
      <c r="LZ7">
        <v>38</v>
      </c>
      <c r="MA7">
        <v>39</v>
      </c>
      <c r="MB7">
        <v>40</v>
      </c>
      <c r="MC7">
        <v>41</v>
      </c>
      <c r="MD7">
        <v>42</v>
      </c>
      <c r="ME7">
        <v>43</v>
      </c>
      <c r="MF7">
        <v>44</v>
      </c>
      <c r="MG7">
        <v>45</v>
      </c>
      <c r="MH7">
        <v>46</v>
      </c>
      <c r="MI7" t="s">
        <v>180</v>
      </c>
      <c r="MJ7" t="s">
        <v>181</v>
      </c>
      <c r="MK7" t="s">
        <v>182</v>
      </c>
      <c r="ML7" t="s">
        <v>167</v>
      </c>
      <c r="MM7"/>
      <c r="MN7"/>
      <c r="MO7"/>
      <c r="MP7"/>
      <c r="MQ7"/>
      <c r="MR7"/>
      <c r="MS7"/>
    </row>
    <row r="8" spans="1:357">
      <c r="E8" s="11" t="s">
        <v>23</v>
      </c>
      <c r="F8" s="16">
        <v>5602477.8785727108</v>
      </c>
      <c r="G8">
        <v>293</v>
      </c>
      <c r="H8" s="16">
        <v>49240961959.651878</v>
      </c>
      <c r="I8" s="16">
        <v>12161978084.351864</v>
      </c>
      <c r="J8" s="16">
        <v>2958822540.7870474</v>
      </c>
      <c r="K8" s="16">
        <v>931152463.99999917</v>
      </c>
      <c r="L8" s="123">
        <v>55059999.674077287</v>
      </c>
      <c r="M8" s="16">
        <v>16126817288.285175</v>
      </c>
      <c r="N8" s="16">
        <v>5375286316.461937</v>
      </c>
      <c r="O8" s="16">
        <v>4929908975.1964836</v>
      </c>
      <c r="P8" s="16">
        <v>313759569</v>
      </c>
      <c r="Q8" s="16">
        <v>14699999</v>
      </c>
      <c r="R8" s="16">
        <v>59199998</v>
      </c>
      <c r="S8">
        <v>864210</v>
      </c>
      <c r="T8" s="12">
        <v>10692854860.08671</v>
      </c>
      <c r="U8" s="313">
        <v>4888583172.1469107</v>
      </c>
      <c r="V8" s="16">
        <v>3345159.1770043853</v>
      </c>
      <c r="W8" s="123">
        <v>264088333.56190461</v>
      </c>
      <c r="X8" s="123">
        <v>49203853.940537751</v>
      </c>
      <c r="Y8" s="12">
        <v>5205095518.3757019</v>
      </c>
      <c r="Z8" s="12">
        <v>228866985.44571128</v>
      </c>
      <c r="AA8" s="13">
        <v>1.419170201748144E-2</v>
      </c>
      <c r="AB8" s="13">
        <v>0.10916290223709389</v>
      </c>
      <c r="AC8" s="16">
        <v>8789.1399175317274</v>
      </c>
      <c r="AD8" s="13">
        <v>0.10011804763757579</v>
      </c>
      <c r="AF8" s="13"/>
      <c r="AG8" s="16"/>
      <c r="AH8" s="11" t="s">
        <v>23</v>
      </c>
      <c r="AI8" s="16">
        <v>2480244.2845284468</v>
      </c>
      <c r="AJ8" s="16">
        <v>21809323000.273178</v>
      </c>
      <c r="AK8" s="16">
        <v>5186155980.2731752</v>
      </c>
      <c r="AL8" s="16">
        <v>1128436182.7311392</v>
      </c>
      <c r="AM8" s="16">
        <v>824756903.99999964</v>
      </c>
      <c r="AN8" s="16">
        <v>7141399066.9157352</v>
      </c>
      <c r="AO8" s="16">
        <v>2487201620.2546692</v>
      </c>
      <c r="AP8" s="16">
        <v>1893935000.2521131</v>
      </c>
      <c r="AQ8" s="16">
        <v>280421000</v>
      </c>
      <c r="AR8" s="16">
        <v>30599999</v>
      </c>
      <c r="AS8" s="35">
        <v>4696257620.1852455</v>
      </c>
      <c r="AT8" s="313">
        <v>2054003885.758245</v>
      </c>
      <c r="AU8" s="123">
        <v>46875000.200000003</v>
      </c>
      <c r="AV8" s="123">
        <v>26660681.191328142</v>
      </c>
      <c r="AW8" s="35">
        <v>2128124566.9085824</v>
      </c>
      <c r="AX8" s="35">
        <v>317016880.22359288</v>
      </c>
      <c r="AY8" s="13">
        <v>4.4391424880910316E-2</v>
      </c>
      <c r="AZ8" s="13">
        <v>0.11404304572973288</v>
      </c>
      <c r="BA8" s="16">
        <v>8793.2157071454149</v>
      </c>
      <c r="BB8" s="13">
        <v>8.6840613999269498E-2</v>
      </c>
      <c r="BC8" s="16"/>
      <c r="BD8" s="16"/>
      <c r="BE8" s="16"/>
      <c r="BF8" s="16"/>
      <c r="BG8" s="16"/>
      <c r="BJ8" s="11" t="s">
        <v>23</v>
      </c>
      <c r="BK8">
        <v>990</v>
      </c>
      <c r="BL8">
        <v>1011</v>
      </c>
      <c r="BM8">
        <v>364</v>
      </c>
      <c r="BN8">
        <v>2365</v>
      </c>
      <c r="BZ8" s="11" t="s">
        <v>21</v>
      </c>
      <c r="CA8">
        <v>280</v>
      </c>
      <c r="CB8">
        <v>301</v>
      </c>
      <c r="CC8">
        <v>0</v>
      </c>
      <c r="CD8">
        <v>0</v>
      </c>
      <c r="CE8">
        <v>0</v>
      </c>
      <c r="CF8">
        <v>581</v>
      </c>
      <c r="CL8" s="11" t="s">
        <v>21</v>
      </c>
      <c r="CM8">
        <v>237</v>
      </c>
      <c r="CN8">
        <v>257</v>
      </c>
      <c r="CO8">
        <v>256</v>
      </c>
      <c r="CP8">
        <v>255</v>
      </c>
      <c r="CQ8">
        <v>250</v>
      </c>
      <c r="EM8">
        <v>0</v>
      </c>
      <c r="EN8">
        <v>0</v>
      </c>
      <c r="EO8">
        <v>0</v>
      </c>
      <c r="EP8">
        <v>257</v>
      </c>
      <c r="EY8" s="11" t="s">
        <v>23</v>
      </c>
      <c r="EZ8" s="16">
        <v>626013</v>
      </c>
      <c r="FA8" s="16">
        <v>5520714959</v>
      </c>
      <c r="FB8" s="16">
        <v>1281585863.7</v>
      </c>
      <c r="FC8" s="16">
        <v>429516357.14285713</v>
      </c>
      <c r="FD8" s="16">
        <v>106395560</v>
      </c>
      <c r="FE8" s="16">
        <v>1837381980.8428571</v>
      </c>
      <c r="FF8" s="313">
        <v>597974285.71428573</v>
      </c>
      <c r="FG8" s="16">
        <v>484259671.42857146</v>
      </c>
      <c r="FH8" s="16">
        <v>688086274.28571427</v>
      </c>
      <c r="FI8" s="16">
        <v>33338569</v>
      </c>
      <c r="FJ8" s="16">
        <v>800000</v>
      </c>
      <c r="FK8" s="35">
        <v>1206484514.7142859</v>
      </c>
      <c r="FL8" s="123">
        <v>60163333.333333336</v>
      </c>
      <c r="FM8" s="123">
        <v>814515</v>
      </c>
      <c r="FN8" s="35">
        <v>658827134.04761899</v>
      </c>
      <c r="FO8" s="35">
        <v>-27929667.919047616</v>
      </c>
      <c r="FP8" s="13">
        <v>-1.520079559408518E-2</v>
      </c>
      <c r="FQ8" s="13">
        <v>8.7716840123962539E-2</v>
      </c>
      <c r="FR8" s="16">
        <v>8818.850341766065</v>
      </c>
      <c r="FS8" s="13">
        <v>0.12463716735890878</v>
      </c>
      <c r="GS8" s="11" t="s">
        <v>23</v>
      </c>
      <c r="GT8" s="16">
        <v>3347873</v>
      </c>
      <c r="GU8">
        <v>293</v>
      </c>
      <c r="GV8" s="16">
        <v>1585667754.116883</v>
      </c>
      <c r="GW8" s="16">
        <v>754717935.99999964</v>
      </c>
      <c r="GX8" s="35">
        <v>9548599130.1168842</v>
      </c>
      <c r="GY8" s="313">
        <v>2769405442.8571429</v>
      </c>
      <c r="GZ8" s="332">
        <v>6344502131.5714283</v>
      </c>
      <c r="HA8" s="35">
        <v>2882403587.9189415</v>
      </c>
      <c r="HB8" s="35">
        <v>321693410.62651384</v>
      </c>
      <c r="HC8" s="13">
        <v>3.3690115821479252E-2</v>
      </c>
      <c r="HD8" s="13">
        <v>0.11462299893149208</v>
      </c>
      <c r="HE8" s="16">
        <v>8771.0352214674804</v>
      </c>
      <c r="HF8" s="13">
        <v>9.0861540654227774E-2</v>
      </c>
      <c r="HG8" s="13"/>
      <c r="JO8"/>
      <c r="JP8"/>
      <c r="JS8"/>
      <c r="JT8"/>
      <c r="JV8"/>
      <c r="JZ8"/>
      <c r="KA8"/>
      <c r="KN8" s="11" t="s">
        <v>23</v>
      </c>
      <c r="KO8">
        <v>308</v>
      </c>
      <c r="KP8">
        <v>335</v>
      </c>
      <c r="KQ8">
        <v>337</v>
      </c>
      <c r="KR8">
        <v>351</v>
      </c>
      <c r="KS8">
        <v>625</v>
      </c>
      <c r="KT8">
        <v>376</v>
      </c>
      <c r="KU8">
        <v>378</v>
      </c>
      <c r="KV8">
        <v>385</v>
      </c>
      <c r="KW8">
        <v>696</v>
      </c>
      <c r="KX8">
        <v>397</v>
      </c>
      <c r="KY8">
        <v>376</v>
      </c>
      <c r="KZ8">
        <v>379</v>
      </c>
      <c r="LA8">
        <v>359</v>
      </c>
      <c r="LB8">
        <v>617</v>
      </c>
      <c r="LC8">
        <v>336</v>
      </c>
      <c r="LD8">
        <v>335</v>
      </c>
      <c r="LE8">
        <v>345</v>
      </c>
      <c r="LF8">
        <v>642</v>
      </c>
      <c r="LG8">
        <v>340</v>
      </c>
      <c r="LH8">
        <v>336</v>
      </c>
      <c r="LI8">
        <v>336</v>
      </c>
      <c r="LJ8">
        <v>591</v>
      </c>
      <c r="LK8">
        <v>333</v>
      </c>
      <c r="LL8">
        <v>328</v>
      </c>
      <c r="LM8">
        <v>325</v>
      </c>
      <c r="LN8">
        <v>315</v>
      </c>
      <c r="LO8">
        <v>537</v>
      </c>
      <c r="LP8">
        <v>312</v>
      </c>
      <c r="LQ8">
        <v>330</v>
      </c>
      <c r="LR8">
        <v>342</v>
      </c>
      <c r="LS8">
        <v>660</v>
      </c>
      <c r="LT8">
        <v>339</v>
      </c>
      <c r="LU8">
        <v>324</v>
      </c>
      <c r="LV8">
        <v>331</v>
      </c>
      <c r="LW8">
        <v>344</v>
      </c>
      <c r="LX8">
        <v>339</v>
      </c>
      <c r="LY8">
        <v>339</v>
      </c>
      <c r="LZ8">
        <v>334</v>
      </c>
      <c r="MA8">
        <v>348</v>
      </c>
      <c r="MB8">
        <v>641</v>
      </c>
      <c r="MC8">
        <v>330</v>
      </c>
      <c r="MD8">
        <v>313</v>
      </c>
      <c r="ME8">
        <v>317</v>
      </c>
      <c r="MF8">
        <v>589</v>
      </c>
      <c r="MG8">
        <v>316</v>
      </c>
      <c r="MH8">
        <v>309</v>
      </c>
      <c r="MI8">
        <v>0</v>
      </c>
      <c r="MJ8">
        <v>0</v>
      </c>
      <c r="MK8">
        <v>0</v>
      </c>
      <c r="ML8">
        <v>18175</v>
      </c>
    </row>
    <row r="9" spans="1:357">
      <c r="A9" t="s">
        <v>274</v>
      </c>
      <c r="E9" s="26" t="s">
        <v>23</v>
      </c>
      <c r="F9" s="16">
        <v>4530791.0201760782</v>
      </c>
      <c r="G9">
        <v>293</v>
      </c>
      <c r="H9" s="16">
        <v>39759800000.013382</v>
      </c>
      <c r="I9" s="16">
        <v>9893968840.0133743</v>
      </c>
      <c r="J9" s="16">
        <v>2299442754.1571007</v>
      </c>
      <c r="K9" s="16">
        <v>754717935.99999964</v>
      </c>
      <c r="L9" s="123">
        <v>48109999.87407729</v>
      </c>
      <c r="M9" s="16">
        <v>12996239530.133335</v>
      </c>
      <c r="N9" s="16">
        <v>4462052347.9971008</v>
      </c>
      <c r="O9" s="16">
        <v>3830116628.6328788</v>
      </c>
      <c r="P9" s="16">
        <v>255790000</v>
      </c>
      <c r="Q9" s="16">
        <v>13257141.857142856</v>
      </c>
      <c r="R9" s="16">
        <v>53499999</v>
      </c>
      <c r="S9">
        <v>864210</v>
      </c>
      <c r="T9" s="12">
        <v>8614716119.4483223</v>
      </c>
      <c r="U9" s="313">
        <v>3899100442.8912559</v>
      </c>
      <c r="V9" s="16">
        <v>2722000.6806408255</v>
      </c>
      <c r="W9" s="123">
        <v>171900000</v>
      </c>
      <c r="X9" s="123">
        <v>24407216.2336847</v>
      </c>
      <c r="Y9" s="12">
        <v>4098129659.8024497</v>
      </c>
      <c r="Z9" s="12">
        <v>283393750.8054561</v>
      </c>
      <c r="AA9" s="13">
        <v>2.1805826996984305E-2</v>
      </c>
      <c r="AB9" s="13">
        <v>0.11222522115291322</v>
      </c>
      <c r="AC9" s="16">
        <v>8775.4654370415465</v>
      </c>
      <c r="AD9" s="13">
        <v>9.6331385686839216E-2</v>
      </c>
      <c r="AF9" s="13"/>
      <c r="AG9" s="16"/>
      <c r="AH9" s="26">
        <v>2025</v>
      </c>
      <c r="AI9" s="16">
        <v>2357573</v>
      </c>
      <c r="AJ9" s="16">
        <v>20731579000</v>
      </c>
      <c r="AK9" s="16">
        <v>4905942540</v>
      </c>
      <c r="AL9" s="16">
        <v>1055486182.6883115</v>
      </c>
      <c r="AM9" s="16">
        <v>824756903.99999964</v>
      </c>
      <c r="AN9" s="16">
        <v>6786185626.6883116</v>
      </c>
      <c r="AO9" s="16">
        <v>2373907029.8571429</v>
      </c>
      <c r="AP9" s="16">
        <v>1773755000</v>
      </c>
      <c r="AQ9" s="16">
        <v>280421000</v>
      </c>
      <c r="AR9" s="16">
        <v>30600000</v>
      </c>
      <c r="AS9" s="12">
        <v>4462783029.8571424</v>
      </c>
      <c r="AT9" s="313">
        <v>1941793885.7142859</v>
      </c>
      <c r="AU9" s="123">
        <v>38475000</v>
      </c>
      <c r="AV9" s="123">
        <v>25386648.270721961</v>
      </c>
      <c r="AW9" s="12">
        <v>2006240533.9850075</v>
      </c>
      <c r="AX9" s="12">
        <v>317162062.84616119</v>
      </c>
      <c r="AY9" s="13">
        <v>4.6736426071053064E-2</v>
      </c>
      <c r="AZ9" s="13">
        <v>0.11450681252292182</v>
      </c>
      <c r="BA9" s="16">
        <v>8793.610632629403</v>
      </c>
      <c r="BB9" s="13">
        <v>8.5558123672104275E-2</v>
      </c>
      <c r="BC9" s="16"/>
      <c r="BD9" s="16"/>
      <c r="BE9" s="16"/>
      <c r="BF9" s="16"/>
      <c r="BG9" s="16"/>
      <c r="BJ9" s="26" t="s">
        <v>275</v>
      </c>
      <c r="BK9">
        <v>213</v>
      </c>
      <c r="BL9">
        <v>283</v>
      </c>
      <c r="BM9">
        <v>181</v>
      </c>
      <c r="BN9">
        <v>677</v>
      </c>
      <c r="BZ9" s="26" t="s">
        <v>34</v>
      </c>
      <c r="CC9">
        <v>0</v>
      </c>
      <c r="CD9">
        <v>0</v>
      </c>
      <c r="CE9">
        <v>0</v>
      </c>
      <c r="CF9">
        <v>0</v>
      </c>
      <c r="CK9">
        <f>AVERAGEIF(CM9:EH9,"&lt;&gt;",CM9:EH9)</f>
        <v>7</v>
      </c>
      <c r="CL9" s="26" t="s">
        <v>34</v>
      </c>
      <c r="CP9">
        <v>7</v>
      </c>
      <c r="EM9">
        <v>0</v>
      </c>
      <c r="EN9">
        <v>0</v>
      </c>
      <c r="EO9">
        <v>0</v>
      </c>
      <c r="EP9">
        <v>7</v>
      </c>
      <c r="EY9" s="26">
        <v>2025</v>
      </c>
      <c r="EZ9" s="16">
        <v>558172</v>
      </c>
      <c r="FA9" s="16">
        <v>5038401080</v>
      </c>
      <c r="FB9" s="16">
        <v>1163593747.5999999</v>
      </c>
      <c r="FC9" s="16">
        <v>383551357.14285713</v>
      </c>
      <c r="FD9" s="16">
        <v>106395560</v>
      </c>
      <c r="FE9" s="16">
        <v>1673424864.742857</v>
      </c>
      <c r="FF9" s="313">
        <v>535359285.71428573</v>
      </c>
      <c r="FG9" s="16">
        <v>444954271.42857146</v>
      </c>
      <c r="FH9" s="16">
        <v>627281974.28571427</v>
      </c>
      <c r="FI9" s="16">
        <v>33338569</v>
      </c>
      <c r="FJ9" s="16">
        <v>800000</v>
      </c>
      <c r="FK9" s="12">
        <v>1106374814.7142859</v>
      </c>
      <c r="FL9" s="123">
        <v>49463333.333333336</v>
      </c>
      <c r="FM9" s="123">
        <v>814515</v>
      </c>
      <c r="FN9" s="12">
        <v>585512134.04761899</v>
      </c>
      <c r="FO9" s="12">
        <v>-18462084.019047614</v>
      </c>
      <c r="FP9" s="13">
        <v>-1.1032514460626551E-2</v>
      </c>
      <c r="FQ9" s="13">
        <v>8.8312594484552503E-2</v>
      </c>
      <c r="FR9" s="16">
        <v>9026.6102205055067</v>
      </c>
      <c r="FS9" s="13">
        <v>0.12450020638009912</v>
      </c>
      <c r="GS9" s="26">
        <v>1</v>
      </c>
      <c r="GT9" s="16">
        <v>43066</v>
      </c>
      <c r="GU9">
        <v>237</v>
      </c>
      <c r="GV9" s="16">
        <v>16755428.571428571</v>
      </c>
      <c r="GW9" s="16">
        <v>18002447.483870968</v>
      </c>
      <c r="GX9" s="35">
        <v>122029766.05529954</v>
      </c>
      <c r="GY9" s="313">
        <v>30997542.857142854</v>
      </c>
      <c r="GZ9" s="332">
        <v>75223428.571428567</v>
      </c>
      <c r="HA9" s="35">
        <v>31184685.714285713</v>
      </c>
      <c r="HB9" s="35">
        <v>15621651.769585252</v>
      </c>
      <c r="HC9" s="13">
        <v>0.1280150923382585</v>
      </c>
      <c r="HD9" s="13">
        <v>0.11846838655608352</v>
      </c>
      <c r="HE9" s="16">
        <v>8810.7323642780848</v>
      </c>
      <c r="HF9" s="13">
        <v>7.9778592756826638E-2</v>
      </c>
      <c r="HG9" s="13"/>
      <c r="HH9" s="1">
        <f>GV9-GY9</f>
        <v>-14242114.285714284</v>
      </c>
      <c r="HI9" s="27">
        <f>HH9/GV9</f>
        <v>-0.84999999999999987</v>
      </c>
      <c r="HJ9" s="1">
        <f>GV9+GW9-GY9</f>
        <v>3760333.1981566809</v>
      </c>
      <c r="HK9" s="27">
        <f>HJ9/(GV9+GW9)</f>
        <v>0.10818650691354148</v>
      </c>
      <c r="JO9"/>
      <c r="JP9"/>
      <c r="JS9"/>
      <c r="JT9"/>
      <c r="JV9"/>
      <c r="JZ9"/>
      <c r="KA9"/>
      <c r="KN9" s="26" t="s">
        <v>34</v>
      </c>
      <c r="MI9">
        <v>0</v>
      </c>
      <c r="MJ9">
        <v>0</v>
      </c>
      <c r="MK9">
        <v>0</v>
      </c>
      <c r="ML9">
        <v>0</v>
      </c>
    </row>
    <row r="10" spans="1:357">
      <c r="B10" s="27">
        <f>N10/H10</f>
        <v>0.11846838655608352</v>
      </c>
      <c r="C10" s="27">
        <f>O10/H10</f>
        <v>7.9778592756826638E-2</v>
      </c>
      <c r="D10" s="1">
        <f>O10/G10</f>
        <v>127727.54671488848</v>
      </c>
      <c r="E10" s="278">
        <v>1</v>
      </c>
      <c r="F10" s="16">
        <v>43066</v>
      </c>
      <c r="G10">
        <v>237</v>
      </c>
      <c r="H10" s="16">
        <v>379443000</v>
      </c>
      <c r="I10" s="16">
        <v>87271890</v>
      </c>
      <c r="J10" s="16">
        <v>16755428.571428571</v>
      </c>
      <c r="K10" s="16">
        <v>18002447.483870968</v>
      </c>
      <c r="M10" s="16">
        <v>122029766.05529954</v>
      </c>
      <c r="N10" s="16">
        <v>44952000</v>
      </c>
      <c r="O10" s="16">
        <v>30271428.571428571</v>
      </c>
      <c r="P10" s="16"/>
      <c r="Q10" s="16"/>
      <c r="R10" s="16"/>
      <c r="S10"/>
      <c r="T10" s="12">
        <v>75223428.571428567</v>
      </c>
      <c r="U10" s="313">
        <v>30997542.857142854</v>
      </c>
      <c r="V10" s="16"/>
      <c r="W10" s="123"/>
      <c r="X10" s="123">
        <v>187142.85714285713</v>
      </c>
      <c r="Y10" s="12">
        <v>31184685.714285713</v>
      </c>
      <c r="Z10" s="12">
        <v>15621651.769585252</v>
      </c>
      <c r="AA10" s="13">
        <v>0.1280150923382585</v>
      </c>
      <c r="AB10" s="13">
        <v>0.11846838655608352</v>
      </c>
      <c r="AC10" s="16">
        <v>8810.7323642780848</v>
      </c>
      <c r="AD10" s="13">
        <v>7.9778592756826638E-2</v>
      </c>
      <c r="AF10" s="1">
        <f>F10/G10</f>
        <v>181.71308016877637</v>
      </c>
      <c r="AG10" s="16"/>
      <c r="AH10" s="26">
        <v>2026</v>
      </c>
      <c r="AI10" s="16">
        <v>122671.28452844733</v>
      </c>
      <c r="AJ10" s="16">
        <v>1077744000.2731752</v>
      </c>
      <c r="AK10" s="16">
        <v>280213440.27317506</v>
      </c>
      <c r="AL10" s="16">
        <v>72950000.042827666</v>
      </c>
      <c r="AM10" s="16">
        <v>0</v>
      </c>
      <c r="AN10" s="16">
        <v>355213440.22742349</v>
      </c>
      <c r="AO10" s="16">
        <v>113294590.39752629</v>
      </c>
      <c r="AP10" s="16">
        <v>120180000.252113</v>
      </c>
      <c r="AQ10" s="16">
        <v>0</v>
      </c>
      <c r="AR10" s="16">
        <v>-1</v>
      </c>
      <c r="AS10" s="12">
        <v>233474590.32810283</v>
      </c>
      <c r="AT10" s="313">
        <v>112210000.04395935</v>
      </c>
      <c r="AU10" s="123">
        <v>8400000.1999999993</v>
      </c>
      <c r="AV10" s="123">
        <v>1274032.9206061836</v>
      </c>
      <c r="AW10" s="12">
        <v>121884032.92357515</v>
      </c>
      <c r="AX10" s="12">
        <v>-145182.6225682504</v>
      </c>
      <c r="AY10" s="13">
        <v>-4.0871939551413933E-4</v>
      </c>
      <c r="AZ10" s="13">
        <v>0.10512198663950768</v>
      </c>
      <c r="BA10" s="16">
        <v>8785.6257837036646</v>
      </c>
      <c r="BB10" s="13">
        <v>0.11151071146919031</v>
      </c>
      <c r="BC10" s="16"/>
      <c r="BD10" s="16">
        <f>AJ10/BF10</f>
        <v>4310976.0010927012</v>
      </c>
      <c r="BE10" s="16">
        <f>AI10/BF10</f>
        <v>490.68513811378932</v>
      </c>
      <c r="BF10" s="16">
        <v>250</v>
      </c>
      <c r="BG10" s="16"/>
      <c r="BJ10" s="278">
        <v>52026</v>
      </c>
      <c r="BK10">
        <v>213</v>
      </c>
      <c r="BN10">
        <v>213</v>
      </c>
      <c r="BZ10" s="278" t="s">
        <v>34</v>
      </c>
      <c r="CC10">
        <v>0</v>
      </c>
      <c r="CD10">
        <v>0</v>
      </c>
      <c r="CE10">
        <v>0</v>
      </c>
      <c r="CF10">
        <v>0</v>
      </c>
      <c r="CK10" t="e">
        <f>AVERAGEIF(CM10:EH10,"&lt;&gt;",CM10:EH10)</f>
        <v>#DIV/0!</v>
      </c>
      <c r="CL10" s="26" t="s">
        <v>170</v>
      </c>
      <c r="EM10">
        <v>0</v>
      </c>
      <c r="EN10">
        <v>0</v>
      </c>
      <c r="EO10">
        <v>0</v>
      </c>
      <c r="EP10">
        <v>0</v>
      </c>
      <c r="EY10" s="278" t="s">
        <v>205</v>
      </c>
      <c r="EZ10" s="16">
        <v>10658</v>
      </c>
      <c r="FA10" s="16">
        <v>20726080</v>
      </c>
      <c r="FB10" s="16">
        <v>1558357.6</v>
      </c>
      <c r="FC10" s="16">
        <v>0</v>
      </c>
      <c r="FD10" s="16">
        <v>0</v>
      </c>
      <c r="FE10" s="16">
        <v>1558357.6</v>
      </c>
      <c r="FF10" s="313">
        <v>0</v>
      </c>
      <c r="FG10" s="16">
        <v>0</v>
      </c>
      <c r="FH10" s="16">
        <v>0</v>
      </c>
      <c r="FI10" s="16">
        <v>0</v>
      </c>
      <c r="FJ10" s="16">
        <v>0</v>
      </c>
      <c r="FK10" s="12">
        <v>0</v>
      </c>
      <c r="FL10" s="123">
        <v>1541666.6666666667</v>
      </c>
      <c r="FM10" s="123">
        <v>0</v>
      </c>
      <c r="FN10" s="12">
        <v>1416666.6666666667</v>
      </c>
      <c r="FO10" s="12">
        <v>141690.93333333344</v>
      </c>
      <c r="FP10" s="13">
        <v>9.0923247227294557E-2</v>
      </c>
      <c r="FQ10" s="13">
        <v>0</v>
      </c>
      <c r="FR10" s="16">
        <v>1944.6500281478702</v>
      </c>
      <c r="FS10" s="13">
        <v>0</v>
      </c>
      <c r="GS10" s="26">
        <v>2</v>
      </c>
      <c r="GT10" s="16">
        <v>75705</v>
      </c>
      <c r="GU10">
        <v>257</v>
      </c>
      <c r="GV10" s="16">
        <v>31104000</v>
      </c>
      <c r="GW10" s="16">
        <v>31504283.096774194</v>
      </c>
      <c r="GX10" s="35">
        <v>215791733.09677419</v>
      </c>
      <c r="GY10" s="313">
        <v>57542400</v>
      </c>
      <c r="GZ10" s="332">
        <v>127867500</v>
      </c>
      <c r="HA10" s="35">
        <v>57869900</v>
      </c>
      <c r="HB10" s="35">
        <v>30054333.096774191</v>
      </c>
      <c r="HC10" s="13">
        <v>0.13927471949676587</v>
      </c>
      <c r="HD10" s="13">
        <v>0.11357476933702694</v>
      </c>
      <c r="HE10" s="16">
        <v>8797.5034674063809</v>
      </c>
      <c r="HF10" s="13">
        <v>7.841414983146025E-2</v>
      </c>
      <c r="HG10" s="13"/>
      <c r="HH10" s="1">
        <f t="shared" ref="HH10:HH44" si="0">GV10-GY10</f>
        <v>-26438400</v>
      </c>
      <c r="HI10" s="27">
        <f t="shared" ref="HI10:HI73" si="1">HH10/GV10</f>
        <v>-0.85</v>
      </c>
      <c r="HJ10" s="1">
        <f t="shared" ref="HJ10:HJ73" si="2">GV10+GW10-GY10</f>
        <v>5065883.0967741907</v>
      </c>
      <c r="HK10" s="27">
        <f t="shared" ref="HK10:HK73" si="3">HJ10/(GV10+GW10)</f>
        <v>8.0913943749963704E-2</v>
      </c>
      <c r="JO10"/>
      <c r="JP10"/>
      <c r="JS10"/>
      <c r="JT10"/>
      <c r="JV10"/>
      <c r="JZ10"/>
      <c r="KA10"/>
      <c r="KN10" s="278" t="s">
        <v>21</v>
      </c>
      <c r="MI10">
        <v>0</v>
      </c>
      <c r="MJ10">
        <v>0</v>
      </c>
      <c r="MK10">
        <v>0</v>
      </c>
      <c r="ML10">
        <v>0</v>
      </c>
    </row>
    <row r="11" spans="1:357">
      <c r="B11" s="27">
        <f t="shared" ref="B11:B28" si="4">N11/H11</f>
        <v>0.11357476933702694</v>
      </c>
      <c r="C11" s="27">
        <f t="shared" ref="C11:C28" si="5">O11/H11</f>
        <v>7.841414983146025E-2</v>
      </c>
      <c r="D11" s="1">
        <f t="shared" ref="D11:D28" si="6">O11/G11</f>
        <v>203210.11673151751</v>
      </c>
      <c r="E11" s="278">
        <v>2</v>
      </c>
      <c r="F11" s="16">
        <v>75705</v>
      </c>
      <c r="G11">
        <v>257</v>
      </c>
      <c r="H11" s="16">
        <v>666015000</v>
      </c>
      <c r="I11" s="16">
        <v>153183450</v>
      </c>
      <c r="J11" s="16">
        <v>31104000</v>
      </c>
      <c r="K11" s="16">
        <v>31504283.096774194</v>
      </c>
      <c r="M11" s="16">
        <v>215791733.09677419</v>
      </c>
      <c r="N11" s="16">
        <v>75642500</v>
      </c>
      <c r="O11" s="16">
        <v>52225000</v>
      </c>
      <c r="P11" s="16"/>
      <c r="Q11" s="16"/>
      <c r="R11" s="16"/>
      <c r="S11"/>
      <c r="T11" s="12">
        <v>127867500</v>
      </c>
      <c r="U11" s="313">
        <v>57542400</v>
      </c>
      <c r="V11" s="16"/>
      <c r="W11" s="123">
        <v>0</v>
      </c>
      <c r="X11" s="123">
        <v>327500</v>
      </c>
      <c r="Y11" s="12">
        <v>57869900</v>
      </c>
      <c r="Z11" s="12">
        <v>30054333.096774191</v>
      </c>
      <c r="AA11" s="13">
        <v>0.13927471949676587</v>
      </c>
      <c r="AB11" s="13">
        <v>0.11357476933702694</v>
      </c>
      <c r="AC11" s="16">
        <v>8797.5034674063809</v>
      </c>
      <c r="AD11" s="13">
        <v>7.841414983146025E-2</v>
      </c>
      <c r="AF11" s="1">
        <f t="shared" ref="AF11:AF69" si="7">F11/G11</f>
        <v>294.57198443579767</v>
      </c>
      <c r="AG11" s="16"/>
      <c r="AH11" s="278">
        <v>62026</v>
      </c>
      <c r="AI11" s="16">
        <v>61462</v>
      </c>
      <c r="AJ11" s="16">
        <v>539486000</v>
      </c>
      <c r="AK11" s="16">
        <v>140266360</v>
      </c>
      <c r="AL11" s="16">
        <v>36675000</v>
      </c>
      <c r="AM11" s="16">
        <v>0</v>
      </c>
      <c r="AN11" s="16">
        <v>178041360</v>
      </c>
      <c r="AO11" s="16">
        <v>56655210</v>
      </c>
      <c r="AP11" s="16">
        <v>65740000</v>
      </c>
      <c r="AQ11" s="16">
        <v>0</v>
      </c>
      <c r="AR11" s="16">
        <v>0</v>
      </c>
      <c r="AS11" s="12">
        <v>122395210</v>
      </c>
      <c r="AT11" s="313">
        <v>56840000</v>
      </c>
      <c r="AU11" s="123">
        <v>4350000</v>
      </c>
      <c r="AV11" s="123">
        <v>637016.43500000006</v>
      </c>
      <c r="AW11" s="12">
        <v>61827016.434999995</v>
      </c>
      <c r="AX11" s="12">
        <v>-6180866.43499998</v>
      </c>
      <c r="AY11" s="13">
        <v>-3.4715902164530646E-2</v>
      </c>
      <c r="AZ11" s="13">
        <v>0.10501701619689853</v>
      </c>
      <c r="BA11" s="16">
        <v>8777.5536103608738</v>
      </c>
      <c r="BB11" s="13">
        <v>0.12185673029513278</v>
      </c>
      <c r="BC11" s="16"/>
      <c r="BD11" s="16">
        <f t="shared" ref="BD11:BD17" si="8">AJ11/BF11</f>
        <v>2035796.2264150945</v>
      </c>
      <c r="BE11" s="16">
        <f t="shared" ref="BE11:BE17" si="9">AI11/BF11</f>
        <v>231.93207547169811</v>
      </c>
      <c r="BF11" s="16">
        <v>265</v>
      </c>
      <c r="BG11" s="16"/>
      <c r="BJ11" s="278">
        <v>92026</v>
      </c>
      <c r="BL11">
        <v>113</v>
      </c>
      <c r="BN11">
        <v>113</v>
      </c>
      <c r="BZ11" s="278" t="s">
        <v>170</v>
      </c>
      <c r="CC11">
        <v>0</v>
      </c>
      <c r="CD11">
        <v>0</v>
      </c>
      <c r="CE11">
        <v>0</v>
      </c>
      <c r="CF11">
        <v>0</v>
      </c>
      <c r="CL11" s="26" t="s">
        <v>27</v>
      </c>
      <c r="CN11">
        <v>4</v>
      </c>
      <c r="CO11">
        <v>4</v>
      </c>
      <c r="CP11">
        <v>3</v>
      </c>
      <c r="EM11">
        <v>0</v>
      </c>
      <c r="EN11">
        <v>0</v>
      </c>
      <c r="EO11">
        <v>0</v>
      </c>
      <c r="EP11">
        <v>4</v>
      </c>
      <c r="EY11" s="337" t="s">
        <v>165</v>
      </c>
      <c r="EZ11" s="16">
        <v>831</v>
      </c>
      <c r="FA11" s="16">
        <v>1647400</v>
      </c>
      <c r="FB11" s="16">
        <v>115318.00000000001</v>
      </c>
      <c r="FC11" s="16">
        <v>0</v>
      </c>
      <c r="FD11" s="16">
        <v>0</v>
      </c>
      <c r="FE11" s="16">
        <v>115318.00000000001</v>
      </c>
      <c r="FF11" s="313">
        <v>0</v>
      </c>
      <c r="FG11" s="16">
        <v>0</v>
      </c>
      <c r="FH11" s="16">
        <v>0</v>
      </c>
      <c r="FI11" s="16">
        <v>0</v>
      </c>
      <c r="FJ11" s="16">
        <v>0</v>
      </c>
      <c r="FK11" s="12">
        <v>0</v>
      </c>
      <c r="FL11" s="123">
        <v>425000</v>
      </c>
      <c r="FM11" s="123">
        <v>0</v>
      </c>
      <c r="FN11" s="12">
        <v>300000</v>
      </c>
      <c r="FO11" s="12">
        <v>-184682</v>
      </c>
      <c r="FP11" s="13">
        <v>-1.601501933783104</v>
      </c>
      <c r="FQ11" s="13">
        <v>0</v>
      </c>
      <c r="FR11" s="16">
        <v>1982.430806257521</v>
      </c>
      <c r="FS11" s="13">
        <v>0</v>
      </c>
      <c r="GS11" s="26">
        <v>3</v>
      </c>
      <c r="GT11" s="16">
        <v>73938</v>
      </c>
      <c r="GU11">
        <v>256</v>
      </c>
      <c r="GV11" s="16">
        <v>31428000</v>
      </c>
      <c r="GW11" s="16">
        <v>31504283.096774194</v>
      </c>
      <c r="GX11" s="35">
        <v>212651243.09677419</v>
      </c>
      <c r="GY11" s="313">
        <v>58141800</v>
      </c>
      <c r="GZ11" s="332">
        <v>127350000</v>
      </c>
      <c r="HA11" s="35">
        <v>58469300</v>
      </c>
      <c r="HB11" s="35">
        <v>26831943.096774191</v>
      </c>
      <c r="HC11" s="13">
        <v>0.12617816245054067</v>
      </c>
      <c r="HD11" s="13">
        <v>0.11321879339797712</v>
      </c>
      <c r="HE11" s="16">
        <v>8804.0249939138193</v>
      </c>
      <c r="HF11" s="13">
        <v>8.2417751232041689E-2</v>
      </c>
      <c r="HG11" s="13"/>
      <c r="HH11" s="1">
        <f t="shared" si="0"/>
        <v>-26713800</v>
      </c>
      <c r="HI11" s="27">
        <f t="shared" si="1"/>
        <v>-0.85</v>
      </c>
      <c r="HJ11" s="1">
        <f t="shared" si="2"/>
        <v>4790483.0967741907</v>
      </c>
      <c r="HK11" s="27">
        <f t="shared" si="3"/>
        <v>7.6121234778779912E-2</v>
      </c>
      <c r="JO11"/>
      <c r="JP11"/>
      <c r="JS11"/>
      <c r="JT11"/>
      <c r="JV11"/>
      <c r="JZ11"/>
      <c r="KA11"/>
      <c r="KN11" s="278" t="s">
        <v>158</v>
      </c>
      <c r="MI11">
        <v>0</v>
      </c>
      <c r="MJ11">
        <v>0</v>
      </c>
      <c r="MK11">
        <v>0</v>
      </c>
      <c r="ML11">
        <v>0</v>
      </c>
    </row>
    <row r="12" spans="1:357">
      <c r="B12" s="27">
        <f t="shared" si="4"/>
        <v>0.11321879339797712</v>
      </c>
      <c r="C12" s="27">
        <f t="shared" si="5"/>
        <v>8.2417751232041689E-2</v>
      </c>
      <c r="D12" s="1">
        <f t="shared" si="6"/>
        <v>209570.3125</v>
      </c>
      <c r="E12" s="278">
        <v>3</v>
      </c>
      <c r="F12" s="16">
        <v>73938</v>
      </c>
      <c r="G12">
        <v>256</v>
      </c>
      <c r="H12" s="16">
        <v>650952000</v>
      </c>
      <c r="I12" s="16">
        <v>149718960</v>
      </c>
      <c r="J12" s="16">
        <v>31428000</v>
      </c>
      <c r="K12" s="16">
        <v>31504283.096774194</v>
      </c>
      <c r="M12" s="16">
        <v>212651243.09677419</v>
      </c>
      <c r="N12" s="16">
        <v>73700000</v>
      </c>
      <c r="O12" s="16">
        <v>53650000</v>
      </c>
      <c r="P12" s="16"/>
      <c r="Q12" s="16"/>
      <c r="R12" s="16"/>
      <c r="S12"/>
      <c r="T12" s="12">
        <v>127350000</v>
      </c>
      <c r="U12" s="313">
        <v>58141800</v>
      </c>
      <c r="V12" s="16"/>
      <c r="W12" s="123">
        <v>0</v>
      </c>
      <c r="X12" s="123">
        <v>327500</v>
      </c>
      <c r="Y12" s="12">
        <v>58469300</v>
      </c>
      <c r="Z12" s="12">
        <v>26831943.096774191</v>
      </c>
      <c r="AA12" s="13">
        <v>0.12617816245054067</v>
      </c>
      <c r="AB12" s="13">
        <v>0.11321879339797712</v>
      </c>
      <c r="AC12" s="16">
        <v>8804.0249939138193</v>
      </c>
      <c r="AD12" s="13">
        <v>8.2417751232041689E-2</v>
      </c>
      <c r="AF12" s="1">
        <f t="shared" si="7"/>
        <v>288.8203125</v>
      </c>
      <c r="AG12" s="16"/>
      <c r="AH12" s="278">
        <v>72026</v>
      </c>
      <c r="AI12" s="16">
        <v>61209</v>
      </c>
      <c r="AJ12" s="16">
        <v>538258000</v>
      </c>
      <c r="AK12" s="16">
        <v>139947080</v>
      </c>
      <c r="AL12" s="16">
        <v>36275000</v>
      </c>
      <c r="AM12" s="16">
        <v>0</v>
      </c>
      <c r="AN12" s="16">
        <v>177172080</v>
      </c>
      <c r="AO12" s="16">
        <v>56639380</v>
      </c>
      <c r="AP12" s="16">
        <v>54440000</v>
      </c>
      <c r="AQ12" s="16">
        <v>0</v>
      </c>
      <c r="AR12" s="16">
        <v>0</v>
      </c>
      <c r="AS12" s="12">
        <v>111079380</v>
      </c>
      <c r="AT12" s="313">
        <v>55370000</v>
      </c>
      <c r="AU12" s="123">
        <v>4050000</v>
      </c>
      <c r="AV12" s="123">
        <v>637016.43500000006</v>
      </c>
      <c r="AW12" s="12">
        <v>60057016.434999995</v>
      </c>
      <c r="AX12" s="12">
        <v>6035683.5650000162</v>
      </c>
      <c r="AY12" s="13">
        <v>3.4066787300798276E-2</v>
      </c>
      <c r="AZ12" s="13">
        <v>0.10522719588004266</v>
      </c>
      <c r="BA12" s="16">
        <v>8793.7721576892291</v>
      </c>
      <c r="BB12" s="13">
        <v>0.10114108847430042</v>
      </c>
      <c r="BC12" s="16"/>
      <c r="BD12" s="16">
        <f t="shared" si="8"/>
        <v>2127501.976284585</v>
      </c>
      <c r="BE12" s="16">
        <f t="shared" si="9"/>
        <v>241.93280632411069</v>
      </c>
      <c r="BF12" s="16">
        <v>253</v>
      </c>
      <c r="BG12" s="16"/>
      <c r="BJ12" s="278">
        <v>142026</v>
      </c>
      <c r="BL12">
        <v>170</v>
      </c>
      <c r="BM12">
        <v>181</v>
      </c>
      <c r="BN12">
        <v>351</v>
      </c>
      <c r="BZ12" s="278" t="s">
        <v>27</v>
      </c>
      <c r="CC12">
        <v>0</v>
      </c>
      <c r="CD12">
        <v>0</v>
      </c>
      <c r="CE12">
        <v>0</v>
      </c>
      <c r="CF12">
        <v>0</v>
      </c>
      <c r="CL12" s="26" t="s">
        <v>33</v>
      </c>
      <c r="CM12">
        <v>1</v>
      </c>
      <c r="EM12">
        <v>0</v>
      </c>
      <c r="EN12">
        <v>0</v>
      </c>
      <c r="EO12">
        <v>0</v>
      </c>
      <c r="EP12">
        <v>1</v>
      </c>
      <c r="EY12" s="338" t="s">
        <v>36</v>
      </c>
      <c r="EZ12" s="81">
        <v>3952</v>
      </c>
      <c r="FA12" s="81">
        <v>7227300</v>
      </c>
      <c r="FB12" s="81">
        <v>505911</v>
      </c>
      <c r="FC12" s="81">
        <v>0</v>
      </c>
      <c r="FD12" s="81">
        <v>0</v>
      </c>
      <c r="FE12" s="81">
        <v>505911</v>
      </c>
      <c r="FF12" s="322">
        <v>0</v>
      </c>
      <c r="FG12" s="81">
        <v>0</v>
      </c>
      <c r="FH12" s="81">
        <v>0</v>
      </c>
      <c r="FI12" s="81">
        <v>0</v>
      </c>
      <c r="FJ12" s="81">
        <v>0</v>
      </c>
      <c r="FK12" s="246">
        <v>0</v>
      </c>
      <c r="FL12" s="310">
        <v>575000</v>
      </c>
      <c r="FM12" s="310">
        <v>0</v>
      </c>
      <c r="FN12" s="246">
        <v>575000</v>
      </c>
      <c r="FO12" s="246">
        <v>-69088.999999999971</v>
      </c>
      <c r="FP12" s="244">
        <v>-0.13656354576200155</v>
      </c>
      <c r="FQ12" s="244">
        <v>0</v>
      </c>
      <c r="FR12" s="81">
        <v>1828.7702429149797</v>
      </c>
      <c r="FS12" s="244">
        <v>0</v>
      </c>
      <c r="GS12" s="26">
        <v>4</v>
      </c>
      <c r="GT12" s="16">
        <v>67657</v>
      </c>
      <c r="GU12">
        <v>255</v>
      </c>
      <c r="GV12" s="16">
        <v>30618000</v>
      </c>
      <c r="GW12" s="16">
        <v>31504283.096774194</v>
      </c>
      <c r="GX12" s="35">
        <v>198595083.09677419</v>
      </c>
      <c r="GY12" s="313">
        <v>56643300</v>
      </c>
      <c r="GZ12" s="332">
        <v>170288000</v>
      </c>
      <c r="HA12" s="35">
        <v>56970800</v>
      </c>
      <c r="HB12" s="35">
        <v>-28663716.903225809</v>
      </c>
      <c r="HC12" s="13">
        <v>-0.14433246008038453</v>
      </c>
      <c r="HD12" s="13">
        <v>0.11382297424834839</v>
      </c>
      <c r="HE12" s="16">
        <v>8770.1198693409406</v>
      </c>
      <c r="HF12" s="13">
        <v>8.6498921396791162E-2</v>
      </c>
      <c r="HG12" s="13"/>
      <c r="HH12" s="1">
        <f t="shared" si="0"/>
        <v>-26025300</v>
      </c>
      <c r="HI12" s="27">
        <f t="shared" si="1"/>
        <v>-0.85</v>
      </c>
      <c r="HJ12" s="1">
        <f t="shared" si="2"/>
        <v>5478983.0967741907</v>
      </c>
      <c r="HK12" s="27">
        <f t="shared" si="3"/>
        <v>8.8196743964464766E-2</v>
      </c>
      <c r="JO12"/>
      <c r="JP12"/>
      <c r="JS12"/>
      <c r="JT12"/>
      <c r="JV12"/>
      <c r="JZ12"/>
      <c r="KA12"/>
      <c r="KN12" s="278" t="s">
        <v>159</v>
      </c>
      <c r="MI12">
        <v>0</v>
      </c>
      <c r="MJ12">
        <v>0</v>
      </c>
      <c r="MK12">
        <v>0</v>
      </c>
      <c r="ML12">
        <v>0</v>
      </c>
    </row>
    <row r="13" spans="1:357">
      <c r="B13" s="27">
        <f t="shared" si="4"/>
        <v>0.11382297424834839</v>
      </c>
      <c r="C13" s="27">
        <f t="shared" si="5"/>
        <v>8.6498921396791162E-2</v>
      </c>
      <c r="D13" s="1">
        <f t="shared" si="6"/>
        <v>201274.50980392157</v>
      </c>
      <c r="E13" s="278">
        <v>4</v>
      </c>
      <c r="F13" s="16">
        <v>67657</v>
      </c>
      <c r="G13">
        <v>255</v>
      </c>
      <c r="H13" s="16">
        <v>593360000</v>
      </c>
      <c r="I13" s="16">
        <v>136472800</v>
      </c>
      <c r="J13" s="16">
        <v>30618000</v>
      </c>
      <c r="K13" s="16">
        <v>31504283.096774194</v>
      </c>
      <c r="M13" s="16">
        <v>198595083.09677419</v>
      </c>
      <c r="N13" s="16">
        <v>67538000</v>
      </c>
      <c r="O13" s="16">
        <v>51325000</v>
      </c>
      <c r="P13" s="16">
        <v>46125000</v>
      </c>
      <c r="Q13" s="16"/>
      <c r="R13" s="16">
        <v>5300000</v>
      </c>
      <c r="S13"/>
      <c r="T13" s="12">
        <v>170288000</v>
      </c>
      <c r="U13" s="313">
        <v>56643300</v>
      </c>
      <c r="V13" s="16"/>
      <c r="W13" s="123">
        <v>0</v>
      </c>
      <c r="X13" s="123">
        <v>327500</v>
      </c>
      <c r="Y13" s="12">
        <v>56970800</v>
      </c>
      <c r="Z13" s="12">
        <v>-28663716.903225809</v>
      </c>
      <c r="AA13" s="13">
        <v>-0.14433246008038453</v>
      </c>
      <c r="AB13" s="13">
        <v>0.11382297424834839</v>
      </c>
      <c r="AC13" s="16">
        <v>8770.1198693409406</v>
      </c>
      <c r="AD13" s="13">
        <v>8.6498921396791162E-2</v>
      </c>
      <c r="AF13" s="1">
        <f t="shared" si="7"/>
        <v>265.32156862745097</v>
      </c>
      <c r="AG13" s="16"/>
      <c r="AH13" s="278" t="s">
        <v>180</v>
      </c>
      <c r="AI13" s="16">
        <v>0.28383354814951206</v>
      </c>
      <c r="AJ13" s="16">
        <v>0.27942145779701277</v>
      </c>
      <c r="AK13" s="16">
        <v>0.27942145779701277</v>
      </c>
      <c r="AL13" s="16">
        <v>1.0824313072439634E-2</v>
      </c>
      <c r="AM13" s="16">
        <v>0</v>
      </c>
      <c r="AN13" s="16">
        <v>0.22894519913525962</v>
      </c>
      <c r="AO13" s="16">
        <v>0.42542326551063014</v>
      </c>
      <c r="AP13" s="16">
        <v>0.20160213618157544</v>
      </c>
      <c r="AQ13" s="16">
        <v>0</v>
      </c>
      <c r="AR13" s="16">
        <v>0</v>
      </c>
      <c r="AS13" s="12">
        <v>0.32820410088486351</v>
      </c>
      <c r="AT13" s="313">
        <v>1.9607843137254902E-2</v>
      </c>
      <c r="AU13" s="123">
        <v>0.2</v>
      </c>
      <c r="AV13" s="123">
        <v>0</v>
      </c>
      <c r="AW13" s="12">
        <v>3.1468962097685099E-2</v>
      </c>
      <c r="AX13" s="12">
        <v>0.43265334553066476</v>
      </c>
      <c r="AY13" s="13">
        <v>1.8897681504780339</v>
      </c>
      <c r="AZ13" s="13">
        <v>1.5225146589124203</v>
      </c>
      <c r="BA13" s="16">
        <v>0.98445535990630972</v>
      </c>
      <c r="BB13" s="13">
        <v>0.72149840520848763</v>
      </c>
      <c r="BC13" s="16"/>
      <c r="BD13" s="16">
        <f t="shared" si="8"/>
        <v>1.1404957461102563E-3</v>
      </c>
      <c r="BE13" s="16">
        <f t="shared" si="9"/>
        <v>1.1585042781612736E-3</v>
      </c>
      <c r="BF13" s="16">
        <v>245</v>
      </c>
      <c r="BG13" s="16"/>
      <c r="BJ13" s="26" t="s">
        <v>256</v>
      </c>
      <c r="BK13">
        <v>201</v>
      </c>
      <c r="BL13">
        <v>188</v>
      </c>
      <c r="BM13">
        <v>183</v>
      </c>
      <c r="BN13">
        <v>572</v>
      </c>
      <c r="BZ13" s="278" t="s">
        <v>33</v>
      </c>
      <c r="CC13">
        <v>0</v>
      </c>
      <c r="CD13">
        <v>0</v>
      </c>
      <c r="CE13">
        <v>0</v>
      </c>
      <c r="CF13">
        <v>0</v>
      </c>
      <c r="CL13" s="26" t="s">
        <v>171</v>
      </c>
      <c r="EM13">
        <v>0</v>
      </c>
      <c r="EN13">
        <v>0</v>
      </c>
      <c r="EO13">
        <v>0</v>
      </c>
      <c r="EP13">
        <v>0</v>
      </c>
      <c r="EY13" s="337" t="s">
        <v>166</v>
      </c>
      <c r="EZ13" s="16">
        <v>5875</v>
      </c>
      <c r="FA13" s="16">
        <v>11851380</v>
      </c>
      <c r="FB13" s="16">
        <v>937128.6</v>
      </c>
      <c r="FC13" s="16">
        <v>0</v>
      </c>
      <c r="FD13" s="16">
        <v>0</v>
      </c>
      <c r="FE13" s="16">
        <v>937128.6</v>
      </c>
      <c r="FF13" s="313">
        <v>0</v>
      </c>
      <c r="FG13" s="16">
        <v>0</v>
      </c>
      <c r="FH13" s="16">
        <v>0</v>
      </c>
      <c r="FI13" s="16">
        <v>0</v>
      </c>
      <c r="FJ13" s="16">
        <v>0</v>
      </c>
      <c r="FK13" s="12">
        <v>0</v>
      </c>
      <c r="FL13" s="123">
        <v>541666.66666666674</v>
      </c>
      <c r="FM13" s="123">
        <v>0</v>
      </c>
      <c r="FN13" s="12">
        <v>541666.66666666674</v>
      </c>
      <c r="FO13" s="12">
        <v>395461.93333333341</v>
      </c>
      <c r="FP13" s="13">
        <v>0.42199323906380981</v>
      </c>
      <c r="FQ13" s="13">
        <v>0</v>
      </c>
      <c r="FR13" s="16">
        <v>2017.2561702127659</v>
      </c>
      <c r="FS13" s="13">
        <v>0</v>
      </c>
      <c r="GS13" s="26">
        <v>5</v>
      </c>
      <c r="GT13" s="16">
        <v>68788</v>
      </c>
      <c r="GU13">
        <v>250</v>
      </c>
      <c r="GV13" s="16">
        <v>31284000</v>
      </c>
      <c r="GW13" s="16">
        <v>31815767.011520736</v>
      </c>
      <c r="GX13" s="35">
        <v>201756187.01152071</v>
      </c>
      <c r="GY13" s="313">
        <v>57875399.999999993</v>
      </c>
      <c r="GZ13" s="332">
        <v>120256000</v>
      </c>
      <c r="HA13" s="35">
        <v>58202899.999999993</v>
      </c>
      <c r="HB13" s="35">
        <v>23297287.011520717</v>
      </c>
      <c r="HC13" s="13">
        <v>0.11547247872101385</v>
      </c>
      <c r="HD13" s="13">
        <v>0.1142581785971396</v>
      </c>
      <c r="HE13" s="16">
        <v>8763.9413851253121</v>
      </c>
      <c r="HF13" s="13">
        <v>8.5219638585793581E-2</v>
      </c>
      <c r="HG13" s="13"/>
      <c r="HH13" s="1">
        <f t="shared" si="0"/>
        <v>-26591399.999999993</v>
      </c>
      <c r="HI13" s="27">
        <f t="shared" si="1"/>
        <v>-0.84999999999999976</v>
      </c>
      <c r="HJ13" s="1">
        <f t="shared" si="2"/>
        <v>5224367.0115207434</v>
      </c>
      <c r="HK13" s="27">
        <f t="shared" si="3"/>
        <v>8.2795345513191509E-2</v>
      </c>
      <c r="JO13"/>
      <c r="JP13"/>
      <c r="JS13"/>
      <c r="JT13"/>
      <c r="JV13"/>
      <c r="JZ13"/>
      <c r="KA13"/>
      <c r="KN13" s="278" t="s">
        <v>160</v>
      </c>
      <c r="MI13">
        <v>0</v>
      </c>
      <c r="MJ13">
        <v>0</v>
      </c>
      <c r="MK13">
        <v>0</v>
      </c>
      <c r="ML13">
        <v>0</v>
      </c>
    </row>
    <row r="14" spans="1:357">
      <c r="B14" s="27">
        <f t="shared" si="4"/>
        <v>0.1142581785971396</v>
      </c>
      <c r="C14" s="27">
        <f t="shared" si="5"/>
        <v>8.5219638585793581E-2</v>
      </c>
      <c r="D14" s="1">
        <f t="shared" si="6"/>
        <v>205500</v>
      </c>
      <c r="E14" s="278">
        <v>5</v>
      </c>
      <c r="F14" s="16">
        <v>68788</v>
      </c>
      <c r="G14">
        <v>250</v>
      </c>
      <c r="H14" s="16">
        <v>602854000</v>
      </c>
      <c r="I14" s="16">
        <v>138656420</v>
      </c>
      <c r="J14" s="16">
        <v>31284000</v>
      </c>
      <c r="K14" s="16">
        <v>31815767.011520736</v>
      </c>
      <c r="M14" s="16">
        <v>201756187.01152071</v>
      </c>
      <c r="N14" s="16">
        <v>68881000</v>
      </c>
      <c r="O14" s="16">
        <v>51375000</v>
      </c>
      <c r="P14" s="16"/>
      <c r="Q14" s="16"/>
      <c r="R14" s="16"/>
      <c r="S14"/>
      <c r="T14" s="12">
        <v>120256000</v>
      </c>
      <c r="U14" s="313">
        <v>57875399.999999993</v>
      </c>
      <c r="V14" s="16"/>
      <c r="W14" s="123">
        <v>0</v>
      </c>
      <c r="X14" s="123">
        <v>327499.99999999994</v>
      </c>
      <c r="Y14" s="12">
        <v>58202899.999999993</v>
      </c>
      <c r="Z14" s="12">
        <v>23297287.011520717</v>
      </c>
      <c r="AA14" s="13">
        <v>0.11547247872101385</v>
      </c>
      <c r="AB14" s="13">
        <v>0.1142581785971396</v>
      </c>
      <c r="AC14" s="16">
        <v>8763.9413851253121</v>
      </c>
      <c r="AD14" s="13">
        <v>8.5219638585793581E-2</v>
      </c>
      <c r="AF14" s="1">
        <f t="shared" si="7"/>
        <v>275.15199999999999</v>
      </c>
      <c r="AG14" s="16"/>
      <c r="AH14" s="278" t="s">
        <v>181</v>
      </c>
      <c r="AI14" s="16">
        <v>-9.9964144854786663E-3</v>
      </c>
      <c r="AJ14" s="16">
        <v>-1.4531916754959807E-2</v>
      </c>
      <c r="AK14" s="16">
        <v>-1.4531916754959807E-2</v>
      </c>
      <c r="AL14" s="16">
        <v>4.6952224052718289E-2</v>
      </c>
      <c r="AM14" s="16">
        <v>0</v>
      </c>
      <c r="AN14" s="16">
        <v>-5.3638021406569548E-3</v>
      </c>
      <c r="AO14" s="16">
        <v>-4.2241140404856908E-2</v>
      </c>
      <c r="AP14" s="16">
        <v>5.6296296296296296E-2</v>
      </c>
      <c r="AQ14" s="16">
        <v>0</v>
      </c>
      <c r="AR14" s="16">
        <v>-1</v>
      </c>
      <c r="AS14" s="12">
        <v>-5.5107910484536986E-3</v>
      </c>
      <c r="AT14" s="313">
        <v>3.3653846153846152E-2</v>
      </c>
      <c r="AU14" s="123">
        <v>0</v>
      </c>
      <c r="AV14" s="123">
        <v>-0.20107365159940624</v>
      </c>
      <c r="AW14" s="12">
        <v>2.8617656568070041E-2</v>
      </c>
      <c r="AX14" s="12">
        <v>-0.26182481844959532</v>
      </c>
      <c r="AY14" s="13">
        <v>48.81328795948599</v>
      </c>
      <c r="AZ14" s="13">
        <v>2.9067838136658621</v>
      </c>
      <c r="BA14" s="16">
        <v>1.4537129063695446</v>
      </c>
      <c r="BB14" s="13">
        <v>-3.8739759692803171</v>
      </c>
      <c r="BC14" s="16"/>
      <c r="BD14" s="16">
        <f t="shared" si="8"/>
        <v>-5.4021995371597798E-5</v>
      </c>
      <c r="BE14" s="16">
        <f t="shared" si="9"/>
        <v>-3.7161392139325899E-5</v>
      </c>
      <c r="BF14" s="16">
        <v>269</v>
      </c>
      <c r="BG14" s="16"/>
      <c r="BJ14" s="278">
        <v>62026</v>
      </c>
      <c r="BK14">
        <v>201</v>
      </c>
      <c r="BN14">
        <v>201</v>
      </c>
      <c r="BZ14" s="278" t="s">
        <v>171</v>
      </c>
      <c r="CC14">
        <v>0</v>
      </c>
      <c r="CD14">
        <v>0</v>
      </c>
      <c r="CE14">
        <v>0</v>
      </c>
      <c r="CF14">
        <v>0</v>
      </c>
      <c r="CL14" s="26" t="s">
        <v>276</v>
      </c>
      <c r="EM14">
        <v>0</v>
      </c>
      <c r="EN14">
        <v>0</v>
      </c>
      <c r="EO14">
        <v>0</v>
      </c>
      <c r="EP14">
        <v>0</v>
      </c>
      <c r="EY14" s="278" t="s">
        <v>173</v>
      </c>
      <c r="EZ14" s="16">
        <v>197202</v>
      </c>
      <c r="FA14" s="16">
        <v>1815066000</v>
      </c>
      <c r="FB14" s="16">
        <v>427155660</v>
      </c>
      <c r="FC14" s="16">
        <v>124435285.71428572</v>
      </c>
      <c r="FD14" s="16">
        <v>25539561</v>
      </c>
      <c r="FE14" s="16">
        <v>580605506.71428573</v>
      </c>
      <c r="FF14" s="313">
        <v>162714328.57142857</v>
      </c>
      <c r="FG14" s="16">
        <v>159236805.71428573</v>
      </c>
      <c r="FH14" s="16">
        <v>213529831.42857143</v>
      </c>
      <c r="FI14" s="16">
        <v>7615768</v>
      </c>
      <c r="FJ14" s="16">
        <v>400000</v>
      </c>
      <c r="FK14" s="12">
        <v>380782405.14285713</v>
      </c>
      <c r="FL14" s="123">
        <v>12940000</v>
      </c>
      <c r="FM14" s="123">
        <v>250000</v>
      </c>
      <c r="FN14" s="12">
        <v>175904328.57142857</v>
      </c>
      <c r="FO14" s="12">
        <v>23918772.999999996</v>
      </c>
      <c r="FP14" s="13">
        <v>4.1196255845658648E-2</v>
      </c>
      <c r="FQ14" s="13">
        <v>8.7730587049884526E-2</v>
      </c>
      <c r="FR14" s="16">
        <v>9204.0952931511856</v>
      </c>
      <c r="FS14" s="13">
        <v>0.11764301211557675</v>
      </c>
      <c r="GS14" s="26">
        <v>6</v>
      </c>
      <c r="GT14" s="16">
        <v>79559</v>
      </c>
      <c r="GU14">
        <v>270</v>
      </c>
      <c r="GV14" s="16">
        <v>32688000</v>
      </c>
      <c r="GW14" s="16">
        <v>33684670.5</v>
      </c>
      <c r="GX14" s="35">
        <v>226951540.5</v>
      </c>
      <c r="GY14" s="313">
        <v>66150000</v>
      </c>
      <c r="GZ14" s="332">
        <v>139080500</v>
      </c>
      <c r="HA14" s="35">
        <v>66577500</v>
      </c>
      <c r="HB14" s="35">
        <v>21293540.5</v>
      </c>
      <c r="HC14" s="13">
        <v>9.3824172566037284E-2</v>
      </c>
      <c r="HD14" s="13">
        <v>0.11380553991941779</v>
      </c>
      <c r="HE14" s="16">
        <v>8775.4873741500014</v>
      </c>
      <c r="HF14" s="13">
        <v>8.5401958551582779E-2</v>
      </c>
      <c r="HG14" s="13"/>
      <c r="HH14" s="1">
        <f t="shared" si="0"/>
        <v>-33462000</v>
      </c>
      <c r="HI14" s="27">
        <f t="shared" si="1"/>
        <v>-1.0236784140969164</v>
      </c>
      <c r="HJ14" s="1">
        <f t="shared" si="2"/>
        <v>222670.5</v>
      </c>
      <c r="HK14" s="27">
        <f t="shared" si="3"/>
        <v>3.3548522053214657E-3</v>
      </c>
      <c r="JO14"/>
      <c r="JP14"/>
      <c r="JS14"/>
      <c r="JT14"/>
      <c r="JV14"/>
      <c r="JZ14"/>
      <c r="KA14"/>
      <c r="KN14" s="278" t="s">
        <v>161</v>
      </c>
      <c r="MI14">
        <v>0</v>
      </c>
      <c r="MJ14">
        <v>0</v>
      </c>
      <c r="MK14">
        <v>0</v>
      </c>
      <c r="ML14">
        <v>0</v>
      </c>
    </row>
    <row r="15" spans="1:357">
      <c r="B15" s="27">
        <f t="shared" si="4"/>
        <v>0.11380553991941779</v>
      </c>
      <c r="C15" s="27">
        <f t="shared" si="5"/>
        <v>8.5401958551582779E-2</v>
      </c>
      <c r="D15" s="1">
        <f t="shared" si="6"/>
        <v>220833.33333333334</v>
      </c>
      <c r="E15" s="278">
        <v>6</v>
      </c>
      <c r="F15" s="16">
        <v>79559</v>
      </c>
      <c r="G15">
        <v>270</v>
      </c>
      <c r="H15" s="16">
        <v>698169000</v>
      </c>
      <c r="I15" s="16">
        <v>160578870</v>
      </c>
      <c r="J15" s="16">
        <v>32688000</v>
      </c>
      <c r="K15" s="16">
        <v>33684670.5</v>
      </c>
      <c r="M15" s="16">
        <v>226951540.5</v>
      </c>
      <c r="N15" s="16">
        <v>79455500</v>
      </c>
      <c r="O15" s="16">
        <v>59625000</v>
      </c>
      <c r="P15" s="16"/>
      <c r="Q15" s="16"/>
      <c r="R15" s="16"/>
      <c r="S15"/>
      <c r="T15" s="12">
        <v>139080500</v>
      </c>
      <c r="U15" s="313">
        <v>66150000</v>
      </c>
      <c r="V15" s="16"/>
      <c r="W15" s="123">
        <v>100000</v>
      </c>
      <c r="X15" s="123">
        <v>327500</v>
      </c>
      <c r="Y15" s="12">
        <v>66577500</v>
      </c>
      <c r="Z15" s="12">
        <v>21293540.5</v>
      </c>
      <c r="AA15" s="13">
        <v>9.3824172566037284E-2</v>
      </c>
      <c r="AB15" s="13">
        <v>0.11380553991941779</v>
      </c>
      <c r="AC15" s="16">
        <v>8775.4873741500014</v>
      </c>
      <c r="AD15" s="13">
        <v>8.5401958551582779E-2</v>
      </c>
      <c r="AF15" s="1">
        <f t="shared" si="7"/>
        <v>294.66296296296298</v>
      </c>
      <c r="AG15" s="16"/>
      <c r="AH15" s="278" t="s">
        <v>182</v>
      </c>
      <c r="AI15" s="16">
        <v>1.0691313669815147E-2</v>
      </c>
      <c r="AJ15" s="16">
        <v>8.2854944664733383E-3</v>
      </c>
      <c r="AK15" s="16">
        <v>8.2854944664733383E-3</v>
      </c>
      <c r="AL15" s="16">
        <v>-1.4948859166011016E-2</v>
      </c>
      <c r="AM15" s="16">
        <v>0</v>
      </c>
      <c r="AN15" s="16">
        <v>3.8420964200062361E-3</v>
      </c>
      <c r="AO15" s="16">
        <v>1.4344169541248923E-2</v>
      </c>
      <c r="AP15" s="16">
        <v>-5.7854137447405328E-3</v>
      </c>
      <c r="AQ15" s="16">
        <v>0</v>
      </c>
      <c r="AR15" s="16">
        <v>0</v>
      </c>
      <c r="AS15" s="12">
        <v>5.4095094144761954E-3</v>
      </c>
      <c r="AT15" s="313">
        <v>-9.3023255813953487E-3</v>
      </c>
      <c r="AU15" s="123">
        <v>0</v>
      </c>
      <c r="AV15" s="123">
        <v>0.25167983507108577</v>
      </c>
      <c r="AW15" s="12">
        <v>-6.5114449588495474E-3</v>
      </c>
      <c r="AX15" s="12">
        <v>7.6603186320785041E-2</v>
      </c>
      <c r="AY15" s="13">
        <v>19.937861507562246</v>
      </c>
      <c r="AZ15" s="13">
        <v>1.7312388052748791</v>
      </c>
      <c r="BA15" s="16">
        <v>0.7749744065470483</v>
      </c>
      <c r="BB15" s="13">
        <v>-0.69825811460629128</v>
      </c>
      <c r="BC15" s="16"/>
      <c r="BD15" s="16">
        <f t="shared" si="8"/>
        <v>3.3009938113439593E-5</v>
      </c>
      <c r="BE15" s="16">
        <f t="shared" si="9"/>
        <v>4.25948751785464E-5</v>
      </c>
      <c r="BF15" s="16">
        <v>251</v>
      </c>
      <c r="BG15" s="16"/>
      <c r="BJ15" s="278">
        <v>102026</v>
      </c>
      <c r="BL15">
        <v>188</v>
      </c>
      <c r="BN15">
        <v>188</v>
      </c>
      <c r="BZ15" s="278" t="s">
        <v>276</v>
      </c>
      <c r="CC15">
        <v>0</v>
      </c>
      <c r="CD15">
        <v>0</v>
      </c>
      <c r="CE15">
        <v>0</v>
      </c>
      <c r="CF15">
        <v>0</v>
      </c>
      <c r="CL15" s="26" t="s">
        <v>277</v>
      </c>
      <c r="EM15">
        <v>0</v>
      </c>
      <c r="EN15">
        <v>0</v>
      </c>
      <c r="EO15">
        <v>0</v>
      </c>
      <c r="EP15">
        <v>0</v>
      </c>
      <c r="EY15" s="337" t="s">
        <v>21</v>
      </c>
      <c r="EZ15" s="16">
        <v>21582</v>
      </c>
      <c r="FA15" s="16">
        <v>199612000</v>
      </c>
      <c r="FB15" s="16">
        <v>41918520</v>
      </c>
      <c r="FC15" s="16">
        <v>8267857.1428571427</v>
      </c>
      <c r="FD15" s="16">
        <v>4549006</v>
      </c>
      <c r="FE15" s="16">
        <v>55235383.142857149</v>
      </c>
      <c r="FF15" s="313">
        <v>11012785.714285713</v>
      </c>
      <c r="FG15" s="16">
        <v>14566857.142857144</v>
      </c>
      <c r="FH15" s="16">
        <v>50285714.285714284</v>
      </c>
      <c r="FI15" s="16">
        <v>798077</v>
      </c>
      <c r="FJ15" s="16">
        <v>0</v>
      </c>
      <c r="FK15" s="12">
        <v>65650648.428571425</v>
      </c>
      <c r="FL15" s="123">
        <v>0</v>
      </c>
      <c r="FM15" s="123"/>
      <c r="FN15" s="12">
        <v>11012785.714285713</v>
      </c>
      <c r="FO15" s="12">
        <v>-21428051.000000004</v>
      </c>
      <c r="FP15" s="13">
        <v>-0.38794066014858458</v>
      </c>
      <c r="FQ15" s="13">
        <v>7.2975858880513916E-2</v>
      </c>
      <c r="FR15" s="16">
        <v>9249.0037994625145</v>
      </c>
      <c r="FS15" s="13">
        <v>0.25191729097305915</v>
      </c>
      <c r="GS15" s="26">
        <v>7</v>
      </c>
      <c r="GT15" s="16">
        <v>79236</v>
      </c>
      <c r="GU15">
        <v>269</v>
      </c>
      <c r="GV15" s="16">
        <v>32472000</v>
      </c>
      <c r="GW15" s="16">
        <v>33684670.5</v>
      </c>
      <c r="GX15" s="35">
        <v>226034040.5</v>
      </c>
      <c r="GY15" s="313">
        <v>63140000</v>
      </c>
      <c r="GZ15" s="332">
        <v>137222500</v>
      </c>
      <c r="HA15" s="35">
        <v>64167500</v>
      </c>
      <c r="HB15" s="35">
        <v>24644040.5</v>
      </c>
      <c r="HC15" s="13">
        <v>0.10902800500971445</v>
      </c>
      <c r="HD15" s="13">
        <v>0.11386179920272645</v>
      </c>
      <c r="HE15" s="16">
        <v>8772.7674289464394</v>
      </c>
      <c r="HF15" s="13">
        <v>8.3546845935731862E-2</v>
      </c>
      <c r="HG15" s="13"/>
      <c r="HH15" s="1">
        <f t="shared" si="0"/>
        <v>-30668000</v>
      </c>
      <c r="HI15" s="27">
        <f t="shared" si="1"/>
        <v>-0.94444444444444442</v>
      </c>
      <c r="HJ15" s="1">
        <f t="shared" si="2"/>
        <v>3016670.5</v>
      </c>
      <c r="HK15" s="27">
        <f t="shared" si="3"/>
        <v>4.5598886358708152E-2</v>
      </c>
      <c r="JO15"/>
      <c r="JP15"/>
      <c r="JS15"/>
      <c r="JT15"/>
      <c r="JV15"/>
      <c r="JZ15"/>
      <c r="KA15"/>
      <c r="KN15" s="278" t="s">
        <v>156</v>
      </c>
      <c r="MI15">
        <v>0</v>
      </c>
      <c r="MJ15">
        <v>0</v>
      </c>
      <c r="MK15">
        <v>0</v>
      </c>
      <c r="ML15">
        <v>0</v>
      </c>
    </row>
    <row r="16" spans="1:357">
      <c r="B16" s="27">
        <f t="shared" si="4"/>
        <v>0.11386179920272645</v>
      </c>
      <c r="C16" s="27">
        <f>O16/H16</f>
        <v>8.3546845935731862E-2</v>
      </c>
      <c r="D16" s="1">
        <f t="shared" si="6"/>
        <v>215892.1933085502</v>
      </c>
      <c r="E16" s="278">
        <v>7</v>
      </c>
      <c r="F16" s="16">
        <v>79236</v>
      </c>
      <c r="G16">
        <v>269</v>
      </c>
      <c r="H16" s="16">
        <v>695119000</v>
      </c>
      <c r="I16" s="16">
        <v>159877370</v>
      </c>
      <c r="J16" s="16">
        <v>32472000</v>
      </c>
      <c r="K16" s="16">
        <v>33684670.5</v>
      </c>
      <c r="M16" s="16">
        <v>226034040.5</v>
      </c>
      <c r="N16" s="16">
        <v>79147500</v>
      </c>
      <c r="O16" s="16">
        <v>58075000</v>
      </c>
      <c r="P16" s="16">
        <v>0</v>
      </c>
      <c r="Q16" s="16"/>
      <c r="R16" s="16">
        <v>0</v>
      </c>
      <c r="S16"/>
      <c r="T16" s="12">
        <v>137222500</v>
      </c>
      <c r="U16" s="313">
        <v>63140000</v>
      </c>
      <c r="V16" s="16"/>
      <c r="W16" s="123">
        <v>700000</v>
      </c>
      <c r="X16" s="123">
        <v>327500</v>
      </c>
      <c r="Y16" s="12">
        <v>64167500</v>
      </c>
      <c r="Z16" s="12">
        <v>24644040.5</v>
      </c>
      <c r="AA16" s="13">
        <v>0.10902800500971445</v>
      </c>
      <c r="AB16" s="13">
        <v>0.11386179920272645</v>
      </c>
      <c r="AC16" s="16">
        <v>8772.7674289464394</v>
      </c>
      <c r="AD16" s="13">
        <v>8.3546845935731862E-2</v>
      </c>
      <c r="AF16" s="1">
        <f t="shared" si="7"/>
        <v>294.55762081784388</v>
      </c>
      <c r="AG16" s="16"/>
      <c r="AH16" s="11" t="s">
        <v>167</v>
      </c>
      <c r="AI16" s="16">
        <v>2480244.2845284468</v>
      </c>
      <c r="AJ16" s="16">
        <v>21809323000.273178</v>
      </c>
      <c r="AK16" s="16">
        <v>5186155980.2731752</v>
      </c>
      <c r="AL16" s="16">
        <v>1128436182.7311392</v>
      </c>
      <c r="AM16" s="16">
        <v>824756903.99999964</v>
      </c>
      <c r="AN16" s="16">
        <v>7141399066.9157352</v>
      </c>
      <c r="AO16" s="16">
        <v>2487201620.2546692</v>
      </c>
      <c r="AP16" s="16">
        <v>1893935000.2521131</v>
      </c>
      <c r="AQ16" s="16">
        <v>280421000</v>
      </c>
      <c r="AR16" s="16">
        <v>30599999</v>
      </c>
      <c r="AS16" s="12">
        <v>4696257620.1852455</v>
      </c>
      <c r="AT16" s="313">
        <v>2054003885.758245</v>
      </c>
      <c r="AU16" s="123">
        <v>46875000.200000003</v>
      </c>
      <c r="AV16" s="123">
        <v>26660681.191328142</v>
      </c>
      <c r="AW16" s="12">
        <v>2128124566.9085824</v>
      </c>
      <c r="AX16" s="12">
        <v>317016880.22359288</v>
      </c>
      <c r="AY16" s="13">
        <v>4.4391424880910316E-2</v>
      </c>
      <c r="AZ16" s="13">
        <v>0.11404304572973288</v>
      </c>
      <c r="BA16" s="16">
        <v>8793.2157071454149</v>
      </c>
      <c r="BB16" s="13">
        <v>8.6840613999269498E-2</v>
      </c>
      <c r="BC16" s="16"/>
      <c r="BD16" s="16">
        <f t="shared" si="8"/>
        <v>83241690.840737328</v>
      </c>
      <c r="BE16" s="16">
        <f t="shared" si="9"/>
        <v>9466.5812386581947</v>
      </c>
      <c r="BF16" s="16">
        <v>262</v>
      </c>
      <c r="BG16" s="16"/>
      <c r="BJ16" s="278">
        <v>152026</v>
      </c>
      <c r="BM16">
        <v>183</v>
      </c>
      <c r="BN16">
        <v>183</v>
      </c>
      <c r="BZ16" s="278" t="s">
        <v>277</v>
      </c>
      <c r="CC16">
        <v>0</v>
      </c>
      <c r="CD16">
        <v>0</v>
      </c>
      <c r="CE16">
        <v>0</v>
      </c>
      <c r="CF16">
        <v>0</v>
      </c>
      <c r="CL16" s="26" t="s">
        <v>199</v>
      </c>
      <c r="EM16">
        <v>0</v>
      </c>
      <c r="EN16">
        <v>0</v>
      </c>
      <c r="EO16">
        <v>0</v>
      </c>
      <c r="EP16">
        <v>0</v>
      </c>
      <c r="EY16" s="337" t="s">
        <v>158</v>
      </c>
      <c r="EZ16" s="16">
        <v>14765</v>
      </c>
      <c r="FA16" s="16">
        <v>175624000</v>
      </c>
      <c r="FB16" s="16">
        <v>37116640</v>
      </c>
      <c r="FC16" s="16">
        <v>8225000</v>
      </c>
      <c r="FD16" s="16">
        <v>4551412</v>
      </c>
      <c r="FE16" s="16">
        <v>50293052</v>
      </c>
      <c r="FF16" s="313">
        <v>11526542.857142858</v>
      </c>
      <c r="FG16" s="16">
        <v>14628571.428571427</v>
      </c>
      <c r="FH16" s="16">
        <v>16492857.142857144</v>
      </c>
      <c r="FI16" s="16">
        <v>2057691</v>
      </c>
      <c r="FJ16" s="16">
        <v>200000</v>
      </c>
      <c r="FK16" s="12">
        <v>33379119.571428567</v>
      </c>
      <c r="FL16" s="123">
        <v>0</v>
      </c>
      <c r="FM16" s="123">
        <v>232142.85714285713</v>
      </c>
      <c r="FN16" s="12">
        <v>11758685.714285716</v>
      </c>
      <c r="FO16" s="12">
        <v>5155246.7142857146</v>
      </c>
      <c r="FP16" s="13">
        <v>0.10250415334280596</v>
      </c>
      <c r="FQ16" s="13">
        <v>8.3294831165281663E-2</v>
      </c>
      <c r="FR16" s="16">
        <v>11894.615645106671</v>
      </c>
      <c r="FS16" s="13">
        <v>9.3910041582341494E-2</v>
      </c>
      <c r="GS16" s="26">
        <v>8</v>
      </c>
      <c r="GT16" s="16">
        <v>77850</v>
      </c>
      <c r="GU16">
        <v>275</v>
      </c>
      <c r="GV16" s="16">
        <v>33696000</v>
      </c>
      <c r="GW16" s="16">
        <v>33684670.5</v>
      </c>
      <c r="GX16" s="35">
        <v>224274480.5</v>
      </c>
      <c r="GY16" s="313">
        <v>65520000</v>
      </c>
      <c r="GZ16" s="332">
        <v>197814500</v>
      </c>
      <c r="HA16" s="35">
        <v>66547500</v>
      </c>
      <c r="HB16" s="35">
        <v>-40087519.5</v>
      </c>
      <c r="HC16" s="13">
        <v>-0.17874311607200447</v>
      </c>
      <c r="HD16" s="13">
        <v>0.11399962178240174</v>
      </c>
      <c r="HE16" s="16">
        <v>8762.3249839434811</v>
      </c>
      <c r="HF16" s="13">
        <v>8.8470666879719467E-2</v>
      </c>
      <c r="HG16" s="13"/>
      <c r="HH16" s="1">
        <f t="shared" si="0"/>
        <v>-31824000</v>
      </c>
      <c r="HI16" s="27">
        <f t="shared" si="1"/>
        <v>-0.94444444444444442</v>
      </c>
      <c r="HJ16" s="1">
        <f t="shared" si="2"/>
        <v>1860670.5</v>
      </c>
      <c r="HK16" s="27">
        <f t="shared" si="3"/>
        <v>2.7614306687553665E-2</v>
      </c>
      <c r="JO16"/>
      <c r="JP16"/>
      <c r="JS16"/>
      <c r="JT16"/>
      <c r="JV16"/>
      <c r="JZ16"/>
      <c r="KA16"/>
      <c r="KN16" s="278" t="s">
        <v>162</v>
      </c>
      <c r="MI16">
        <v>0</v>
      </c>
      <c r="MJ16">
        <v>0</v>
      </c>
      <c r="MK16">
        <v>0</v>
      </c>
      <c r="ML16">
        <v>0</v>
      </c>
    </row>
    <row r="17" spans="2:350">
      <c r="B17" s="27">
        <f t="shared" si="4"/>
        <v>0.11399962178240174</v>
      </c>
      <c r="C17" s="27">
        <f t="shared" si="5"/>
        <v>8.8470666879719467E-2</v>
      </c>
      <c r="D17" s="1">
        <f t="shared" si="6"/>
        <v>219454.54545454544</v>
      </c>
      <c r="E17" s="278">
        <v>8</v>
      </c>
      <c r="F17" s="16">
        <v>77850</v>
      </c>
      <c r="G17">
        <v>275</v>
      </c>
      <c r="H17" s="16">
        <v>682147000</v>
      </c>
      <c r="I17" s="16">
        <v>156893810</v>
      </c>
      <c r="J17" s="16">
        <v>33696000</v>
      </c>
      <c r="K17" s="16">
        <v>33684670.5</v>
      </c>
      <c r="M17" s="16">
        <v>224274480.5</v>
      </c>
      <c r="N17" s="16">
        <v>77764500</v>
      </c>
      <c r="O17" s="16">
        <v>60350000</v>
      </c>
      <c r="P17" s="16">
        <v>54000000</v>
      </c>
      <c r="Q17" s="16"/>
      <c r="R17" s="16">
        <v>5700000</v>
      </c>
      <c r="S17"/>
      <c r="T17" s="12">
        <v>197814500</v>
      </c>
      <c r="U17" s="313">
        <v>65520000</v>
      </c>
      <c r="V17" s="16"/>
      <c r="W17" s="123">
        <v>700000</v>
      </c>
      <c r="X17" s="123">
        <v>327500</v>
      </c>
      <c r="Y17" s="12">
        <v>66547500</v>
      </c>
      <c r="Z17" s="12">
        <v>-40087519.5</v>
      </c>
      <c r="AA17" s="13">
        <v>-0.17874311607200447</v>
      </c>
      <c r="AB17" s="13">
        <v>0.11399962178240174</v>
      </c>
      <c r="AC17" s="16">
        <v>8762.3249839434811</v>
      </c>
      <c r="AD17" s="13">
        <v>8.8470666879719467E-2</v>
      </c>
      <c r="AF17" s="1">
        <f t="shared" si="7"/>
        <v>283.09090909090907</v>
      </c>
      <c r="AG17" s="16"/>
      <c r="BC17" s="16"/>
      <c r="BD17" s="16">
        <f t="shared" si="8"/>
        <v>0</v>
      </c>
      <c r="BE17" s="16">
        <f t="shared" si="9"/>
        <v>0</v>
      </c>
      <c r="BF17" s="16">
        <v>251</v>
      </c>
      <c r="BG17" s="16"/>
      <c r="BJ17" s="26" t="s">
        <v>278</v>
      </c>
      <c r="BK17">
        <v>197</v>
      </c>
      <c r="BL17">
        <v>189</v>
      </c>
      <c r="BN17">
        <v>386</v>
      </c>
      <c r="BZ17" s="278" t="s">
        <v>199</v>
      </c>
      <c r="CC17">
        <v>0</v>
      </c>
      <c r="CD17">
        <v>0</v>
      </c>
      <c r="CE17">
        <v>0</v>
      </c>
      <c r="CF17">
        <v>0</v>
      </c>
      <c r="CL17" s="26" t="s">
        <v>196</v>
      </c>
      <c r="EM17">
        <v>0</v>
      </c>
      <c r="EN17">
        <v>0</v>
      </c>
      <c r="EO17">
        <v>0</v>
      </c>
      <c r="EP17">
        <v>0</v>
      </c>
      <c r="EY17" s="337" t="s">
        <v>159</v>
      </c>
      <c r="EZ17" s="16">
        <v>12090</v>
      </c>
      <c r="FA17" s="16">
        <v>110132000</v>
      </c>
      <c r="FB17" s="16">
        <v>23127720</v>
      </c>
      <c r="FC17" s="16">
        <v>7771428.5714285709</v>
      </c>
      <c r="FD17" s="16">
        <v>4745414</v>
      </c>
      <c r="FE17" s="16">
        <v>36044562.571428575</v>
      </c>
      <c r="FF17" s="313">
        <v>11095000</v>
      </c>
      <c r="FG17" s="16">
        <v>11011257.142857142</v>
      </c>
      <c r="FH17" s="16">
        <v>14726400</v>
      </c>
      <c r="FI17" s="16">
        <v>250000</v>
      </c>
      <c r="FJ17" s="16">
        <v>0</v>
      </c>
      <c r="FK17" s="12">
        <v>25987657.142857142</v>
      </c>
      <c r="FL17" s="123">
        <v>0</v>
      </c>
      <c r="FM17" s="123">
        <v>17857.142857142855</v>
      </c>
      <c r="FN17" s="12">
        <v>11112857.142857142</v>
      </c>
      <c r="FO17" s="12">
        <v>-1055951.7142857129</v>
      </c>
      <c r="FP17" s="13">
        <v>-2.9295728369380564E-2</v>
      </c>
      <c r="FQ17" s="13">
        <v>9.998235883173956E-2</v>
      </c>
      <c r="FR17" s="16">
        <v>9109.346567411083</v>
      </c>
      <c r="FS17" s="13">
        <v>0.13371590455090254</v>
      </c>
      <c r="GS17" s="26">
        <v>9</v>
      </c>
      <c r="GT17" s="16">
        <v>72422</v>
      </c>
      <c r="GU17">
        <v>265</v>
      </c>
      <c r="GV17" s="16">
        <v>33300000</v>
      </c>
      <c r="GW17" s="16">
        <v>33919555.843317971</v>
      </c>
      <c r="GX17" s="35">
        <v>213324525.84331796</v>
      </c>
      <c r="GY17" s="313">
        <v>64750000</v>
      </c>
      <c r="GZ17" s="332">
        <v>128424500</v>
      </c>
      <c r="HA17" s="35">
        <v>65777500</v>
      </c>
      <c r="HB17" s="35">
        <v>19122525.843317959</v>
      </c>
      <c r="HC17" s="13">
        <v>8.9640540710087049E-2</v>
      </c>
      <c r="HD17" s="13">
        <v>0.11389335352520862</v>
      </c>
      <c r="HE17" s="16">
        <v>8771.3540084504712</v>
      </c>
      <c r="HF17" s="13">
        <v>8.8273862278606938E-2</v>
      </c>
      <c r="HG17" s="13"/>
      <c r="HH17" s="1">
        <f t="shared" si="0"/>
        <v>-31450000</v>
      </c>
      <c r="HI17" s="27">
        <f t="shared" si="1"/>
        <v>-0.94444444444444442</v>
      </c>
      <c r="HJ17" s="1">
        <f t="shared" si="2"/>
        <v>2469555.8433179706</v>
      </c>
      <c r="HK17" s="27">
        <f t="shared" si="3"/>
        <v>3.6738651607193855E-2</v>
      </c>
      <c r="JO17"/>
      <c r="JP17"/>
      <c r="JS17"/>
      <c r="JT17"/>
      <c r="JV17"/>
      <c r="JZ17"/>
      <c r="KA17"/>
      <c r="KN17" s="278" t="s">
        <v>163</v>
      </c>
      <c r="LV17" s="379"/>
      <c r="MI17">
        <v>0</v>
      </c>
      <c r="MJ17">
        <v>0</v>
      </c>
      <c r="MK17">
        <v>0</v>
      </c>
      <c r="ML17">
        <v>0</v>
      </c>
    </row>
    <row r="18" spans="2:350" ht="15" customHeight="1">
      <c r="B18" s="27">
        <f t="shared" si="4"/>
        <v>0.11389335352520862</v>
      </c>
      <c r="C18" s="27">
        <f t="shared" si="5"/>
        <v>8.8273862278606938E-2</v>
      </c>
      <c r="D18" s="1">
        <f t="shared" si="6"/>
        <v>211603.77358490563</v>
      </c>
      <c r="E18" s="278">
        <v>9</v>
      </c>
      <c r="F18" s="16">
        <v>72422</v>
      </c>
      <c r="G18">
        <v>265</v>
      </c>
      <c r="H18" s="16">
        <v>635239000</v>
      </c>
      <c r="I18" s="16">
        <v>146104970</v>
      </c>
      <c r="J18" s="16">
        <v>33300000</v>
      </c>
      <c r="K18" s="16">
        <v>33919555.843317971</v>
      </c>
      <c r="M18" s="16">
        <v>213324525.84331796</v>
      </c>
      <c r="N18" s="16">
        <v>72349500</v>
      </c>
      <c r="O18" s="16">
        <v>56074999.999999993</v>
      </c>
      <c r="P18" s="16">
        <v>0</v>
      </c>
      <c r="Q18" s="16"/>
      <c r="R18" s="16">
        <v>0</v>
      </c>
      <c r="S18"/>
      <c r="T18" s="12">
        <v>128424500</v>
      </c>
      <c r="U18" s="313">
        <v>64750000</v>
      </c>
      <c r="V18" s="16"/>
      <c r="W18" s="123">
        <v>700000</v>
      </c>
      <c r="X18" s="123">
        <v>327499.99999999994</v>
      </c>
      <c r="Y18" s="12">
        <v>65777500</v>
      </c>
      <c r="Z18" s="12">
        <v>19122525.843317959</v>
      </c>
      <c r="AA18" s="13">
        <v>8.9640540710087049E-2</v>
      </c>
      <c r="AB18" s="13">
        <v>0.11389335352520862</v>
      </c>
      <c r="AC18" s="16">
        <v>8771.3540084504712</v>
      </c>
      <c r="AD18" s="13">
        <v>8.8273862278606938E-2</v>
      </c>
      <c r="AF18" s="1">
        <f t="shared" si="7"/>
        <v>273.29056603773586</v>
      </c>
      <c r="AG18" s="16"/>
      <c r="BC18" s="16"/>
      <c r="BD18" s="16">
        <f t="shared" ref="BD18:BD19" si="10">AJ18/BF18</f>
        <v>0</v>
      </c>
      <c r="BE18" s="16">
        <f t="shared" ref="BE18:BE19" si="11">AI18/BF18</f>
        <v>0</v>
      </c>
      <c r="BF18" s="16">
        <v>243</v>
      </c>
      <c r="BG18" s="16"/>
      <c r="BJ18" s="278">
        <v>72026</v>
      </c>
      <c r="BK18">
        <v>197</v>
      </c>
      <c r="BN18">
        <v>197</v>
      </c>
      <c r="BZ18" s="278" t="s">
        <v>196</v>
      </c>
      <c r="CC18">
        <v>0</v>
      </c>
      <c r="CD18">
        <v>0</v>
      </c>
      <c r="CE18">
        <v>0</v>
      </c>
      <c r="CF18">
        <v>0</v>
      </c>
      <c r="CL18" s="26" t="s">
        <v>29</v>
      </c>
      <c r="CN18">
        <v>3</v>
      </c>
      <c r="CO18">
        <v>3</v>
      </c>
      <c r="CP18">
        <v>4</v>
      </c>
      <c r="EM18">
        <v>0</v>
      </c>
      <c r="EN18">
        <v>0</v>
      </c>
      <c r="EO18">
        <v>0</v>
      </c>
      <c r="EP18">
        <v>4</v>
      </c>
      <c r="EY18" s="337" t="s">
        <v>160</v>
      </c>
      <c r="EZ18" s="16">
        <v>18596</v>
      </c>
      <c r="FA18" s="16">
        <v>169212000</v>
      </c>
      <c r="FB18" s="16">
        <v>35534520</v>
      </c>
      <c r="FC18" s="16">
        <v>8091000</v>
      </c>
      <c r="FD18" s="16">
        <v>4985729</v>
      </c>
      <c r="FE18" s="16">
        <v>49161249</v>
      </c>
      <c r="FF18" s="313">
        <v>10920000</v>
      </c>
      <c r="FG18" s="16">
        <v>15315450</v>
      </c>
      <c r="FH18" s="16">
        <v>13495000</v>
      </c>
      <c r="FI18" s="16">
        <v>250000</v>
      </c>
      <c r="FJ18" s="16">
        <v>0</v>
      </c>
      <c r="FK18" s="12">
        <v>29060450</v>
      </c>
      <c r="FL18" s="123">
        <v>0</v>
      </c>
      <c r="FM18" s="123">
        <v>0</v>
      </c>
      <c r="FN18" s="12">
        <v>10920000</v>
      </c>
      <c r="FO18" s="12">
        <v>9180798.9999999963</v>
      </c>
      <c r="FP18" s="13">
        <v>0.18674869306107328</v>
      </c>
      <c r="FQ18" s="13">
        <v>9.0510424792567906E-2</v>
      </c>
      <c r="FR18" s="16">
        <v>9099.3762099376218</v>
      </c>
      <c r="FS18" s="13">
        <v>7.9752027042999316E-2</v>
      </c>
      <c r="GS18" s="26">
        <v>10</v>
      </c>
      <c r="GT18" s="16">
        <v>46482</v>
      </c>
      <c r="GU18">
        <v>293</v>
      </c>
      <c r="GV18" s="16">
        <v>35334000</v>
      </c>
      <c r="GW18" s="16">
        <v>35328867.903225802</v>
      </c>
      <c r="GX18" s="35">
        <v>165243007.90322581</v>
      </c>
      <c r="GY18" s="313">
        <v>69930000</v>
      </c>
      <c r="GZ18" s="332">
        <v>89862000</v>
      </c>
      <c r="HA18" s="35">
        <v>70225806</v>
      </c>
      <c r="HB18" s="35">
        <v>5155201.9032258093</v>
      </c>
      <c r="HC18" s="13">
        <v>3.1197700699353896E-2</v>
      </c>
      <c r="HD18" s="13">
        <v>0.11298629923787383</v>
      </c>
      <c r="HE18" s="16">
        <v>8846.8224258852897</v>
      </c>
      <c r="HF18" s="13">
        <v>0.10554012713451259</v>
      </c>
      <c r="HG18" s="13"/>
      <c r="HH18" s="1">
        <f t="shared" si="0"/>
        <v>-34596000</v>
      </c>
      <c r="HI18" s="27">
        <f t="shared" si="1"/>
        <v>-0.97911360163015793</v>
      </c>
      <c r="HJ18" s="1">
        <f t="shared" si="2"/>
        <v>732867.90322580934</v>
      </c>
      <c r="HK18" s="27">
        <f t="shared" si="3"/>
        <v>1.0371329737557304E-2</v>
      </c>
      <c r="JO18"/>
      <c r="JP18"/>
      <c r="JS18"/>
      <c r="JT18"/>
      <c r="JV18"/>
      <c r="JZ18"/>
      <c r="KA18"/>
      <c r="KN18" s="278" t="s">
        <v>164</v>
      </c>
      <c r="MI18">
        <v>0</v>
      </c>
      <c r="MJ18">
        <v>0</v>
      </c>
      <c r="MK18">
        <v>0</v>
      </c>
      <c r="ML18">
        <v>0</v>
      </c>
    </row>
    <row r="19" spans="2:350">
      <c r="B19" s="27">
        <f t="shared" si="4"/>
        <v>0.11298629923787383</v>
      </c>
      <c r="C19" s="27">
        <f t="shared" si="5"/>
        <v>0.10554012713451259</v>
      </c>
      <c r="D19" s="1">
        <f t="shared" si="6"/>
        <v>148122.86689419794</v>
      </c>
      <c r="E19" s="278">
        <v>10</v>
      </c>
      <c r="F19" s="16">
        <v>46482</v>
      </c>
      <c r="G19">
        <v>293</v>
      </c>
      <c r="H19" s="16">
        <v>411218000</v>
      </c>
      <c r="I19" s="16">
        <v>94580140</v>
      </c>
      <c r="J19" s="16">
        <v>35334000</v>
      </c>
      <c r="K19" s="16">
        <v>35328867.903225802</v>
      </c>
      <c r="M19" s="16">
        <v>165243007.90322581</v>
      </c>
      <c r="N19" s="16">
        <v>46462000</v>
      </c>
      <c r="O19" s="16">
        <v>43400000</v>
      </c>
      <c r="P19" s="16">
        <v>0</v>
      </c>
      <c r="Q19" s="16"/>
      <c r="R19" s="16">
        <v>0</v>
      </c>
      <c r="S19"/>
      <c r="T19" s="12">
        <v>89862000</v>
      </c>
      <c r="U19" s="313">
        <v>69930000</v>
      </c>
      <c r="V19" s="16">
        <v>0</v>
      </c>
      <c r="W19" s="123">
        <v>0</v>
      </c>
      <c r="X19" s="123">
        <v>295806</v>
      </c>
      <c r="Y19" s="12">
        <v>70225806</v>
      </c>
      <c r="Z19" s="12">
        <v>5155201.9032258093</v>
      </c>
      <c r="AA19" s="13">
        <v>3.1197700699353896E-2</v>
      </c>
      <c r="AB19" s="13">
        <v>0.11298629923787383</v>
      </c>
      <c r="AC19" s="16">
        <v>8846.8224258852897</v>
      </c>
      <c r="AD19" s="13">
        <v>0.10554012713451259</v>
      </c>
      <c r="AF19" s="1">
        <f t="shared" si="7"/>
        <v>158.64163822525597</v>
      </c>
      <c r="AG19" s="16"/>
      <c r="BC19" s="16"/>
      <c r="BD19" s="16" t="e">
        <f t="shared" si="10"/>
        <v>#DIV/0!</v>
      </c>
      <c r="BE19" s="16" t="e">
        <f t="shared" si="11"/>
        <v>#DIV/0!</v>
      </c>
      <c r="BF19" s="16"/>
      <c r="BG19" s="16"/>
      <c r="BJ19" s="278">
        <v>112026</v>
      </c>
      <c r="BL19">
        <v>189</v>
      </c>
      <c r="BN19">
        <v>189</v>
      </c>
      <c r="BZ19" s="278" t="s">
        <v>29</v>
      </c>
      <c r="CC19">
        <v>0</v>
      </c>
      <c r="CD19">
        <v>0</v>
      </c>
      <c r="CE19">
        <v>0</v>
      </c>
      <c r="CF19">
        <v>0</v>
      </c>
      <c r="CL19" s="26" t="s">
        <v>23</v>
      </c>
      <c r="CM19">
        <v>237</v>
      </c>
      <c r="CN19">
        <v>257</v>
      </c>
      <c r="CO19">
        <v>256</v>
      </c>
      <c r="CP19">
        <v>255</v>
      </c>
      <c r="CQ19">
        <v>250</v>
      </c>
      <c r="EM19">
        <v>0</v>
      </c>
      <c r="EN19">
        <v>0</v>
      </c>
      <c r="EO19">
        <v>0</v>
      </c>
      <c r="EP19">
        <v>257</v>
      </c>
      <c r="EY19" s="337" t="s">
        <v>161</v>
      </c>
      <c r="EZ19" s="16">
        <v>22519</v>
      </c>
      <c r="FA19" s="16">
        <v>203670000</v>
      </c>
      <c r="FB19" s="16">
        <v>42770700</v>
      </c>
      <c r="FC19" s="16">
        <v>6996857.1428571427</v>
      </c>
      <c r="FD19" s="16">
        <v>5473714</v>
      </c>
      <c r="FE19" s="16">
        <v>55691271.142857149</v>
      </c>
      <c r="FF19" s="313">
        <v>13710000</v>
      </c>
      <c r="FG19" s="16">
        <v>18303621.428571429</v>
      </c>
      <c r="FH19" s="16">
        <v>6387857.1428571427</v>
      </c>
      <c r="FI19" s="16">
        <v>3068571.4285714286</v>
      </c>
      <c r="FJ19" s="16">
        <v>0</v>
      </c>
      <c r="FK19" s="12">
        <v>27760050</v>
      </c>
      <c r="FL19" s="123">
        <v>0</v>
      </c>
      <c r="FM19" s="123">
        <v>0</v>
      </c>
      <c r="FN19" s="12">
        <v>13710000</v>
      </c>
      <c r="FO19" s="12">
        <v>14221221.142857146</v>
      </c>
      <c r="FP19" s="13">
        <v>0.25535817105659891</v>
      </c>
      <c r="FQ19" s="13">
        <v>8.9869010794773066E-2</v>
      </c>
      <c r="FR19" s="16">
        <v>9044.3625383009894</v>
      </c>
      <c r="FS19" s="13">
        <v>3.1363760705342678E-2</v>
      </c>
      <c r="GS19" s="26">
        <v>11</v>
      </c>
      <c r="GT19" s="16">
        <v>53003</v>
      </c>
      <c r="GU19">
        <v>279</v>
      </c>
      <c r="GV19" s="16">
        <v>33822000</v>
      </c>
      <c r="GW19" s="16">
        <v>35328867.903225802</v>
      </c>
      <c r="GX19" s="35">
        <v>177007527.90322581</v>
      </c>
      <c r="GY19" s="313">
        <v>65765000</v>
      </c>
      <c r="GZ19" s="332">
        <v>101276000</v>
      </c>
      <c r="HA19" s="35">
        <v>66760806</v>
      </c>
      <c r="HB19" s="35">
        <v>8970721.9032258093</v>
      </c>
      <c r="HC19" s="13">
        <v>5.0679889208612161E-2</v>
      </c>
      <c r="HD19" s="13">
        <v>0.11296919448460577</v>
      </c>
      <c r="HE19" s="16">
        <v>8847.4614644454086</v>
      </c>
      <c r="HF19" s="13">
        <v>0.10299781209616542</v>
      </c>
      <c r="HG19" s="13"/>
      <c r="HH19" s="1">
        <f t="shared" si="0"/>
        <v>-31943000</v>
      </c>
      <c r="HI19" s="27">
        <f t="shared" si="1"/>
        <v>-0.94444444444444442</v>
      </c>
      <c r="HJ19" s="1">
        <f t="shared" si="2"/>
        <v>3385867.9032258093</v>
      </c>
      <c r="HK19" s="27">
        <f t="shared" si="3"/>
        <v>4.8963491072363856E-2</v>
      </c>
      <c r="JO19"/>
      <c r="JP19"/>
      <c r="JS19"/>
      <c r="JT19"/>
      <c r="JV19"/>
      <c r="JZ19"/>
      <c r="KA19"/>
      <c r="KN19" s="278" t="s">
        <v>165</v>
      </c>
      <c r="MI19">
        <v>0</v>
      </c>
      <c r="MJ19">
        <v>0</v>
      </c>
      <c r="MK19">
        <v>0</v>
      </c>
      <c r="ML19">
        <v>0</v>
      </c>
    </row>
    <row r="20" spans="2:350">
      <c r="B20" s="27">
        <f t="shared" si="4"/>
        <v>0.11296919448460577</v>
      </c>
      <c r="C20" s="27">
        <f t="shared" si="5"/>
        <v>0.10299781209616542</v>
      </c>
      <c r="D20" s="1">
        <f t="shared" si="6"/>
        <v>173118.27956989247</v>
      </c>
      <c r="E20" s="278">
        <v>11</v>
      </c>
      <c r="F20" s="16">
        <v>53003</v>
      </c>
      <c r="G20">
        <v>279</v>
      </c>
      <c r="H20" s="16">
        <v>468942000</v>
      </c>
      <c r="I20" s="16">
        <v>107856660</v>
      </c>
      <c r="J20" s="16">
        <v>33822000</v>
      </c>
      <c r="K20" s="16">
        <v>35328867.903225802</v>
      </c>
      <c r="M20" s="16">
        <v>177007527.90322581</v>
      </c>
      <c r="N20" s="16">
        <v>52976000</v>
      </c>
      <c r="O20" s="16">
        <v>48300000</v>
      </c>
      <c r="P20" s="16">
        <v>0</v>
      </c>
      <c r="Q20" s="16"/>
      <c r="R20" s="16">
        <v>0</v>
      </c>
      <c r="S20"/>
      <c r="T20" s="12">
        <v>101276000</v>
      </c>
      <c r="U20" s="313">
        <v>65765000</v>
      </c>
      <c r="V20" s="16">
        <v>0</v>
      </c>
      <c r="W20" s="123">
        <v>700000</v>
      </c>
      <c r="X20" s="123">
        <v>295806</v>
      </c>
      <c r="Y20" s="12">
        <v>66760806</v>
      </c>
      <c r="Z20" s="12">
        <v>8970721.9032258093</v>
      </c>
      <c r="AA20" s="13">
        <v>5.0679889208612161E-2</v>
      </c>
      <c r="AB20" s="13">
        <v>0.11296919448460577</v>
      </c>
      <c r="AC20" s="16">
        <v>8847.4614644454086</v>
      </c>
      <c r="AD20" s="13">
        <v>0.10299781209616542</v>
      </c>
      <c r="AF20" s="1">
        <f t="shared" si="7"/>
        <v>189.97491039426524</v>
      </c>
      <c r="AG20" s="16"/>
      <c r="AK20" s="16">
        <v>25000</v>
      </c>
      <c r="AL20" s="16">
        <v>37000</v>
      </c>
      <c r="BC20" s="81"/>
      <c r="BD20" s="81"/>
      <c r="BE20" s="81"/>
      <c r="BF20" s="81"/>
      <c r="BG20" s="81"/>
      <c r="BJ20" s="26" t="s">
        <v>279</v>
      </c>
      <c r="BK20">
        <v>193</v>
      </c>
      <c r="BL20">
        <v>174</v>
      </c>
      <c r="BN20">
        <v>367</v>
      </c>
      <c r="BZ20" s="278" t="s">
        <v>23</v>
      </c>
      <c r="CC20">
        <v>0</v>
      </c>
      <c r="CD20">
        <v>0</v>
      </c>
      <c r="CE20">
        <v>0</v>
      </c>
      <c r="CF20">
        <v>0</v>
      </c>
      <c r="CL20" s="26" t="s">
        <v>172</v>
      </c>
      <c r="CM20">
        <v>19</v>
      </c>
      <c r="CN20">
        <v>19</v>
      </c>
      <c r="CO20">
        <v>20</v>
      </c>
      <c r="CP20">
        <v>28</v>
      </c>
      <c r="CQ20">
        <v>31</v>
      </c>
      <c r="EM20">
        <v>0</v>
      </c>
      <c r="EN20">
        <v>0</v>
      </c>
      <c r="EO20">
        <v>0</v>
      </c>
      <c r="EP20">
        <v>31</v>
      </c>
      <c r="EY20" s="337" t="s">
        <v>156</v>
      </c>
      <c r="EZ20" s="16">
        <v>16069</v>
      </c>
      <c r="FA20" s="16">
        <v>136510000</v>
      </c>
      <c r="FB20" s="16">
        <v>33408000</v>
      </c>
      <c r="FC20" s="16">
        <v>9328142.8571428563</v>
      </c>
      <c r="FD20" s="16">
        <v>1234286</v>
      </c>
      <c r="FE20" s="16">
        <v>44070428.857142858</v>
      </c>
      <c r="FF20" s="313">
        <v>11245000</v>
      </c>
      <c r="FG20" s="16">
        <v>13114528.571428571</v>
      </c>
      <c r="FH20" s="16">
        <v>10584642.857142856</v>
      </c>
      <c r="FI20" s="16">
        <v>1191428.5714285714</v>
      </c>
      <c r="FJ20" s="16">
        <v>200000</v>
      </c>
      <c r="FK20" s="12">
        <v>25090600</v>
      </c>
      <c r="FL20" s="123">
        <v>0</v>
      </c>
      <c r="FM20" s="123">
        <v>0</v>
      </c>
      <c r="FN20" s="12">
        <v>11245000</v>
      </c>
      <c r="FO20" s="12">
        <v>7734828.8571428573</v>
      </c>
      <c r="FP20" s="13">
        <v>0.1755106328149382</v>
      </c>
      <c r="FQ20" s="13">
        <v>9.6070094289272365E-2</v>
      </c>
      <c r="FR20" s="16">
        <v>8495.2392806024018</v>
      </c>
      <c r="FS20" s="13">
        <v>7.7537490712349694E-2</v>
      </c>
      <c r="GS20" s="26">
        <v>12</v>
      </c>
      <c r="GT20" s="16">
        <v>56718</v>
      </c>
      <c r="GU20">
        <v>278</v>
      </c>
      <c r="GV20" s="16">
        <v>33300000</v>
      </c>
      <c r="GW20" s="16">
        <v>35328867.903225802</v>
      </c>
      <c r="GX20" s="35">
        <v>183979617.90322581</v>
      </c>
      <c r="GY20" s="313">
        <v>64750000</v>
      </c>
      <c r="GZ20" s="332">
        <v>107999500</v>
      </c>
      <c r="HA20" s="35">
        <v>65744903</v>
      </c>
      <c r="HB20" s="35">
        <v>10235214.903225809</v>
      </c>
      <c r="HC20" s="13">
        <v>5.5632330471572039E-2</v>
      </c>
      <c r="HD20" s="13">
        <v>0.11305418473655351</v>
      </c>
      <c r="HE20" s="16">
        <v>8842.4309742938749</v>
      </c>
      <c r="HF20" s="13">
        <v>0.10228802153432032</v>
      </c>
      <c r="HG20" s="13"/>
      <c r="HH20" s="1">
        <f t="shared" si="0"/>
        <v>-31450000</v>
      </c>
      <c r="HI20" s="27">
        <f t="shared" si="1"/>
        <v>-0.94444444444444442</v>
      </c>
      <c r="HJ20" s="1">
        <f t="shared" si="2"/>
        <v>3878867.9032258093</v>
      </c>
      <c r="HK20" s="27">
        <f t="shared" si="3"/>
        <v>5.651947965534615E-2</v>
      </c>
      <c r="JO20"/>
      <c r="JP20"/>
      <c r="JS20"/>
      <c r="JT20"/>
      <c r="JV20"/>
      <c r="JZ20"/>
      <c r="KA20"/>
      <c r="KN20" s="278" t="s">
        <v>36</v>
      </c>
      <c r="MI20">
        <v>0</v>
      </c>
      <c r="MJ20">
        <v>0</v>
      </c>
      <c r="MK20">
        <v>0</v>
      </c>
      <c r="ML20">
        <v>0</v>
      </c>
    </row>
    <row r="21" spans="2:350">
      <c r="B21" s="27">
        <f t="shared" si="4"/>
        <v>0.11305418473655351</v>
      </c>
      <c r="C21" s="27">
        <f t="shared" si="5"/>
        <v>0.10228802153432032</v>
      </c>
      <c r="D21" s="1">
        <f t="shared" si="6"/>
        <v>184532.37410071943</v>
      </c>
      <c r="E21" s="278">
        <v>12</v>
      </c>
      <c r="F21" s="16">
        <v>56718</v>
      </c>
      <c r="G21">
        <v>278</v>
      </c>
      <c r="H21" s="16">
        <v>501525000</v>
      </c>
      <c r="I21" s="16">
        <v>115350750</v>
      </c>
      <c r="J21" s="16">
        <v>33300000</v>
      </c>
      <c r="K21" s="16">
        <v>35328867.903225802</v>
      </c>
      <c r="M21" s="16">
        <v>183979617.90322581</v>
      </c>
      <c r="N21" s="16">
        <v>56699500</v>
      </c>
      <c r="O21" s="16">
        <v>51300000</v>
      </c>
      <c r="P21" s="16">
        <v>0</v>
      </c>
      <c r="Q21" s="16"/>
      <c r="R21" s="16">
        <v>0</v>
      </c>
      <c r="S21"/>
      <c r="T21" s="12">
        <v>107999500</v>
      </c>
      <c r="U21" s="313">
        <v>64750000</v>
      </c>
      <c r="V21" s="16">
        <v>0</v>
      </c>
      <c r="W21" s="123">
        <v>700000</v>
      </c>
      <c r="X21" s="123">
        <v>294903</v>
      </c>
      <c r="Y21" s="12">
        <v>65744903</v>
      </c>
      <c r="Z21" s="12">
        <v>10235214.903225809</v>
      </c>
      <c r="AA21" s="13">
        <v>5.5632330471572039E-2</v>
      </c>
      <c r="AB21" s="13">
        <v>0.11305418473655351</v>
      </c>
      <c r="AC21" s="16">
        <v>8842.4309742938749</v>
      </c>
      <c r="AD21" s="13">
        <v>0.10228802153432032</v>
      </c>
      <c r="AF21" s="1">
        <f t="shared" si="7"/>
        <v>204.02158273381295</v>
      </c>
      <c r="AG21" s="16"/>
      <c r="BC21" s="16"/>
      <c r="BD21" s="16">
        <f t="shared" ref="BD21:BD30" si="12">AJ21/BF21</f>
        <v>0</v>
      </c>
      <c r="BE21" s="16">
        <f t="shared" ref="BE21:BE30" si="13">AI21/BF21</f>
        <v>0</v>
      </c>
      <c r="BF21" s="16">
        <v>31</v>
      </c>
      <c r="BG21" s="16"/>
      <c r="BJ21" s="278">
        <v>82026</v>
      </c>
      <c r="BK21">
        <v>193</v>
      </c>
      <c r="BN21">
        <v>193</v>
      </c>
      <c r="BZ21" s="278" t="s">
        <v>172</v>
      </c>
      <c r="CC21">
        <v>0</v>
      </c>
      <c r="CD21">
        <v>0</v>
      </c>
      <c r="CE21">
        <v>0</v>
      </c>
      <c r="CF21">
        <v>0</v>
      </c>
      <c r="CL21" s="26" t="s">
        <v>205</v>
      </c>
      <c r="EM21">
        <v>0</v>
      </c>
      <c r="EN21">
        <v>0</v>
      </c>
      <c r="EO21">
        <v>0</v>
      </c>
      <c r="EP21">
        <v>0</v>
      </c>
      <c r="EY21" s="337" t="s">
        <v>162</v>
      </c>
      <c r="EZ21" s="16">
        <v>19786</v>
      </c>
      <c r="FA21" s="16">
        <v>177370000</v>
      </c>
      <c r="FB21" s="16">
        <v>46116200</v>
      </c>
      <c r="FC21" s="16">
        <v>14650000</v>
      </c>
      <c r="FD21" s="16">
        <v>0</v>
      </c>
      <c r="FE21" s="16">
        <v>61091200</v>
      </c>
      <c r="FF21" s="313">
        <v>17675000</v>
      </c>
      <c r="FG21" s="16">
        <v>16254540</v>
      </c>
      <c r="FH21" s="16">
        <v>17377500</v>
      </c>
      <c r="FI21" s="16">
        <v>0</v>
      </c>
      <c r="FJ21" s="16">
        <v>0</v>
      </c>
      <c r="FK21" s="12">
        <v>33632040</v>
      </c>
      <c r="FL21" s="123">
        <v>3000000</v>
      </c>
      <c r="FM21" s="123">
        <v>0</v>
      </c>
      <c r="FN21" s="12">
        <v>20675000</v>
      </c>
      <c r="FO21" s="12">
        <v>6784160</v>
      </c>
      <c r="FP21" s="13">
        <v>0.11104970928709863</v>
      </c>
      <c r="FQ21" s="13">
        <v>9.1641991317584715E-2</v>
      </c>
      <c r="FR21" s="16">
        <v>8964.4192863640965</v>
      </c>
      <c r="FS21" s="13">
        <v>9.797316344364887E-2</v>
      </c>
      <c r="GS21" s="26">
        <v>13</v>
      </c>
      <c r="GT21" s="16">
        <v>25930</v>
      </c>
      <c r="GU21">
        <v>262</v>
      </c>
      <c r="GV21" s="16">
        <v>14112000</v>
      </c>
      <c r="GW21" s="16">
        <v>15140943.387096774</v>
      </c>
      <c r="GX21" s="35">
        <v>82057953.387096778</v>
      </c>
      <c r="GY21" s="313">
        <v>27510000</v>
      </c>
      <c r="GZ21" s="332">
        <v>72140500</v>
      </c>
      <c r="HA21" s="35">
        <v>27936774</v>
      </c>
      <c r="HB21" s="35">
        <v>-18019320.612903222</v>
      </c>
      <c r="HC21" s="13">
        <v>-0.21959261557377172</v>
      </c>
      <c r="HD21" s="13">
        <v>0.11287877797958944</v>
      </c>
      <c r="HE21" s="16">
        <v>8854.1072117238728</v>
      </c>
      <c r="HF21" s="13">
        <v>9.4299764359480287E-2</v>
      </c>
      <c r="HG21" s="13"/>
      <c r="HH21" s="1">
        <f t="shared" si="0"/>
        <v>-13398000</v>
      </c>
      <c r="HI21" s="27">
        <f t="shared" si="1"/>
        <v>-0.94940476190476186</v>
      </c>
      <c r="HJ21" s="1">
        <f t="shared" si="2"/>
        <v>1742943.3870967738</v>
      </c>
      <c r="HK21" s="27">
        <f t="shared" si="3"/>
        <v>5.9581812470384479E-2</v>
      </c>
      <c r="JO21"/>
      <c r="JP21"/>
      <c r="JS21"/>
      <c r="JT21"/>
      <c r="JV21"/>
      <c r="JZ21"/>
      <c r="KA21"/>
      <c r="KN21" s="278" t="s">
        <v>166</v>
      </c>
      <c r="MI21">
        <v>0</v>
      </c>
      <c r="MJ21">
        <v>0</v>
      </c>
      <c r="MK21">
        <v>0</v>
      </c>
      <c r="ML21">
        <v>0</v>
      </c>
    </row>
    <row r="22" spans="2:350">
      <c r="B22" s="27">
        <f t="shared" si="4"/>
        <v>0.11287877797958944</v>
      </c>
      <c r="C22" s="27">
        <f t="shared" si="5"/>
        <v>9.4299764359480287E-2</v>
      </c>
      <c r="D22" s="1">
        <f t="shared" si="6"/>
        <v>82633.587786259537</v>
      </c>
      <c r="E22" s="278">
        <v>13</v>
      </c>
      <c r="F22" s="16">
        <v>25930</v>
      </c>
      <c r="G22">
        <v>262</v>
      </c>
      <c r="H22" s="16">
        <v>229587000</v>
      </c>
      <c r="I22" s="16">
        <v>52805010</v>
      </c>
      <c r="J22" s="16">
        <v>14112000</v>
      </c>
      <c r="K22" s="16">
        <v>15140943.387096774</v>
      </c>
      <c r="M22" s="16">
        <v>82057953.387096778</v>
      </c>
      <c r="N22" s="16">
        <v>25915500</v>
      </c>
      <c r="O22" s="16">
        <v>21650000</v>
      </c>
      <c r="P22" s="16">
        <v>24375000</v>
      </c>
      <c r="Q22" s="16"/>
      <c r="R22" s="16">
        <v>200000</v>
      </c>
      <c r="S22"/>
      <c r="T22" s="12">
        <v>72140500</v>
      </c>
      <c r="U22" s="313">
        <v>27510000</v>
      </c>
      <c r="V22" s="16">
        <v>0</v>
      </c>
      <c r="W22" s="123">
        <v>300000</v>
      </c>
      <c r="X22" s="123">
        <v>126774</v>
      </c>
      <c r="Y22" s="12">
        <v>27936774</v>
      </c>
      <c r="Z22" s="12">
        <v>-18019320.612903222</v>
      </c>
      <c r="AA22" s="13">
        <v>-0.21959261557377172</v>
      </c>
      <c r="AB22" s="13">
        <v>0.11287877797958944</v>
      </c>
      <c r="AC22" s="16">
        <v>8854.1072117238728</v>
      </c>
      <c r="AD22" s="13">
        <v>9.4299764359480287E-2</v>
      </c>
      <c r="AF22" s="1">
        <f t="shared" si="7"/>
        <v>98.969465648854964</v>
      </c>
      <c r="AG22" s="16"/>
      <c r="BC22" s="16"/>
      <c r="BD22" s="16">
        <f t="shared" si="12"/>
        <v>0</v>
      </c>
      <c r="BE22" s="16">
        <f t="shared" si="13"/>
        <v>0</v>
      </c>
      <c r="BF22" s="16">
        <v>33</v>
      </c>
      <c r="BG22" s="16"/>
      <c r="BJ22" s="278">
        <v>122026</v>
      </c>
      <c r="BL22">
        <v>174</v>
      </c>
      <c r="BN22">
        <v>174</v>
      </c>
      <c r="BZ22" s="278" t="s">
        <v>205</v>
      </c>
      <c r="CC22">
        <v>0</v>
      </c>
      <c r="CD22">
        <v>0</v>
      </c>
      <c r="CE22">
        <v>0</v>
      </c>
      <c r="CF22">
        <v>0</v>
      </c>
      <c r="CL22" s="26" t="s">
        <v>173</v>
      </c>
      <c r="CM22">
        <v>12</v>
      </c>
      <c r="CN22">
        <v>15</v>
      </c>
      <c r="CO22">
        <v>14</v>
      </c>
      <c r="CP22">
        <v>15</v>
      </c>
      <c r="CQ22">
        <v>17</v>
      </c>
      <c r="EM22">
        <v>0</v>
      </c>
      <c r="EN22">
        <v>0</v>
      </c>
      <c r="EO22">
        <v>0</v>
      </c>
      <c r="EP22">
        <v>17</v>
      </c>
      <c r="EY22" s="337" t="s">
        <v>163</v>
      </c>
      <c r="EZ22" s="16">
        <v>20561</v>
      </c>
      <c r="FA22" s="16">
        <v>184428000</v>
      </c>
      <c r="FB22" s="16">
        <v>47951280</v>
      </c>
      <c r="FC22" s="16">
        <v>16895000</v>
      </c>
      <c r="FD22" s="16">
        <v>0</v>
      </c>
      <c r="FE22" s="16">
        <v>65071280</v>
      </c>
      <c r="FF22" s="313">
        <v>19775000</v>
      </c>
      <c r="FG22" s="16">
        <v>16590320</v>
      </c>
      <c r="FH22" s="16">
        <v>21612500</v>
      </c>
      <c r="FI22" s="16">
        <v>0</v>
      </c>
      <c r="FJ22" s="16">
        <v>0</v>
      </c>
      <c r="FK22" s="12">
        <v>38202820</v>
      </c>
      <c r="FL22" s="123">
        <v>3300000</v>
      </c>
      <c r="FM22" s="123">
        <v>0</v>
      </c>
      <c r="FN22" s="12">
        <v>23075000</v>
      </c>
      <c r="FO22" s="12">
        <v>3793460</v>
      </c>
      <c r="FP22" s="13">
        <v>5.8296993696758385E-2</v>
      </c>
      <c r="FQ22" s="13">
        <v>8.995553820461101E-2</v>
      </c>
      <c r="FR22" s="16">
        <v>8969.7971888526827</v>
      </c>
      <c r="FS22" s="13">
        <v>0.11718665278591103</v>
      </c>
      <c r="GS22" s="26">
        <v>14</v>
      </c>
      <c r="GT22" s="16">
        <v>107045</v>
      </c>
      <c r="GU22">
        <v>253</v>
      </c>
      <c r="GV22" s="16">
        <v>52293433.045454547</v>
      </c>
      <c r="GW22" s="16">
        <v>52269865.274193548</v>
      </c>
      <c r="GX22" s="35">
        <v>321824748.31964809</v>
      </c>
      <c r="GY22" s="313">
        <v>97300000</v>
      </c>
      <c r="GZ22" s="332">
        <v>183050499.99999997</v>
      </c>
      <c r="HA22" s="35">
        <v>98295806</v>
      </c>
      <c r="HB22" s="35">
        <v>40478442.319648117</v>
      </c>
      <c r="HC22" s="13">
        <v>0.12577790406424386</v>
      </c>
      <c r="HD22" s="13">
        <v>0.11319479364608862</v>
      </c>
      <c r="HE22" s="16">
        <v>8824.4663459292824</v>
      </c>
      <c r="HF22" s="13">
        <v>8.0588387861721442E-2</v>
      </c>
      <c r="HG22" s="13"/>
      <c r="HH22" s="1">
        <f t="shared" si="0"/>
        <v>-45006566.954545453</v>
      </c>
      <c r="HI22" s="27">
        <f t="shared" si="1"/>
        <v>-0.86065427977208542</v>
      </c>
      <c r="HJ22" s="1">
        <f t="shared" si="2"/>
        <v>7263298.319648087</v>
      </c>
      <c r="HK22" s="27">
        <f t="shared" si="3"/>
        <v>6.9463171460451806E-2</v>
      </c>
      <c r="JO22"/>
      <c r="JP22"/>
      <c r="JS22"/>
      <c r="JT22"/>
      <c r="JV22"/>
      <c r="JZ22"/>
      <c r="KA22"/>
      <c r="KN22" s="26" t="s">
        <v>170</v>
      </c>
      <c r="MI22">
        <v>0</v>
      </c>
      <c r="MJ22">
        <v>0</v>
      </c>
      <c r="MK22">
        <v>0</v>
      </c>
      <c r="ML22">
        <v>0</v>
      </c>
    </row>
    <row r="23" spans="2:350">
      <c r="B23" s="27">
        <f t="shared" si="4"/>
        <v>0.11319479364608862</v>
      </c>
      <c r="C23" s="27">
        <f t="shared" si="5"/>
        <v>8.0588387861721442E-2</v>
      </c>
      <c r="D23" s="1">
        <f t="shared" si="6"/>
        <v>300889.32806324109</v>
      </c>
      <c r="E23" s="278">
        <v>14</v>
      </c>
      <c r="F23" s="16">
        <v>107045</v>
      </c>
      <c r="G23">
        <v>253</v>
      </c>
      <c r="H23" s="374">
        <v>944615000</v>
      </c>
      <c r="I23" s="16">
        <v>217261450</v>
      </c>
      <c r="J23" s="16">
        <v>52293433.045454547</v>
      </c>
      <c r="K23" s="16">
        <v>52269865.274193548</v>
      </c>
      <c r="M23" s="16">
        <v>321824748.31964809</v>
      </c>
      <c r="N23" s="16">
        <v>106925500</v>
      </c>
      <c r="O23" s="16">
        <v>76125000</v>
      </c>
      <c r="P23" s="16">
        <v>0</v>
      </c>
      <c r="Q23" s="16"/>
      <c r="R23" s="16">
        <v>0</v>
      </c>
      <c r="S23"/>
      <c r="T23" s="12">
        <v>183050499.99999997</v>
      </c>
      <c r="U23" s="313">
        <v>97300000</v>
      </c>
      <c r="V23" s="16">
        <v>0</v>
      </c>
      <c r="W23" s="123">
        <v>700000</v>
      </c>
      <c r="X23" s="123">
        <v>295806</v>
      </c>
      <c r="Y23" s="12">
        <v>98295806</v>
      </c>
      <c r="Z23" s="12">
        <v>40478442.319648117</v>
      </c>
      <c r="AA23" s="13">
        <v>0.12577790406424386</v>
      </c>
      <c r="AB23" s="13">
        <v>0.11319479364608862</v>
      </c>
      <c r="AC23" s="16">
        <v>8824.4663459292824</v>
      </c>
      <c r="AD23" s="13">
        <v>8.0588387861721442E-2</v>
      </c>
      <c r="AF23" s="1">
        <f t="shared" si="7"/>
        <v>423.102766798419</v>
      </c>
      <c r="AG23" s="16"/>
      <c r="BC23" s="16"/>
      <c r="BD23" s="16">
        <f t="shared" si="12"/>
        <v>0</v>
      </c>
      <c r="BE23" s="16">
        <f t="shared" si="13"/>
        <v>0</v>
      </c>
      <c r="BF23" s="16">
        <v>19</v>
      </c>
      <c r="BG23" s="16"/>
      <c r="BJ23" s="26" t="s">
        <v>280</v>
      </c>
      <c r="BK23">
        <v>186</v>
      </c>
      <c r="BL23">
        <v>177</v>
      </c>
      <c r="BN23">
        <v>363</v>
      </c>
      <c r="BZ23" s="278" t="s">
        <v>173</v>
      </c>
      <c r="CC23">
        <v>0</v>
      </c>
      <c r="CD23">
        <v>0</v>
      </c>
      <c r="CE23">
        <v>0</v>
      </c>
      <c r="CF23">
        <v>0</v>
      </c>
      <c r="CL23" s="26" t="s">
        <v>174</v>
      </c>
      <c r="CM23">
        <v>40</v>
      </c>
      <c r="CN23">
        <v>44</v>
      </c>
      <c r="CO23">
        <v>47</v>
      </c>
      <c r="CP23">
        <v>53</v>
      </c>
      <c r="CQ23">
        <v>50</v>
      </c>
      <c r="EM23">
        <v>0</v>
      </c>
      <c r="EN23">
        <v>0</v>
      </c>
      <c r="EO23">
        <v>0</v>
      </c>
      <c r="EP23">
        <v>53</v>
      </c>
      <c r="EY23" s="337" t="s">
        <v>164</v>
      </c>
      <c r="EZ23" s="16">
        <v>19967</v>
      </c>
      <c r="FA23" s="16">
        <v>176444000</v>
      </c>
      <c r="FB23" s="16">
        <v>45875440</v>
      </c>
      <c r="FC23" s="16">
        <v>16975000</v>
      </c>
      <c r="FD23" s="16">
        <v>0</v>
      </c>
      <c r="FE23" s="16">
        <v>63275440</v>
      </c>
      <c r="FF23" s="313">
        <v>20965000</v>
      </c>
      <c r="FG23" s="16">
        <v>15118220</v>
      </c>
      <c r="FH23" s="16">
        <v>27075000</v>
      </c>
      <c r="FI23" s="16">
        <v>0</v>
      </c>
      <c r="FJ23" s="16">
        <v>0</v>
      </c>
      <c r="FK23" s="12">
        <v>42193220</v>
      </c>
      <c r="FL23" s="123">
        <v>3040000</v>
      </c>
      <c r="FM23" s="123">
        <v>0</v>
      </c>
      <c r="FN23" s="12">
        <v>24005000</v>
      </c>
      <c r="FO23" s="12">
        <v>-2922780</v>
      </c>
      <c r="FP23" s="13">
        <v>-4.6191381679842922E-2</v>
      </c>
      <c r="FQ23" s="13">
        <v>8.568282287864705E-2</v>
      </c>
      <c r="FR23" s="16">
        <v>8836.7806881354227</v>
      </c>
      <c r="FS23" s="13">
        <v>0.15344811951667384</v>
      </c>
      <c r="GS23" s="26">
        <v>15</v>
      </c>
      <c r="GT23" s="16">
        <v>74419</v>
      </c>
      <c r="GU23">
        <v>242</v>
      </c>
      <c r="GV23" s="16">
        <v>30783169.900000002</v>
      </c>
      <c r="GW23" s="16">
        <v>30783169.900000002</v>
      </c>
      <c r="GX23" s="35">
        <v>211713559.80000001</v>
      </c>
      <c r="GY23" s="313">
        <v>56420000</v>
      </c>
      <c r="GZ23" s="332">
        <v>128840000</v>
      </c>
      <c r="HA23" s="35">
        <v>57415129</v>
      </c>
      <c r="HB23" s="35">
        <v>25458430.800000012</v>
      </c>
      <c r="HC23" s="13">
        <v>0.12024941068512519</v>
      </c>
      <c r="HD23" s="13">
        <v>0.11395282576660427</v>
      </c>
      <c r="HE23" s="16">
        <v>8772.1415229981594</v>
      </c>
      <c r="HF23" s="13">
        <v>8.3408137693125453E-2</v>
      </c>
      <c r="HG23" s="13"/>
      <c r="HH23" s="1">
        <f t="shared" si="0"/>
        <v>-25636830.099999998</v>
      </c>
      <c r="HI23" s="27">
        <f t="shared" si="1"/>
        <v>-0.8328196928153262</v>
      </c>
      <c r="HJ23" s="1">
        <f t="shared" si="2"/>
        <v>5146339.8000000045</v>
      </c>
      <c r="HK23" s="27">
        <f t="shared" si="3"/>
        <v>8.3590153592336902E-2</v>
      </c>
      <c r="JO23"/>
      <c r="JP23"/>
      <c r="JS23"/>
      <c r="JT23"/>
      <c r="JV23"/>
      <c r="JZ23"/>
      <c r="KA23"/>
      <c r="KN23" s="278" t="s">
        <v>21</v>
      </c>
      <c r="MI23">
        <v>0</v>
      </c>
      <c r="MJ23">
        <v>0</v>
      </c>
      <c r="MK23">
        <v>0</v>
      </c>
      <c r="ML23">
        <v>0</v>
      </c>
    </row>
    <row r="24" spans="2:350">
      <c r="B24" s="27">
        <f t="shared" si="4"/>
        <v>0.11395282576660427</v>
      </c>
      <c r="C24" s="27">
        <f t="shared" si="5"/>
        <v>8.3408137693125453E-2</v>
      </c>
      <c r="D24" s="1">
        <f t="shared" si="6"/>
        <v>225000</v>
      </c>
      <c r="E24" s="278">
        <v>15</v>
      </c>
      <c r="F24" s="16">
        <v>74419</v>
      </c>
      <c r="G24">
        <v>242</v>
      </c>
      <c r="H24" s="16">
        <v>652814000</v>
      </c>
      <c r="I24" s="16">
        <v>150147220</v>
      </c>
      <c r="J24" s="16">
        <v>30783169.900000002</v>
      </c>
      <c r="K24" s="16">
        <v>30783169.900000002</v>
      </c>
      <c r="M24" s="16">
        <v>211713559.80000001</v>
      </c>
      <c r="N24" s="16">
        <v>74390000</v>
      </c>
      <c r="O24" s="16">
        <v>54450000</v>
      </c>
      <c r="P24" s="16">
        <v>0</v>
      </c>
      <c r="Q24" s="16"/>
      <c r="R24" s="16">
        <v>0</v>
      </c>
      <c r="S24"/>
      <c r="T24" s="12">
        <v>128840000</v>
      </c>
      <c r="U24" s="313">
        <v>56420000</v>
      </c>
      <c r="V24" s="16">
        <v>0</v>
      </c>
      <c r="W24" s="123">
        <v>700000</v>
      </c>
      <c r="X24" s="123">
        <v>295129</v>
      </c>
      <c r="Y24" s="12">
        <v>57415129</v>
      </c>
      <c r="Z24" s="12">
        <v>25458430.800000012</v>
      </c>
      <c r="AA24" s="13">
        <v>0.12024941068512519</v>
      </c>
      <c r="AB24" s="13">
        <v>0.11395282576660427</v>
      </c>
      <c r="AC24" s="16">
        <v>8772.1415229981594</v>
      </c>
      <c r="AD24" s="13">
        <v>8.3408137693125453E-2</v>
      </c>
      <c r="AF24" s="1">
        <f t="shared" si="7"/>
        <v>307.51652892561981</v>
      </c>
      <c r="AG24" s="16"/>
      <c r="BC24" s="16"/>
      <c r="BD24" s="16">
        <f t="shared" si="12"/>
        <v>0</v>
      </c>
      <c r="BE24" s="16">
        <f t="shared" si="13"/>
        <v>0</v>
      </c>
      <c r="BF24" s="16">
        <v>23</v>
      </c>
      <c r="BG24" s="16"/>
      <c r="BJ24" s="278">
        <v>92026</v>
      </c>
      <c r="BK24">
        <v>186</v>
      </c>
      <c r="BN24">
        <v>186</v>
      </c>
      <c r="BZ24" s="278" t="s">
        <v>174</v>
      </c>
      <c r="CC24">
        <v>0</v>
      </c>
      <c r="CD24">
        <v>0</v>
      </c>
      <c r="CE24">
        <v>0</v>
      </c>
      <c r="CF24">
        <v>0</v>
      </c>
      <c r="CL24" s="26" t="s">
        <v>203</v>
      </c>
      <c r="EM24">
        <v>0</v>
      </c>
      <c r="EN24">
        <v>0</v>
      </c>
      <c r="EO24">
        <v>0</v>
      </c>
      <c r="EP24">
        <v>0</v>
      </c>
      <c r="EY24" s="337" t="s">
        <v>165</v>
      </c>
      <c r="EZ24" s="16">
        <v>12043</v>
      </c>
      <c r="FA24" s="16">
        <v>109228000</v>
      </c>
      <c r="FB24" s="16">
        <v>28399280</v>
      </c>
      <c r="FC24" s="16">
        <v>10500000</v>
      </c>
      <c r="FD24" s="16">
        <v>0</v>
      </c>
      <c r="FE24" s="16">
        <v>38949280</v>
      </c>
      <c r="FF24" s="313">
        <v>13230000</v>
      </c>
      <c r="FG24" s="16">
        <v>9263000</v>
      </c>
      <c r="FH24" s="16">
        <v>13050000</v>
      </c>
      <c r="FI24" s="16">
        <v>0</v>
      </c>
      <c r="FJ24" s="16">
        <v>0</v>
      </c>
      <c r="FK24" s="12">
        <v>22313000</v>
      </c>
      <c r="FL24" s="123">
        <v>3100000</v>
      </c>
      <c r="FM24" s="123">
        <v>0</v>
      </c>
      <c r="FN24" s="12">
        <v>16330000</v>
      </c>
      <c r="FO24" s="12">
        <v>306280</v>
      </c>
      <c r="FP24" s="13">
        <v>7.8635599939202976E-3</v>
      </c>
      <c r="FQ24" s="13">
        <v>8.4804262643278283E-2</v>
      </c>
      <c r="FR24" s="16">
        <v>9069.8330980652663</v>
      </c>
      <c r="FS24" s="13">
        <v>0.1194748599260263</v>
      </c>
      <c r="GS24" s="26">
        <v>16</v>
      </c>
      <c r="GT24" s="16">
        <v>78589</v>
      </c>
      <c r="GU24">
        <v>244</v>
      </c>
      <c r="GV24" s="16">
        <v>30783169.900000002</v>
      </c>
      <c r="GW24" s="16">
        <v>30783169.900000002</v>
      </c>
      <c r="GX24" s="35">
        <v>219798289.80000001</v>
      </c>
      <c r="GY24" s="313">
        <v>57575000</v>
      </c>
      <c r="GZ24" s="332">
        <v>135645500</v>
      </c>
      <c r="HA24" s="35">
        <v>58570129</v>
      </c>
      <c r="HB24" s="35">
        <v>25582660.800000012</v>
      </c>
      <c r="HC24" s="13">
        <v>0.11639153709193242</v>
      </c>
      <c r="HD24" s="13">
        <v>0.11420711809467052</v>
      </c>
      <c r="HE24" s="16">
        <v>8753.9604779294805</v>
      </c>
      <c r="HF24" s="13">
        <v>8.2962069291315693E-2</v>
      </c>
      <c r="HG24" s="13"/>
      <c r="HH24" s="1">
        <f t="shared" si="0"/>
        <v>-26791830.099999998</v>
      </c>
      <c r="HI24" s="27">
        <f t="shared" si="1"/>
        <v>-0.87034019521166972</v>
      </c>
      <c r="HJ24" s="1">
        <f t="shared" si="2"/>
        <v>3991339.8000000045</v>
      </c>
      <c r="HK24" s="27">
        <f t="shared" si="3"/>
        <v>6.482990239416514E-2</v>
      </c>
      <c r="JO24"/>
      <c r="JP24"/>
      <c r="JS24"/>
      <c r="JT24"/>
      <c r="JV24"/>
      <c r="JZ24"/>
      <c r="KA24"/>
      <c r="KN24" s="278" t="s">
        <v>158</v>
      </c>
      <c r="MI24">
        <v>0</v>
      </c>
      <c r="MJ24">
        <v>0</v>
      </c>
      <c r="MK24">
        <v>0</v>
      </c>
      <c r="ML24">
        <v>0</v>
      </c>
    </row>
    <row r="25" spans="2:350">
      <c r="B25" s="27">
        <f t="shared" si="4"/>
        <v>0.11420711809467052</v>
      </c>
      <c r="C25" s="27">
        <f t="shared" si="5"/>
        <v>8.2962069291315693E-2</v>
      </c>
      <c r="D25" s="1">
        <f t="shared" si="6"/>
        <v>233913.93442622951</v>
      </c>
      <c r="E25" s="278">
        <v>16</v>
      </c>
      <c r="F25" s="16">
        <v>78589</v>
      </c>
      <c r="G25">
        <v>244</v>
      </c>
      <c r="H25" s="16">
        <v>687965000</v>
      </c>
      <c r="I25" s="16">
        <v>158231950</v>
      </c>
      <c r="J25" s="16">
        <v>30783169.900000002</v>
      </c>
      <c r="K25" s="16">
        <v>30783169.900000002</v>
      </c>
      <c r="M25" s="16">
        <v>219798289.80000001</v>
      </c>
      <c r="N25" s="16">
        <v>78570500</v>
      </c>
      <c r="O25" s="16">
        <v>57075000</v>
      </c>
      <c r="P25" s="16">
        <v>0</v>
      </c>
      <c r="Q25" s="16"/>
      <c r="R25" s="16">
        <v>0</v>
      </c>
      <c r="S25"/>
      <c r="T25" s="12">
        <v>135645500</v>
      </c>
      <c r="U25" s="313">
        <v>57575000</v>
      </c>
      <c r="V25" s="16">
        <v>0</v>
      </c>
      <c r="W25" s="123">
        <v>700000</v>
      </c>
      <c r="X25" s="123">
        <v>295129</v>
      </c>
      <c r="Y25" s="12">
        <v>58570129</v>
      </c>
      <c r="Z25" s="12">
        <v>25582660.800000012</v>
      </c>
      <c r="AA25" s="13">
        <v>0.11639153709193242</v>
      </c>
      <c r="AB25" s="13">
        <v>0.11420711809467052</v>
      </c>
      <c r="AC25" s="16">
        <v>8753.9604779294805</v>
      </c>
      <c r="AD25" s="13">
        <v>8.2962069291315693E-2</v>
      </c>
      <c r="AF25" s="1">
        <f t="shared" si="7"/>
        <v>322.0860655737705</v>
      </c>
      <c r="AG25" s="16"/>
      <c r="BC25" s="16"/>
      <c r="BD25" s="16">
        <f t="shared" si="12"/>
        <v>0</v>
      </c>
      <c r="BE25" s="16">
        <f t="shared" si="13"/>
        <v>0</v>
      </c>
      <c r="BF25" s="16">
        <v>22</v>
      </c>
      <c r="BG25" s="16"/>
      <c r="BJ25" s="278">
        <v>132026</v>
      </c>
      <c r="BL25">
        <v>177</v>
      </c>
      <c r="BN25">
        <v>177</v>
      </c>
      <c r="BZ25" s="278" t="s">
        <v>203</v>
      </c>
      <c r="CC25">
        <v>0</v>
      </c>
      <c r="CD25">
        <v>0</v>
      </c>
      <c r="CE25">
        <v>0</v>
      </c>
      <c r="CF25">
        <v>0</v>
      </c>
      <c r="CL25" s="26" t="s">
        <v>175</v>
      </c>
      <c r="EM25">
        <v>0</v>
      </c>
      <c r="EN25">
        <v>0</v>
      </c>
      <c r="EO25">
        <v>0</v>
      </c>
      <c r="EP25">
        <v>0</v>
      </c>
      <c r="EY25" s="338" t="s">
        <v>36</v>
      </c>
      <c r="EZ25" s="81">
        <v>8924</v>
      </c>
      <c r="FA25" s="81">
        <v>80580000</v>
      </c>
      <c r="FB25" s="81">
        <v>20950800</v>
      </c>
      <c r="FC25" s="81">
        <v>7265000</v>
      </c>
      <c r="FD25" s="81">
        <v>0</v>
      </c>
      <c r="FE25" s="81">
        <v>28265800</v>
      </c>
      <c r="FF25" s="322">
        <v>9555000</v>
      </c>
      <c r="FG25" s="81">
        <v>7225140</v>
      </c>
      <c r="FH25" s="81">
        <v>10442360</v>
      </c>
      <c r="FI25" s="81">
        <v>0</v>
      </c>
      <c r="FJ25" s="81">
        <v>0</v>
      </c>
      <c r="FK25" s="246">
        <v>17667500</v>
      </c>
      <c r="FL25" s="310">
        <v>500000</v>
      </c>
      <c r="FM25" s="310">
        <v>0</v>
      </c>
      <c r="FN25" s="246">
        <v>10055000</v>
      </c>
      <c r="FO25" s="246">
        <v>543300</v>
      </c>
      <c r="FP25" s="244">
        <v>1.9221108194355015E-2</v>
      </c>
      <c r="FQ25" s="244">
        <v>8.966418466120625E-2</v>
      </c>
      <c r="FR25" s="81">
        <v>9029.5831465710435</v>
      </c>
      <c r="FS25" s="244">
        <v>0.12958997269793993</v>
      </c>
      <c r="GS25" s="26">
        <v>17</v>
      </c>
      <c r="GT25" s="16">
        <v>83695</v>
      </c>
      <c r="GU25">
        <v>253</v>
      </c>
      <c r="GV25" s="16">
        <v>30783169.900000002</v>
      </c>
      <c r="GW25" s="16">
        <v>30783169.900000002</v>
      </c>
      <c r="GX25" s="35">
        <v>229812949.80000001</v>
      </c>
      <c r="GY25" s="313">
        <v>59325000</v>
      </c>
      <c r="GZ25" s="332">
        <v>200928500</v>
      </c>
      <c r="HA25" s="35">
        <v>60770129</v>
      </c>
      <c r="HB25" s="35">
        <v>-31885679.199999988</v>
      </c>
      <c r="HC25" s="13">
        <v>-0.13874622482218357</v>
      </c>
      <c r="HD25" s="13">
        <v>0.11439193336495755</v>
      </c>
      <c r="HE25" s="16">
        <v>8740.1517414421414</v>
      </c>
      <c r="HF25" s="13">
        <v>8.4312248549911345E-2</v>
      </c>
      <c r="HG25" s="13"/>
      <c r="HH25" s="1">
        <f t="shared" si="0"/>
        <v>-28541830.099999998</v>
      </c>
      <c r="HI25" s="27">
        <f t="shared" si="1"/>
        <v>-0.92718944126673564</v>
      </c>
      <c r="HJ25" s="1">
        <f t="shared" si="2"/>
        <v>2241339.8000000045</v>
      </c>
      <c r="HK25" s="27">
        <f t="shared" si="3"/>
        <v>3.6405279366632161E-2</v>
      </c>
      <c r="JO25"/>
      <c r="JP25"/>
      <c r="JS25"/>
      <c r="JT25"/>
      <c r="JV25"/>
      <c r="JZ25"/>
      <c r="KA25"/>
      <c r="KN25" s="278" t="s">
        <v>159</v>
      </c>
      <c r="MI25">
        <v>0</v>
      </c>
      <c r="MJ25">
        <v>0</v>
      </c>
      <c r="MK25">
        <v>0</v>
      </c>
      <c r="ML25">
        <v>0</v>
      </c>
    </row>
    <row r="26" spans="2:350">
      <c r="B26" s="27">
        <f t="shared" si="4"/>
        <v>0.11439193336495755</v>
      </c>
      <c r="C26" s="27">
        <f t="shared" si="5"/>
        <v>8.4312248549911345E-2</v>
      </c>
      <c r="D26" s="1">
        <f t="shared" si="6"/>
        <v>243774.70355731226</v>
      </c>
      <c r="E26" s="278">
        <v>17</v>
      </c>
      <c r="F26" s="16">
        <v>83695</v>
      </c>
      <c r="G26">
        <v>253</v>
      </c>
      <c r="H26" s="16">
        <v>731507000</v>
      </c>
      <c r="I26" s="16">
        <v>168246610</v>
      </c>
      <c r="J26" s="16">
        <v>30783169.900000002</v>
      </c>
      <c r="K26" s="16">
        <v>30783169.900000002</v>
      </c>
      <c r="M26" s="16">
        <v>229812949.80000001</v>
      </c>
      <c r="N26" s="16">
        <v>83678500</v>
      </c>
      <c r="O26" s="16">
        <v>61675000</v>
      </c>
      <c r="P26" s="16">
        <v>49875000</v>
      </c>
      <c r="Q26" s="16">
        <v>1600000</v>
      </c>
      <c r="R26" s="16">
        <v>4100000</v>
      </c>
      <c r="S26"/>
      <c r="T26" s="12">
        <v>200928500</v>
      </c>
      <c r="U26" s="313">
        <v>59325000</v>
      </c>
      <c r="V26" s="16">
        <v>0</v>
      </c>
      <c r="W26" s="123">
        <v>1150000</v>
      </c>
      <c r="X26" s="123">
        <v>295129</v>
      </c>
      <c r="Y26" s="12">
        <v>60770129</v>
      </c>
      <c r="Z26" s="12">
        <v>-31885679.199999988</v>
      </c>
      <c r="AA26" s="13">
        <v>-0.13874622482218357</v>
      </c>
      <c r="AB26" s="13">
        <v>0.11439193336495755</v>
      </c>
      <c r="AC26" s="16">
        <v>8740.1517414421414</v>
      </c>
      <c r="AD26" s="13">
        <v>8.4312248549911345E-2</v>
      </c>
      <c r="AF26" s="1">
        <f t="shared" si="7"/>
        <v>330.81027667984188</v>
      </c>
      <c r="AG26" s="16"/>
      <c r="BC26" s="16"/>
      <c r="BD26" s="16">
        <f t="shared" si="12"/>
        <v>0</v>
      </c>
      <c r="BE26" s="16">
        <f t="shared" si="13"/>
        <v>0</v>
      </c>
      <c r="BF26" s="16">
        <v>20</v>
      </c>
      <c r="BG26" s="16"/>
      <c r="BJ26" s="11" t="s">
        <v>172</v>
      </c>
      <c r="BK26">
        <v>146</v>
      </c>
      <c r="BL26">
        <v>174</v>
      </c>
      <c r="BM26">
        <v>61</v>
      </c>
      <c r="BN26">
        <v>381</v>
      </c>
      <c r="BZ26" s="278" t="s">
        <v>175</v>
      </c>
      <c r="CC26">
        <v>0</v>
      </c>
      <c r="CD26">
        <v>0</v>
      </c>
      <c r="CE26">
        <v>0</v>
      </c>
      <c r="CF26">
        <v>0</v>
      </c>
      <c r="CL26" s="26" t="s">
        <v>200</v>
      </c>
      <c r="CP26">
        <v>1</v>
      </c>
      <c r="EM26">
        <v>0</v>
      </c>
      <c r="EN26">
        <v>0</v>
      </c>
      <c r="EO26">
        <v>0</v>
      </c>
      <c r="EP26">
        <v>1</v>
      </c>
      <c r="EY26" s="337" t="s">
        <v>166</v>
      </c>
      <c r="EZ26" s="16">
        <v>10300</v>
      </c>
      <c r="FA26" s="16">
        <v>92256000</v>
      </c>
      <c r="FB26" s="16">
        <v>23986560</v>
      </c>
      <c r="FC26" s="16">
        <v>9470000</v>
      </c>
      <c r="FD26" s="16">
        <v>0</v>
      </c>
      <c r="FE26" s="16">
        <v>33456560</v>
      </c>
      <c r="FF26" s="313">
        <v>12005000</v>
      </c>
      <c r="FG26" s="16">
        <v>7845300</v>
      </c>
      <c r="FH26" s="16">
        <v>12000000</v>
      </c>
      <c r="FI26" s="16">
        <v>0</v>
      </c>
      <c r="FJ26" s="16">
        <v>0</v>
      </c>
      <c r="FK26" s="12">
        <v>19845300</v>
      </c>
      <c r="FL26" s="123">
        <v>0</v>
      </c>
      <c r="FM26" s="123">
        <v>0</v>
      </c>
      <c r="FN26" s="12">
        <v>12005000</v>
      </c>
      <c r="FO26" s="12">
        <v>1606260</v>
      </c>
      <c r="FP26" s="13">
        <v>4.8010315465786081E-2</v>
      </c>
      <c r="FQ26" s="13">
        <v>8.5038371488033296E-2</v>
      </c>
      <c r="FR26" s="16">
        <v>8956.8932038834955</v>
      </c>
      <c r="FS26" s="13">
        <v>0.13007284079084286</v>
      </c>
      <c r="GS26" s="26">
        <v>18</v>
      </c>
      <c r="GT26" s="16">
        <v>97549</v>
      </c>
      <c r="GU26">
        <v>245</v>
      </c>
      <c r="GV26" s="16">
        <v>35662382.799999997</v>
      </c>
      <c r="GW26" s="16">
        <v>37076244.606451616</v>
      </c>
      <c r="GX26" s="35">
        <v>268777057.40645158</v>
      </c>
      <c r="GY26" s="313">
        <v>70280000</v>
      </c>
      <c r="GZ26" s="332">
        <v>164847500</v>
      </c>
      <c r="HA26" s="35">
        <v>72225129</v>
      </c>
      <c r="HB26" s="35">
        <v>31704428.406451613</v>
      </c>
      <c r="HC26" s="13">
        <v>0.11795809029379825</v>
      </c>
      <c r="HD26" s="13">
        <v>0.11638241032638345</v>
      </c>
      <c r="HE26" s="16">
        <v>8737.5677864457866</v>
      </c>
      <c r="HF26" s="13">
        <v>7.7023163264468092E-2</v>
      </c>
      <c r="HG26" s="13"/>
      <c r="HH26" s="1">
        <f t="shared" si="0"/>
        <v>-34617617.200000003</v>
      </c>
      <c r="HI26" s="27">
        <f t="shared" si="1"/>
        <v>-0.97070398784458134</v>
      </c>
      <c r="HJ26" s="1">
        <f t="shared" si="2"/>
        <v>2458627.4064516127</v>
      </c>
      <c r="HK26" s="27">
        <f t="shared" si="3"/>
        <v>3.380084961891297E-2</v>
      </c>
      <c r="JO26"/>
      <c r="JP26"/>
      <c r="JS26"/>
      <c r="JT26"/>
      <c r="JV26"/>
      <c r="JZ26"/>
      <c r="KA26"/>
      <c r="KN26" s="278" t="s">
        <v>160</v>
      </c>
      <c r="MI26">
        <v>0</v>
      </c>
      <c r="MJ26">
        <v>0</v>
      </c>
      <c r="MK26">
        <v>0</v>
      </c>
      <c r="ML26">
        <v>0</v>
      </c>
    </row>
    <row r="27" spans="2:350">
      <c r="B27" s="27">
        <f t="shared" si="4"/>
        <v>0.11638241032638345</v>
      </c>
      <c r="C27" s="27">
        <f t="shared" si="5"/>
        <v>7.7023163264468092E-2</v>
      </c>
      <c r="D27" s="1">
        <f t="shared" si="6"/>
        <v>267959.18367346941</v>
      </c>
      <c r="E27" s="278">
        <v>18</v>
      </c>
      <c r="F27" s="16">
        <v>97549</v>
      </c>
      <c r="G27">
        <v>245</v>
      </c>
      <c r="H27" s="16">
        <v>852341000</v>
      </c>
      <c r="I27" s="16">
        <v>196038430</v>
      </c>
      <c r="J27" s="16">
        <v>35662382.799999997</v>
      </c>
      <c r="K27" s="16">
        <v>37076244.606451616</v>
      </c>
      <c r="M27" s="16">
        <v>268777057.40645158</v>
      </c>
      <c r="N27" s="16">
        <v>99197500</v>
      </c>
      <c r="O27" s="16">
        <v>65650000</v>
      </c>
      <c r="P27" s="16">
        <v>0</v>
      </c>
      <c r="Q27" s="16"/>
      <c r="R27" s="16">
        <v>0</v>
      </c>
      <c r="S27"/>
      <c r="T27" s="12">
        <v>164847500</v>
      </c>
      <c r="U27" s="313">
        <v>70280000</v>
      </c>
      <c r="V27" s="16">
        <v>0</v>
      </c>
      <c r="W27" s="123">
        <v>1650000</v>
      </c>
      <c r="X27" s="123">
        <v>295129</v>
      </c>
      <c r="Y27" s="12">
        <v>72225129</v>
      </c>
      <c r="Z27" s="12">
        <v>31704428.406451613</v>
      </c>
      <c r="AA27" s="13">
        <v>0.11795809029379825</v>
      </c>
      <c r="AB27" s="13">
        <v>0.11638241032638345</v>
      </c>
      <c r="AC27" s="16">
        <v>8737.5677864457866</v>
      </c>
      <c r="AD27" s="13">
        <v>7.7023163264468092E-2</v>
      </c>
      <c r="AF27" s="1">
        <f t="shared" si="7"/>
        <v>398.15918367346939</v>
      </c>
      <c r="AG27" s="16"/>
      <c r="BC27" s="16"/>
      <c r="BD27" s="16">
        <f t="shared" si="12"/>
        <v>0</v>
      </c>
      <c r="BE27" s="16">
        <f t="shared" si="13"/>
        <v>0</v>
      </c>
      <c r="BF27" s="16">
        <v>22</v>
      </c>
      <c r="BG27" s="16"/>
      <c r="BJ27" s="26" t="s">
        <v>275</v>
      </c>
      <c r="BK27">
        <v>29</v>
      </c>
      <c r="BL27">
        <v>53</v>
      </c>
      <c r="BM27">
        <v>31</v>
      </c>
      <c r="BN27">
        <v>113</v>
      </c>
      <c r="BZ27" s="278" t="s">
        <v>200</v>
      </c>
      <c r="CC27">
        <v>0</v>
      </c>
      <c r="CD27">
        <v>0</v>
      </c>
      <c r="CE27">
        <v>0</v>
      </c>
      <c r="CF27">
        <v>0</v>
      </c>
      <c r="CL27" s="26" t="s">
        <v>176</v>
      </c>
      <c r="EM27">
        <v>0</v>
      </c>
      <c r="EN27">
        <v>0</v>
      </c>
      <c r="EO27">
        <v>0</v>
      </c>
      <c r="EP27">
        <v>0</v>
      </c>
      <c r="EY27" s="278" t="s">
        <v>174</v>
      </c>
      <c r="EZ27" s="16">
        <v>350312</v>
      </c>
      <c r="FA27" s="16">
        <v>3202609000</v>
      </c>
      <c r="FB27" s="16">
        <v>734879730</v>
      </c>
      <c r="FC27" s="16">
        <v>259116071.42857143</v>
      </c>
      <c r="FD27" s="16">
        <v>80855999</v>
      </c>
      <c r="FE27" s="16">
        <v>1091261000.4285712</v>
      </c>
      <c r="FF27" s="313">
        <v>372644957.14285713</v>
      </c>
      <c r="FG27" s="16">
        <v>285717465.71428573</v>
      </c>
      <c r="FH27" s="16">
        <v>413752142.85714287</v>
      </c>
      <c r="FI27" s="16">
        <v>25722801</v>
      </c>
      <c r="FJ27" s="16">
        <v>400000</v>
      </c>
      <c r="FK27" s="12">
        <v>725592409.57142854</v>
      </c>
      <c r="FL27" s="123">
        <v>34981666.666666664</v>
      </c>
      <c r="FM27" s="123">
        <v>564515</v>
      </c>
      <c r="FN27" s="12">
        <v>408191138.80952382</v>
      </c>
      <c r="FO27" s="12">
        <v>-42522547.95238094</v>
      </c>
      <c r="FP27" s="13">
        <v>-3.8966432352737883E-2</v>
      </c>
      <c r="FQ27" s="13">
        <v>8.9213970770170736E-2</v>
      </c>
      <c r="FR27" s="16">
        <v>9142.1618442987965</v>
      </c>
      <c r="FS27" s="13">
        <v>0.12919221261700783</v>
      </c>
      <c r="GS27" s="26">
        <v>19</v>
      </c>
      <c r="GT27" s="16">
        <v>81238</v>
      </c>
      <c r="GU27">
        <v>265</v>
      </c>
      <c r="GV27" s="16">
        <v>32292000</v>
      </c>
      <c r="GW27" s="16">
        <v>34100258.161290325</v>
      </c>
      <c r="GX27" s="35">
        <v>229324718.16129032</v>
      </c>
      <c r="GY27" s="313">
        <v>62790000</v>
      </c>
      <c r="GZ27" s="332">
        <v>141106000</v>
      </c>
      <c r="HA27" s="35">
        <v>64138065</v>
      </c>
      <c r="HB27" s="35">
        <v>24080653.161290318</v>
      </c>
      <c r="HC27" s="13">
        <v>0.10500679278870295</v>
      </c>
      <c r="HD27" s="13">
        <v>0.11466088463894794</v>
      </c>
      <c r="HE27" s="16">
        <v>8720.0817351485766</v>
      </c>
      <c r="HF27" s="13">
        <v>8.4528276317684031E-2</v>
      </c>
      <c r="HG27" s="13"/>
      <c r="HH27" s="1">
        <f t="shared" si="0"/>
        <v>-30498000</v>
      </c>
      <c r="HI27" s="27">
        <f t="shared" si="1"/>
        <v>-0.94444444444444442</v>
      </c>
      <c r="HJ27" s="1">
        <f t="shared" si="2"/>
        <v>3602258.1612903252</v>
      </c>
      <c r="HK27" s="27">
        <f t="shared" si="3"/>
        <v>5.4257201984893533E-2</v>
      </c>
      <c r="JO27"/>
      <c r="JP27"/>
      <c r="JS27"/>
      <c r="JT27"/>
      <c r="JV27"/>
      <c r="JZ27"/>
      <c r="KA27"/>
      <c r="KN27" s="278" t="s">
        <v>161</v>
      </c>
      <c r="MI27">
        <v>0</v>
      </c>
      <c r="MJ27">
        <v>0</v>
      </c>
      <c r="MK27">
        <v>0</v>
      </c>
      <c r="ML27">
        <v>0</v>
      </c>
    </row>
    <row r="28" spans="2:350">
      <c r="B28" s="27">
        <f t="shared" si="4"/>
        <v>0.11466088463894794</v>
      </c>
      <c r="C28" s="27">
        <f t="shared" si="5"/>
        <v>8.4528276317684031E-2</v>
      </c>
      <c r="D28" s="1">
        <f t="shared" si="6"/>
        <v>225962.2641509434</v>
      </c>
      <c r="E28" s="278">
        <v>19</v>
      </c>
      <c r="F28" s="16">
        <v>81238</v>
      </c>
      <c r="G28">
        <v>265</v>
      </c>
      <c r="H28" s="16">
        <v>708402000</v>
      </c>
      <c r="I28" s="16">
        <v>162932460</v>
      </c>
      <c r="J28" s="16">
        <v>32292000</v>
      </c>
      <c r="K28" s="16">
        <v>34100258.161290325</v>
      </c>
      <c r="M28" s="16">
        <v>229324718.16129032</v>
      </c>
      <c r="N28" s="16">
        <v>81226000</v>
      </c>
      <c r="O28" s="16">
        <v>59880000</v>
      </c>
      <c r="P28" s="16">
        <v>0</v>
      </c>
      <c r="Q28" s="16"/>
      <c r="R28" s="16">
        <v>0</v>
      </c>
      <c r="S28"/>
      <c r="T28" s="12">
        <v>141106000</v>
      </c>
      <c r="U28" s="313">
        <v>62790000</v>
      </c>
      <c r="V28" s="16">
        <v>0</v>
      </c>
      <c r="W28" s="123">
        <v>700000</v>
      </c>
      <c r="X28" s="123">
        <v>648065</v>
      </c>
      <c r="Y28" s="12">
        <v>64138065</v>
      </c>
      <c r="Z28" s="12">
        <v>24080653.161290318</v>
      </c>
      <c r="AA28" s="13">
        <v>0.10500679278870295</v>
      </c>
      <c r="AB28" s="13">
        <v>0.11466088463894794</v>
      </c>
      <c r="AC28" s="16">
        <v>8720.0817351485766</v>
      </c>
      <c r="AD28" s="13">
        <v>8.4528276317684031E-2</v>
      </c>
      <c r="AF28" s="1">
        <f t="shared" si="7"/>
        <v>306.55849056603773</v>
      </c>
      <c r="AG28" s="16"/>
      <c r="BC28" s="16"/>
      <c r="BD28" s="16">
        <f t="shared" si="12"/>
        <v>0</v>
      </c>
      <c r="BE28" s="16">
        <f t="shared" si="13"/>
        <v>0</v>
      </c>
      <c r="BF28" s="16">
        <v>26</v>
      </c>
      <c r="BG28" s="16"/>
      <c r="BJ28" s="278">
        <v>52026</v>
      </c>
      <c r="BK28">
        <v>29</v>
      </c>
      <c r="BN28">
        <v>29</v>
      </c>
      <c r="BZ28" s="278" t="s">
        <v>176</v>
      </c>
      <c r="CC28">
        <v>0</v>
      </c>
      <c r="CD28">
        <v>0</v>
      </c>
      <c r="CE28">
        <v>0</v>
      </c>
      <c r="CF28">
        <v>0</v>
      </c>
      <c r="CL28" s="26" t="s">
        <v>201</v>
      </c>
      <c r="CO28">
        <v>3</v>
      </c>
      <c r="EM28">
        <v>0</v>
      </c>
      <c r="EN28">
        <v>0</v>
      </c>
      <c r="EO28">
        <v>0</v>
      </c>
      <c r="EP28">
        <v>3</v>
      </c>
      <c r="EY28" s="337" t="s">
        <v>21</v>
      </c>
      <c r="EZ28" s="16">
        <v>46908</v>
      </c>
      <c r="FA28" s="16">
        <v>426835000</v>
      </c>
      <c r="FB28" s="16">
        <v>81171990</v>
      </c>
      <c r="FC28" s="16">
        <v>21842142.857142858</v>
      </c>
      <c r="FD28" s="16">
        <v>15146013</v>
      </c>
      <c r="FE28" s="16">
        <v>120835145.85714285</v>
      </c>
      <c r="FF28" s="313">
        <v>38513828.571428575</v>
      </c>
      <c r="FG28" s="16">
        <v>31559871.428571425</v>
      </c>
      <c r="FH28" s="16">
        <v>54308571.428571425</v>
      </c>
      <c r="FI28" s="16">
        <v>6067034</v>
      </c>
      <c r="FJ28" s="16">
        <v>0</v>
      </c>
      <c r="FK28" s="12">
        <v>91935476.857142851</v>
      </c>
      <c r="FL28" s="123">
        <v>720000</v>
      </c>
      <c r="FM28" s="123"/>
      <c r="FN28" s="12">
        <v>39233828.571428575</v>
      </c>
      <c r="FO28" s="12">
        <v>-10334159.571428563</v>
      </c>
      <c r="FP28" s="13">
        <v>-8.5522796353025524E-2</v>
      </c>
      <c r="FQ28" s="13">
        <v>7.3939277305214948E-2</v>
      </c>
      <c r="FR28" s="16">
        <v>9099.4073505585402</v>
      </c>
      <c r="FS28" s="13">
        <v>0.12723551589858242</v>
      </c>
      <c r="GS28" s="26">
        <v>20</v>
      </c>
      <c r="GT28" s="16">
        <v>80168</v>
      </c>
      <c r="GU28">
        <v>272</v>
      </c>
      <c r="GV28" s="16">
        <v>32850000</v>
      </c>
      <c r="GW28" s="16">
        <v>34100258.161290325</v>
      </c>
      <c r="GX28" s="35">
        <v>227761888.16129032</v>
      </c>
      <c r="GY28" s="313">
        <v>63875000</v>
      </c>
      <c r="GZ28" s="332">
        <v>139442500</v>
      </c>
      <c r="HA28" s="35">
        <v>65973065</v>
      </c>
      <c r="HB28" s="35">
        <v>22346323.161290318</v>
      </c>
      <c r="HC28" s="13">
        <v>9.8112653270004929E-2</v>
      </c>
      <c r="HD28" s="13">
        <v>0.11465915120691209</v>
      </c>
      <c r="HE28" s="16">
        <v>8721.4474603333001</v>
      </c>
      <c r="HF28" s="13">
        <v>8.4777761409420449E-2</v>
      </c>
      <c r="HG28" s="13"/>
      <c r="HH28" s="1">
        <f t="shared" si="0"/>
        <v>-31025000</v>
      </c>
      <c r="HI28" s="27">
        <f t="shared" si="1"/>
        <v>-0.94444444444444442</v>
      </c>
      <c r="HJ28" s="1">
        <f t="shared" si="2"/>
        <v>3075258.1612903252</v>
      </c>
      <c r="HK28" s="27">
        <f t="shared" si="3"/>
        <v>4.5933477267282523E-2</v>
      </c>
      <c r="JO28"/>
      <c r="JP28"/>
      <c r="JS28"/>
      <c r="JT28"/>
      <c r="JV28"/>
      <c r="JZ28"/>
      <c r="KA28"/>
      <c r="KN28" s="278" t="s">
        <v>156</v>
      </c>
      <c r="MI28">
        <v>0</v>
      </c>
      <c r="MJ28">
        <v>0</v>
      </c>
      <c r="MK28">
        <v>0</v>
      </c>
      <c r="ML28">
        <v>0</v>
      </c>
    </row>
    <row r="29" spans="2:350">
      <c r="B29" s="27">
        <f t="shared" ref="B29:B54" si="14">N29/H29</f>
        <v>0.11465915120691209</v>
      </c>
      <c r="C29" s="27">
        <f t="shared" ref="C29:C54" si="15">O29/H29</f>
        <v>8.4777761409420449E-2</v>
      </c>
      <c r="D29" s="1">
        <f t="shared" ref="D29:D54" si="16">O29/G29</f>
        <v>217922.79411764705</v>
      </c>
      <c r="E29" s="278">
        <v>20</v>
      </c>
      <c r="F29" s="16">
        <v>80168</v>
      </c>
      <c r="G29">
        <v>272</v>
      </c>
      <c r="H29" s="16">
        <v>699181000</v>
      </c>
      <c r="I29" s="16">
        <v>160811630</v>
      </c>
      <c r="J29" s="16">
        <v>32850000</v>
      </c>
      <c r="K29" s="16">
        <v>34100258.161290325</v>
      </c>
      <c r="M29" s="16">
        <v>227761888.16129032</v>
      </c>
      <c r="N29" s="16">
        <v>80167500</v>
      </c>
      <c r="O29" s="16">
        <v>59275000</v>
      </c>
      <c r="P29" s="16">
        <v>0</v>
      </c>
      <c r="Q29" s="16"/>
      <c r="R29" s="16">
        <v>0</v>
      </c>
      <c r="S29"/>
      <c r="T29" s="12">
        <v>139442500</v>
      </c>
      <c r="U29" s="313">
        <v>63875000</v>
      </c>
      <c r="V29" s="16">
        <v>0</v>
      </c>
      <c r="W29" s="123">
        <v>1450000</v>
      </c>
      <c r="X29" s="123">
        <v>648065</v>
      </c>
      <c r="Y29" s="12">
        <v>65973065</v>
      </c>
      <c r="Z29" s="12">
        <v>22346323.161290318</v>
      </c>
      <c r="AA29" s="13">
        <v>9.8112653270004929E-2</v>
      </c>
      <c r="AB29" s="13">
        <v>0.11465915120691209</v>
      </c>
      <c r="AC29" s="16">
        <v>8721.4474603333001</v>
      </c>
      <c r="AD29" s="13">
        <v>8.4777761409420449E-2</v>
      </c>
      <c r="AF29" s="1">
        <f t="shared" si="7"/>
        <v>294.73529411764707</v>
      </c>
      <c r="AG29" s="16"/>
      <c r="BC29" s="16"/>
      <c r="BD29" s="16">
        <f t="shared" si="12"/>
        <v>0</v>
      </c>
      <c r="BE29" s="16">
        <f t="shared" si="13"/>
        <v>0</v>
      </c>
      <c r="BF29" s="16">
        <v>24</v>
      </c>
      <c r="BG29" s="16"/>
      <c r="BJ29" s="278">
        <v>92026</v>
      </c>
      <c r="BL29">
        <v>22</v>
      </c>
      <c r="BN29">
        <v>22</v>
      </c>
      <c r="BZ29" s="278" t="s">
        <v>201</v>
      </c>
      <c r="CC29">
        <v>0</v>
      </c>
      <c r="CD29">
        <v>0</v>
      </c>
      <c r="CE29">
        <v>0</v>
      </c>
      <c r="CF29">
        <v>0</v>
      </c>
      <c r="CL29" s="26" t="s">
        <v>178</v>
      </c>
      <c r="EM29">
        <v>0</v>
      </c>
      <c r="EN29">
        <v>0</v>
      </c>
      <c r="EO29">
        <v>0</v>
      </c>
      <c r="EP29">
        <v>0</v>
      </c>
      <c r="EY29" s="337" t="s">
        <v>158</v>
      </c>
      <c r="EZ29" s="16">
        <v>43878</v>
      </c>
      <c r="FA29" s="16">
        <v>396462000</v>
      </c>
      <c r="FB29" s="16">
        <v>83257020</v>
      </c>
      <c r="FC29" s="16">
        <v>33178214.285714284</v>
      </c>
      <c r="FD29" s="16">
        <v>17211301</v>
      </c>
      <c r="FE29" s="16">
        <v>138396535.2857143</v>
      </c>
      <c r="FF29" s="313">
        <v>44556128.571428567</v>
      </c>
      <c r="FG29" s="16">
        <v>33786714.285714284</v>
      </c>
      <c r="FH29" s="16">
        <v>63592857.142857134</v>
      </c>
      <c r="FI29" s="16">
        <v>6105767</v>
      </c>
      <c r="FJ29" s="16">
        <v>0</v>
      </c>
      <c r="FK29" s="12">
        <v>103485338.42857143</v>
      </c>
      <c r="FL29" s="123">
        <v>3360000</v>
      </c>
      <c r="FM29" s="123">
        <v>0</v>
      </c>
      <c r="FN29" s="12">
        <v>47916128.571428567</v>
      </c>
      <c r="FO29" s="12">
        <v>-13004931.714285713</v>
      </c>
      <c r="FP29" s="13">
        <v>-9.3968622028272122E-2</v>
      </c>
      <c r="FQ29" s="13">
        <v>8.5220561581473842E-2</v>
      </c>
      <c r="FR29" s="16">
        <v>9035.5531245726779</v>
      </c>
      <c r="FS29" s="13">
        <v>0.16040088871785224</v>
      </c>
      <c r="GS29" s="26">
        <v>21</v>
      </c>
      <c r="GT29" s="16">
        <v>77750</v>
      </c>
      <c r="GU29">
        <v>275</v>
      </c>
      <c r="GV29" s="16">
        <v>40650000</v>
      </c>
      <c r="GW29" s="16">
        <v>34100258.161290325</v>
      </c>
      <c r="GX29" s="35">
        <v>230676228.16129032</v>
      </c>
      <c r="GY29" s="313">
        <v>64995000</v>
      </c>
      <c r="GZ29" s="332">
        <v>199452500</v>
      </c>
      <c r="HA29" s="35">
        <v>67318064.516129032</v>
      </c>
      <c r="HB29" s="35">
        <v>-36094336.354838699</v>
      </c>
      <c r="HC29" s="13">
        <v>-0.15647185079513831</v>
      </c>
      <c r="HD29" s="13">
        <v>0.11468952221365049</v>
      </c>
      <c r="HE29" s="16">
        <v>8719.4726688102892</v>
      </c>
      <c r="HF29" s="13">
        <v>8.7470996653091201E-2</v>
      </c>
      <c r="HG29" s="13"/>
      <c r="HH29" s="1">
        <f t="shared" si="0"/>
        <v>-24345000</v>
      </c>
      <c r="HI29" s="27">
        <f t="shared" si="1"/>
        <v>-0.59889298892988929</v>
      </c>
      <c r="HJ29" s="1">
        <f t="shared" si="2"/>
        <v>9755258.1612903178</v>
      </c>
      <c r="HK29" s="27">
        <f t="shared" si="3"/>
        <v>0.13050467518441444</v>
      </c>
      <c r="JO29"/>
      <c r="JP29"/>
      <c r="JS29"/>
      <c r="JT29"/>
      <c r="JV29"/>
      <c r="JZ29"/>
      <c r="KA29"/>
      <c r="KN29" s="278" t="s">
        <v>162</v>
      </c>
      <c r="MI29">
        <v>0</v>
      </c>
      <c r="MJ29">
        <v>0</v>
      </c>
      <c r="MK29">
        <v>0</v>
      </c>
      <c r="ML29">
        <v>0</v>
      </c>
    </row>
    <row r="30" spans="2:350">
      <c r="B30" s="27">
        <f t="shared" si="14"/>
        <v>0.11468952221365049</v>
      </c>
      <c r="C30" s="27">
        <f t="shared" si="15"/>
        <v>8.7470996653091201E-2</v>
      </c>
      <c r="D30" s="1">
        <f t="shared" si="16"/>
        <v>215636.36363636365</v>
      </c>
      <c r="E30" s="278">
        <v>21</v>
      </c>
      <c r="F30" s="16">
        <v>77750</v>
      </c>
      <c r="G30">
        <v>275</v>
      </c>
      <c r="H30" s="16">
        <v>677939000</v>
      </c>
      <c r="I30" s="16">
        <v>155925970</v>
      </c>
      <c r="J30" s="16">
        <v>40650000</v>
      </c>
      <c r="K30" s="16">
        <v>34100258.161290325</v>
      </c>
      <c r="M30" s="16">
        <v>230676228.16129032</v>
      </c>
      <c r="N30" s="16">
        <v>77752500</v>
      </c>
      <c r="O30" s="16">
        <v>59300000</v>
      </c>
      <c r="P30" s="16">
        <v>55500000</v>
      </c>
      <c r="Q30" s="16">
        <v>300000</v>
      </c>
      <c r="R30" s="16">
        <v>6600000</v>
      </c>
      <c r="S30"/>
      <c r="T30" s="12">
        <v>199452500</v>
      </c>
      <c r="U30" s="313">
        <v>64995000</v>
      </c>
      <c r="V30" s="16">
        <v>0</v>
      </c>
      <c r="W30" s="123">
        <v>1675000</v>
      </c>
      <c r="X30" s="123">
        <v>648064.51612903224</v>
      </c>
      <c r="Y30" s="12">
        <v>67318064.516129032</v>
      </c>
      <c r="Z30" s="12">
        <v>-36094336.354838699</v>
      </c>
      <c r="AA30" s="13">
        <v>-0.15647185079513831</v>
      </c>
      <c r="AB30" s="13">
        <v>0.11468952221365049</v>
      </c>
      <c r="AC30" s="16">
        <v>8719.4726688102892</v>
      </c>
      <c r="AD30" s="13">
        <v>8.7470996653091201E-2</v>
      </c>
      <c r="AF30" s="1">
        <f t="shared" si="7"/>
        <v>282.72727272727275</v>
      </c>
      <c r="AG30" s="16"/>
      <c r="BC30" s="16"/>
      <c r="BD30" s="16" t="e">
        <f t="shared" si="12"/>
        <v>#DIV/0!</v>
      </c>
      <c r="BE30" s="16" t="e">
        <f t="shared" si="13"/>
        <v>#DIV/0!</v>
      </c>
      <c r="BF30" s="16"/>
      <c r="BG30" s="16"/>
      <c r="BJ30" s="278">
        <v>142026</v>
      </c>
      <c r="BL30">
        <v>31</v>
      </c>
      <c r="BM30">
        <v>31</v>
      </c>
      <c r="BN30">
        <v>62</v>
      </c>
      <c r="BZ30" s="278" t="s">
        <v>178</v>
      </c>
      <c r="CC30">
        <v>0</v>
      </c>
      <c r="CD30">
        <v>0</v>
      </c>
      <c r="CE30">
        <v>0</v>
      </c>
      <c r="CF30">
        <v>0</v>
      </c>
      <c r="CL30" s="26" t="s">
        <v>177</v>
      </c>
      <c r="EM30">
        <v>0</v>
      </c>
      <c r="EN30">
        <v>0</v>
      </c>
      <c r="EO30">
        <v>0</v>
      </c>
      <c r="EP30">
        <v>0</v>
      </c>
      <c r="EY30" s="337" t="s">
        <v>159</v>
      </c>
      <c r="EZ30" s="16">
        <v>30862</v>
      </c>
      <c r="FA30" s="16">
        <v>283615000</v>
      </c>
      <c r="FB30" s="16">
        <v>59559150</v>
      </c>
      <c r="FC30" s="16">
        <v>35960714.285714284</v>
      </c>
      <c r="FD30" s="16">
        <v>20882737.000000004</v>
      </c>
      <c r="FE30" s="16">
        <v>119202601.28571428</v>
      </c>
      <c r="FF30" s="313">
        <v>53675000</v>
      </c>
      <c r="FG30" s="16">
        <v>25753300</v>
      </c>
      <c r="FH30" s="16">
        <v>75685714.285714284</v>
      </c>
      <c r="FI30" s="16">
        <v>0</v>
      </c>
      <c r="FJ30" s="16">
        <v>0</v>
      </c>
      <c r="FK30" s="12">
        <v>101439014.28571428</v>
      </c>
      <c r="FL30" s="123">
        <v>2520000</v>
      </c>
      <c r="FM30" s="123">
        <v>483870</v>
      </c>
      <c r="FN30" s="12">
        <v>56678870</v>
      </c>
      <c r="FO30" s="12">
        <v>-38915283</v>
      </c>
      <c r="FP30" s="13">
        <v>-0.32646337059981395</v>
      </c>
      <c r="FQ30" s="13">
        <v>9.0803730409181466E-2</v>
      </c>
      <c r="FR30" s="16">
        <v>9189.7803123582398</v>
      </c>
      <c r="FS30" s="13">
        <v>0.26686075942991128</v>
      </c>
      <c r="GS30" s="26">
        <v>22</v>
      </c>
      <c r="GT30" s="16">
        <v>86277</v>
      </c>
      <c r="GU30">
        <v>269</v>
      </c>
      <c r="GV30" s="16">
        <v>33660000</v>
      </c>
      <c r="GW30" s="16">
        <v>34361364.084677413</v>
      </c>
      <c r="GX30" s="35">
        <v>240977684.08467743</v>
      </c>
      <c r="GY30" s="313">
        <v>65450000</v>
      </c>
      <c r="GZ30" s="332">
        <v>147800000</v>
      </c>
      <c r="HA30" s="35">
        <v>69933064.516129032</v>
      </c>
      <c r="HB30" s="35">
        <v>23244619.568548407</v>
      </c>
      <c r="HC30" s="13">
        <v>9.6459635492141482E-2</v>
      </c>
      <c r="HD30" s="13">
        <v>0.11472983467733357</v>
      </c>
      <c r="HE30" s="16">
        <v>8715.9266084819828</v>
      </c>
      <c r="HF30" s="13">
        <v>8.1816900359582112E-2</v>
      </c>
      <c r="HG30" s="13"/>
      <c r="HH30" s="1">
        <f t="shared" si="0"/>
        <v>-31790000</v>
      </c>
      <c r="HI30" s="27">
        <f t="shared" si="1"/>
        <v>-0.94444444444444442</v>
      </c>
      <c r="HJ30" s="1">
        <f t="shared" si="2"/>
        <v>2571364.0846774131</v>
      </c>
      <c r="HK30" s="27">
        <f t="shared" si="3"/>
        <v>3.7802301075238832E-2</v>
      </c>
      <c r="JO30"/>
      <c r="JP30"/>
      <c r="JS30"/>
      <c r="JT30"/>
      <c r="JV30"/>
      <c r="JZ30"/>
      <c r="KA30"/>
      <c r="KN30" s="278" t="s">
        <v>163</v>
      </c>
      <c r="LV30" s="379"/>
      <c r="MI30">
        <v>0</v>
      </c>
      <c r="MJ30">
        <v>0</v>
      </c>
      <c r="MK30">
        <v>0</v>
      </c>
      <c r="ML30">
        <v>0</v>
      </c>
    </row>
    <row r="31" spans="2:350">
      <c r="B31" s="27">
        <f t="shared" si="14"/>
        <v>0.11472983467733357</v>
      </c>
      <c r="C31" s="27">
        <f t="shared" si="15"/>
        <v>8.1816900359582112E-2</v>
      </c>
      <c r="D31" s="1">
        <f t="shared" si="16"/>
        <v>228717.47211895912</v>
      </c>
      <c r="E31" s="278">
        <v>22</v>
      </c>
      <c r="F31" s="16">
        <v>86277</v>
      </c>
      <c r="G31">
        <v>269</v>
      </c>
      <c r="H31" s="16">
        <v>751984000</v>
      </c>
      <c r="I31" s="16">
        <v>172956320</v>
      </c>
      <c r="J31" s="16">
        <v>33660000</v>
      </c>
      <c r="K31" s="16">
        <v>34361364.084677413</v>
      </c>
      <c r="M31" s="16">
        <v>240977684.08467743</v>
      </c>
      <c r="N31" s="16">
        <v>86275000</v>
      </c>
      <c r="O31" s="16">
        <v>61525000</v>
      </c>
      <c r="P31" s="16">
        <v>0</v>
      </c>
      <c r="Q31" s="16"/>
      <c r="R31" s="16">
        <v>0</v>
      </c>
      <c r="S31"/>
      <c r="T31" s="12">
        <v>147800000</v>
      </c>
      <c r="U31" s="313">
        <v>65450000</v>
      </c>
      <c r="V31" s="16">
        <v>585000</v>
      </c>
      <c r="W31" s="123">
        <v>3250000</v>
      </c>
      <c r="X31" s="123">
        <v>648064.51612903201</v>
      </c>
      <c r="Y31" s="12">
        <v>69933064.516129032</v>
      </c>
      <c r="Z31" s="12">
        <v>23244619.568548407</v>
      </c>
      <c r="AA31" s="13">
        <v>9.6459635492141482E-2</v>
      </c>
      <c r="AB31" s="13">
        <v>0.11472983467733357</v>
      </c>
      <c r="AC31" s="16">
        <v>8715.9266084819828</v>
      </c>
      <c r="AD31" s="13">
        <v>8.1816900359582112E-2</v>
      </c>
      <c r="AF31" s="1">
        <f t="shared" si="7"/>
        <v>320.73234200743497</v>
      </c>
      <c r="AG31" s="16"/>
      <c r="BC31" s="16"/>
      <c r="BD31" s="16"/>
      <c r="BE31" s="16"/>
      <c r="BF31" s="16"/>
      <c r="BG31" s="16"/>
      <c r="BJ31" s="26" t="s">
        <v>256</v>
      </c>
      <c r="BK31">
        <v>31</v>
      </c>
      <c r="BL31">
        <v>30</v>
      </c>
      <c r="BM31">
        <v>30</v>
      </c>
      <c r="BN31">
        <v>91</v>
      </c>
      <c r="BZ31" s="278" t="s">
        <v>177</v>
      </c>
      <c r="CC31">
        <v>0</v>
      </c>
      <c r="CD31">
        <v>0</v>
      </c>
      <c r="CE31">
        <v>0</v>
      </c>
      <c r="CF31">
        <v>0</v>
      </c>
      <c r="CL31" s="26" t="s">
        <v>202</v>
      </c>
      <c r="EM31">
        <v>0</v>
      </c>
      <c r="EN31">
        <v>0</v>
      </c>
      <c r="EO31">
        <v>0</v>
      </c>
      <c r="EP31">
        <v>0</v>
      </c>
      <c r="EY31" s="337" t="s">
        <v>160</v>
      </c>
      <c r="EZ31" s="16">
        <v>46197</v>
      </c>
      <c r="FA31" s="16">
        <v>420235000</v>
      </c>
      <c r="FB31" s="16">
        <v>88249350</v>
      </c>
      <c r="FC31" s="16">
        <v>27850000</v>
      </c>
      <c r="FD31" s="16">
        <v>15642348.000000002</v>
      </c>
      <c r="FE31" s="16">
        <v>134841698</v>
      </c>
      <c r="FF31" s="313">
        <v>45395000</v>
      </c>
      <c r="FG31" s="16">
        <v>37315200</v>
      </c>
      <c r="FH31" s="16">
        <v>42985000</v>
      </c>
      <c r="FI31" s="16">
        <v>7000000</v>
      </c>
      <c r="FJ31" s="16">
        <v>0</v>
      </c>
      <c r="FK31" s="12">
        <v>87300200</v>
      </c>
      <c r="FL31" s="123">
        <v>1860000</v>
      </c>
      <c r="FM31" s="123">
        <v>80645</v>
      </c>
      <c r="FN31" s="12">
        <v>47335645</v>
      </c>
      <c r="FO31" s="12">
        <v>205853.00000000559</v>
      </c>
      <c r="FP31" s="13">
        <v>1.5266271713665722E-3</v>
      </c>
      <c r="FQ31" s="13">
        <v>8.8796030792294783E-2</v>
      </c>
      <c r="FR31" s="16">
        <v>9096.5863584215422</v>
      </c>
      <c r="FS31" s="13">
        <v>0.10228800552072055</v>
      </c>
      <c r="GS31" s="26">
        <v>23</v>
      </c>
      <c r="GT31" s="16">
        <v>90194</v>
      </c>
      <c r="GU31">
        <v>275</v>
      </c>
      <c r="GV31" s="16">
        <v>33912000</v>
      </c>
      <c r="GW31" s="16">
        <v>35927999.625</v>
      </c>
      <c r="GX31" s="35">
        <v>251180739.625</v>
      </c>
      <c r="GY31" s="313">
        <v>65940000</v>
      </c>
      <c r="GZ31" s="332">
        <v>152865000</v>
      </c>
      <c r="HA31" s="35">
        <v>67613064.516129032</v>
      </c>
      <c r="HB31" s="35">
        <v>30702675.108870983</v>
      </c>
      <c r="HC31" s="13">
        <v>0.12223339717332032</v>
      </c>
      <c r="HD31" s="13">
        <v>0.11439073205502526</v>
      </c>
      <c r="HE31" s="16">
        <v>8741.5792624786573</v>
      </c>
      <c r="HF31" s="13">
        <v>7.9492617047884545E-2</v>
      </c>
      <c r="HG31" s="13"/>
      <c r="HH31" s="1">
        <f t="shared" si="0"/>
        <v>-32028000</v>
      </c>
      <c r="HI31" s="27">
        <f t="shared" si="1"/>
        <v>-0.94444444444444442</v>
      </c>
      <c r="HJ31" s="1">
        <f t="shared" si="2"/>
        <v>3899999.625</v>
      </c>
      <c r="HK31" s="27">
        <f t="shared" si="3"/>
        <v>5.5841919329048105E-2</v>
      </c>
      <c r="JO31"/>
      <c r="JP31"/>
      <c r="JS31"/>
      <c r="JT31"/>
      <c r="JV31"/>
      <c r="JZ31"/>
      <c r="KA31"/>
      <c r="KN31" s="278" t="s">
        <v>164</v>
      </c>
      <c r="MI31">
        <v>0</v>
      </c>
      <c r="MJ31">
        <v>0</v>
      </c>
      <c r="MK31">
        <v>0</v>
      </c>
      <c r="ML31">
        <v>0</v>
      </c>
    </row>
    <row r="32" spans="2:350">
      <c r="B32" s="27">
        <f t="shared" si="14"/>
        <v>0.11439073205502526</v>
      </c>
      <c r="C32" s="27">
        <f t="shared" si="15"/>
        <v>7.9492617047884545E-2</v>
      </c>
      <c r="D32" s="1">
        <f t="shared" si="16"/>
        <v>227909.09090909091</v>
      </c>
      <c r="E32" s="278">
        <v>23</v>
      </c>
      <c r="F32" s="16">
        <v>90194</v>
      </c>
      <c r="G32">
        <v>275</v>
      </c>
      <c r="H32" s="16">
        <v>788438000</v>
      </c>
      <c r="I32" s="16">
        <v>181340740</v>
      </c>
      <c r="J32" s="16">
        <v>33912000</v>
      </c>
      <c r="K32" s="16">
        <v>35927999.625</v>
      </c>
      <c r="M32" s="16">
        <v>251180739.625</v>
      </c>
      <c r="N32" s="16">
        <v>90190000</v>
      </c>
      <c r="O32" s="16">
        <v>62675000</v>
      </c>
      <c r="P32" s="16">
        <v>0</v>
      </c>
      <c r="Q32" s="16"/>
      <c r="R32" s="16">
        <v>0</v>
      </c>
      <c r="S32"/>
      <c r="T32" s="12">
        <v>152865000</v>
      </c>
      <c r="U32" s="313">
        <v>65940000</v>
      </c>
      <c r="V32" s="16">
        <v>0</v>
      </c>
      <c r="W32" s="123">
        <v>1025000</v>
      </c>
      <c r="X32" s="123">
        <v>648064.51612903224</v>
      </c>
      <c r="Y32" s="12">
        <v>67613064.516129032</v>
      </c>
      <c r="Z32" s="12">
        <v>30702675.108870983</v>
      </c>
      <c r="AA32" s="13">
        <v>0.12223339717332032</v>
      </c>
      <c r="AB32" s="13">
        <v>0.11439073205502526</v>
      </c>
      <c r="AC32" s="16">
        <v>8741.5792624786573</v>
      </c>
      <c r="AD32" s="13">
        <v>7.9492617047884545E-2</v>
      </c>
      <c r="AF32" s="1">
        <f t="shared" si="7"/>
        <v>327.97818181818184</v>
      </c>
      <c r="AG32" s="16"/>
      <c r="BC32" s="81"/>
      <c r="BD32" s="81" t="e">
        <f t="shared" ref="BD32:BD42" si="17">AJ32/BF32</f>
        <v>#DIV/0!</v>
      </c>
      <c r="BE32" s="81" t="e">
        <f t="shared" ref="BE32:BE42" si="18">AI32/BF32</f>
        <v>#DIV/0!</v>
      </c>
      <c r="BF32" s="81"/>
      <c r="BG32" s="81"/>
      <c r="BJ32" s="278">
        <v>62026</v>
      </c>
      <c r="BK32">
        <v>31</v>
      </c>
      <c r="BN32">
        <v>31</v>
      </c>
      <c r="BZ32" s="278" t="s">
        <v>202</v>
      </c>
      <c r="CC32">
        <v>0</v>
      </c>
      <c r="CD32">
        <v>0</v>
      </c>
      <c r="CE32">
        <v>0</v>
      </c>
      <c r="CF32">
        <v>0</v>
      </c>
      <c r="CL32" s="26" t="s">
        <v>204</v>
      </c>
      <c r="EM32">
        <v>0</v>
      </c>
      <c r="EN32">
        <v>0</v>
      </c>
      <c r="EO32">
        <v>0</v>
      </c>
      <c r="EP32">
        <v>0</v>
      </c>
      <c r="EY32" s="337" t="s">
        <v>161</v>
      </c>
      <c r="EZ32" s="16">
        <v>23198</v>
      </c>
      <c r="FA32" s="16">
        <v>209964000</v>
      </c>
      <c r="FB32" s="16">
        <v>44092440</v>
      </c>
      <c r="FC32" s="16">
        <v>13620857.142857142</v>
      </c>
      <c r="FD32" s="16">
        <v>9842400</v>
      </c>
      <c r="FE32" s="16">
        <v>69309897.142857134</v>
      </c>
      <c r="FF32" s="313">
        <v>27315000</v>
      </c>
      <c r="FG32" s="16">
        <v>21433885.714285716</v>
      </c>
      <c r="FH32" s="16">
        <v>5567857.1428571427</v>
      </c>
      <c r="FI32" s="16">
        <v>4311428.5714285709</v>
      </c>
      <c r="FJ32" s="16">
        <v>0</v>
      </c>
      <c r="FK32" s="12">
        <v>31313171.428571429</v>
      </c>
      <c r="FL32" s="123">
        <v>3660000</v>
      </c>
      <c r="FM32" s="123">
        <v>0</v>
      </c>
      <c r="FN32" s="12">
        <v>30975000</v>
      </c>
      <c r="FO32" s="12">
        <v>7021725.7142857127</v>
      </c>
      <c r="FP32" s="13">
        <v>0.10130913482403502</v>
      </c>
      <c r="FQ32" s="13">
        <v>0.10208362249855078</v>
      </c>
      <c r="FR32" s="16">
        <v>9050.952668333477</v>
      </c>
      <c r="FS32" s="13">
        <v>2.6518151410990183E-2</v>
      </c>
      <c r="GS32" s="26">
        <v>24</v>
      </c>
      <c r="GT32" s="16">
        <v>84711</v>
      </c>
      <c r="GU32">
        <v>271</v>
      </c>
      <c r="GV32" s="16">
        <v>46675000</v>
      </c>
      <c r="GW32" s="16">
        <v>0</v>
      </c>
      <c r="GX32" s="35">
        <v>245049280</v>
      </c>
      <c r="GY32" s="313">
        <v>65345000</v>
      </c>
      <c r="GZ32" s="332">
        <v>155277185</v>
      </c>
      <c r="HA32" s="35">
        <v>68043064.516129032</v>
      </c>
      <c r="HB32" s="35">
        <v>21729030.483870983</v>
      </c>
      <c r="HC32" s="13">
        <v>8.8672084585888128E-2</v>
      </c>
      <c r="HD32" s="13">
        <v>0.11605142612237837</v>
      </c>
      <c r="HE32" s="16">
        <v>9006.8350037185246</v>
      </c>
      <c r="HF32" s="13">
        <v>8.7463203395117553E-2</v>
      </c>
      <c r="HG32" s="13"/>
      <c r="HH32" s="1">
        <f t="shared" si="0"/>
        <v>-18670000</v>
      </c>
      <c r="HI32" s="27">
        <f t="shared" si="1"/>
        <v>-0.4</v>
      </c>
      <c r="HJ32" s="1">
        <f t="shared" si="2"/>
        <v>-18670000</v>
      </c>
      <c r="HK32" s="27">
        <f t="shared" si="3"/>
        <v>-0.4</v>
      </c>
      <c r="JO32"/>
      <c r="JP32"/>
      <c r="JS32"/>
      <c r="JT32"/>
      <c r="JV32"/>
      <c r="JZ32"/>
      <c r="KA32"/>
      <c r="KN32" s="278" t="s">
        <v>165</v>
      </c>
      <c r="MI32">
        <v>0</v>
      </c>
      <c r="MJ32">
        <v>0</v>
      </c>
      <c r="MK32">
        <v>0</v>
      </c>
      <c r="ML32">
        <v>0</v>
      </c>
    </row>
    <row r="33" spans="2:350">
      <c r="B33" s="27">
        <f t="shared" si="14"/>
        <v>0.11605142612237837</v>
      </c>
      <c r="C33" s="27">
        <f t="shared" si="15"/>
        <v>8.7463203395117553E-2</v>
      </c>
      <c r="D33" s="1">
        <f t="shared" si="16"/>
        <v>246245.38745387454</v>
      </c>
      <c r="E33" s="278">
        <v>24</v>
      </c>
      <c r="F33" s="16">
        <v>84711</v>
      </c>
      <c r="G33">
        <v>271</v>
      </c>
      <c r="H33" s="16">
        <v>762978000</v>
      </c>
      <c r="I33" s="16">
        <v>198374280</v>
      </c>
      <c r="J33" s="16">
        <v>46675000</v>
      </c>
      <c r="K33" s="16">
        <v>0</v>
      </c>
      <c r="M33" s="16">
        <v>245049280</v>
      </c>
      <c r="N33" s="16">
        <v>88544685</v>
      </c>
      <c r="O33" s="16">
        <v>66732500</v>
      </c>
      <c r="P33" s="16">
        <v>0</v>
      </c>
      <c r="Q33" s="16"/>
      <c r="R33" s="16">
        <v>0</v>
      </c>
      <c r="S33"/>
      <c r="T33" s="12">
        <v>155277185</v>
      </c>
      <c r="U33" s="313">
        <v>65345000</v>
      </c>
      <c r="V33" s="16">
        <v>0</v>
      </c>
      <c r="W33" s="123">
        <v>2050000</v>
      </c>
      <c r="X33" s="123">
        <v>648064.51612903224</v>
      </c>
      <c r="Y33" s="12">
        <v>68043064.516129032</v>
      </c>
      <c r="Z33" s="12">
        <v>21729030.483870983</v>
      </c>
      <c r="AA33" s="13">
        <v>8.8672084585888128E-2</v>
      </c>
      <c r="AB33" s="13">
        <v>0.11605142612237837</v>
      </c>
      <c r="AC33" s="16">
        <v>9006.8350037185246</v>
      </c>
      <c r="AD33" s="13">
        <v>8.7463203395117553E-2</v>
      </c>
      <c r="AF33" s="1">
        <f t="shared" si="7"/>
        <v>312.58671586715866</v>
      </c>
      <c r="AG33" s="16"/>
      <c r="BC33" s="16"/>
      <c r="BD33" s="16"/>
      <c r="BE33" s="16"/>
      <c r="BF33" s="16"/>
      <c r="BG33" s="16"/>
      <c r="BJ33" s="278">
        <v>102026</v>
      </c>
      <c r="BL33">
        <v>30</v>
      </c>
      <c r="BN33">
        <v>30</v>
      </c>
      <c r="BZ33" s="278" t="s">
        <v>204</v>
      </c>
      <c r="CC33">
        <v>0</v>
      </c>
      <c r="CD33">
        <v>0</v>
      </c>
      <c r="CE33">
        <v>0</v>
      </c>
      <c r="CF33">
        <v>0</v>
      </c>
      <c r="CL33" s="11" t="s">
        <v>158</v>
      </c>
      <c r="CQ33">
        <v>204</v>
      </c>
      <c r="CR33">
        <v>270</v>
      </c>
      <c r="CS33">
        <v>269</v>
      </c>
      <c r="CT33">
        <v>275</v>
      </c>
      <c r="CU33">
        <v>265</v>
      </c>
      <c r="EM33">
        <v>0</v>
      </c>
      <c r="EN33">
        <v>0</v>
      </c>
      <c r="EO33">
        <v>0</v>
      </c>
      <c r="EP33">
        <v>275</v>
      </c>
      <c r="EY33" s="337" t="s">
        <v>156</v>
      </c>
      <c r="EZ33" s="16">
        <v>19499</v>
      </c>
      <c r="FA33" s="16">
        <v>176956000</v>
      </c>
      <c r="FB33" s="16">
        <v>43528860</v>
      </c>
      <c r="FC33" s="16">
        <v>12964142.857142856</v>
      </c>
      <c r="FD33" s="16">
        <v>2131200</v>
      </c>
      <c r="FE33" s="16">
        <v>58724202.857142858</v>
      </c>
      <c r="FF33" s="313">
        <v>19760000</v>
      </c>
      <c r="FG33" s="16">
        <v>14820274.285714285</v>
      </c>
      <c r="FH33" s="16">
        <v>11669642.857142856</v>
      </c>
      <c r="FI33" s="16">
        <v>2238571.4285714286</v>
      </c>
      <c r="FJ33" s="16">
        <v>0</v>
      </c>
      <c r="FK33" s="12">
        <v>28728488.571428571</v>
      </c>
      <c r="FL33" s="123">
        <v>3600000</v>
      </c>
      <c r="FM33" s="123">
        <v>0</v>
      </c>
      <c r="FN33" s="12">
        <v>23360000</v>
      </c>
      <c r="FO33" s="12">
        <v>6635714.2857142854</v>
      </c>
      <c r="FP33" s="13">
        <v>0.11299794569977985</v>
      </c>
      <c r="FQ33" s="13">
        <v>8.3751182699169771E-2</v>
      </c>
      <c r="FR33" s="16">
        <v>9075.1320580542597</v>
      </c>
      <c r="FS33" s="13">
        <v>6.5946579133473043E-2</v>
      </c>
      <c r="GS33" s="26">
        <v>25</v>
      </c>
      <c r="GT33" s="16">
        <v>79581</v>
      </c>
      <c r="GU33">
        <v>263</v>
      </c>
      <c r="GV33" s="16">
        <v>32800000</v>
      </c>
      <c r="GW33" s="16">
        <v>0</v>
      </c>
      <c r="GX33" s="35">
        <v>213301880</v>
      </c>
      <c r="GY33" s="313">
        <v>64435000</v>
      </c>
      <c r="GZ33" s="332">
        <v>140250193</v>
      </c>
      <c r="HA33" s="35">
        <v>66954445</v>
      </c>
      <c r="HB33" s="35">
        <v>6097242</v>
      </c>
      <c r="HC33" s="13">
        <v>2.8585036381301467E-2</v>
      </c>
      <c r="HD33" s="13">
        <v>0.11292264756466802</v>
      </c>
      <c r="HE33" s="16">
        <v>8723.6651964664925</v>
      </c>
      <c r="HF33" s="13">
        <v>8.9097686960379577E-2</v>
      </c>
      <c r="HG33" s="13"/>
      <c r="HH33" s="1">
        <f t="shared" si="0"/>
        <v>-31635000</v>
      </c>
      <c r="HI33" s="27">
        <f t="shared" si="1"/>
        <v>-0.96448170731707317</v>
      </c>
      <c r="HJ33" s="1">
        <f t="shared" si="2"/>
        <v>-31635000</v>
      </c>
      <c r="HK33" s="27">
        <f t="shared" si="3"/>
        <v>-0.96448170731707317</v>
      </c>
      <c r="JO33"/>
      <c r="JP33"/>
      <c r="JS33"/>
      <c r="JT33"/>
      <c r="JV33"/>
      <c r="JZ33"/>
      <c r="KA33"/>
      <c r="KN33" s="278" t="s">
        <v>36</v>
      </c>
      <c r="MI33">
        <v>0</v>
      </c>
      <c r="MJ33">
        <v>0</v>
      </c>
      <c r="MK33">
        <v>0</v>
      </c>
      <c r="ML33">
        <v>0</v>
      </c>
    </row>
    <row r="34" spans="2:350" ht="15" customHeight="1">
      <c r="B34" s="27">
        <f t="shared" si="14"/>
        <v>0.11292264756466802</v>
      </c>
      <c r="C34" s="27">
        <f t="shared" si="15"/>
        <v>8.9097686960379577E-2</v>
      </c>
      <c r="D34" s="1">
        <f t="shared" si="16"/>
        <v>235190.11406844106</v>
      </c>
      <c r="E34" s="278">
        <v>25</v>
      </c>
      <c r="F34" s="16">
        <v>79581</v>
      </c>
      <c r="G34">
        <v>263</v>
      </c>
      <c r="H34" s="16">
        <v>694238000</v>
      </c>
      <c r="I34" s="16">
        <v>180501880</v>
      </c>
      <c r="J34" s="16">
        <v>32800000</v>
      </c>
      <c r="K34" s="16">
        <v>0</v>
      </c>
      <c r="M34" s="16">
        <v>213301880</v>
      </c>
      <c r="N34" s="16">
        <v>78395193</v>
      </c>
      <c r="O34" s="16">
        <v>61855000</v>
      </c>
      <c r="P34" s="16">
        <v>0</v>
      </c>
      <c r="Q34" s="16"/>
      <c r="R34" s="16">
        <v>0</v>
      </c>
      <c r="S34"/>
      <c r="T34" s="12">
        <v>140250193</v>
      </c>
      <c r="U34" s="313">
        <v>64435000</v>
      </c>
      <c r="V34" s="16">
        <v>0</v>
      </c>
      <c r="W34" s="123">
        <v>1675000</v>
      </c>
      <c r="X34" s="123">
        <v>844445</v>
      </c>
      <c r="Y34" s="12">
        <v>66954445</v>
      </c>
      <c r="Z34" s="12">
        <v>6097242</v>
      </c>
      <c r="AA34" s="13">
        <v>2.8585036381301467E-2</v>
      </c>
      <c r="AB34" s="13">
        <v>0.11292264756466802</v>
      </c>
      <c r="AC34" s="16">
        <v>8723.6651964664925</v>
      </c>
      <c r="AD34" s="13">
        <v>8.9097686960379577E-2</v>
      </c>
      <c r="AF34" s="1">
        <f t="shared" si="7"/>
        <v>302.58935361216732</v>
      </c>
      <c r="AG34" s="16"/>
      <c r="BC34" s="16"/>
      <c r="BD34" s="16">
        <f t="shared" si="17"/>
        <v>0</v>
      </c>
      <c r="BE34" s="16">
        <f t="shared" si="18"/>
        <v>0</v>
      </c>
      <c r="BF34" s="16">
        <v>17</v>
      </c>
      <c r="BG34" s="16"/>
      <c r="BJ34" s="278">
        <v>152026</v>
      </c>
      <c r="BM34">
        <v>30</v>
      </c>
      <c r="BN34">
        <v>30</v>
      </c>
      <c r="BZ34" s="26" t="s">
        <v>27</v>
      </c>
      <c r="CC34">
        <v>0</v>
      </c>
      <c r="CD34">
        <v>0</v>
      </c>
      <c r="CE34">
        <v>0</v>
      </c>
      <c r="CF34">
        <v>0</v>
      </c>
      <c r="CL34" s="26" t="s">
        <v>34</v>
      </c>
      <c r="CQ34">
        <v>4</v>
      </c>
      <c r="CR34">
        <v>4</v>
      </c>
      <c r="CS34">
        <v>3</v>
      </c>
      <c r="CT34">
        <v>2</v>
      </c>
      <c r="EM34">
        <v>0</v>
      </c>
      <c r="EN34">
        <v>0</v>
      </c>
      <c r="EO34">
        <v>0</v>
      </c>
      <c r="EP34">
        <v>4</v>
      </c>
      <c r="EY34" s="337" t="s">
        <v>162</v>
      </c>
      <c r="EZ34" s="16">
        <v>21015</v>
      </c>
      <c r="FA34" s="16">
        <v>191592000</v>
      </c>
      <c r="FB34" s="16">
        <v>49813920</v>
      </c>
      <c r="FC34" s="16">
        <v>17925000</v>
      </c>
      <c r="FD34" s="16">
        <v>0</v>
      </c>
      <c r="FE34" s="16">
        <v>68338920</v>
      </c>
      <c r="FF34" s="313">
        <v>22365000</v>
      </c>
      <c r="FG34" s="16">
        <v>17230710</v>
      </c>
      <c r="FH34" s="16">
        <v>20805000</v>
      </c>
      <c r="FI34" s="16">
        <v>0</v>
      </c>
      <c r="FJ34" s="16">
        <v>0</v>
      </c>
      <c r="FK34" s="12">
        <v>38035710</v>
      </c>
      <c r="FL34" s="123">
        <v>3600000</v>
      </c>
      <c r="FM34" s="123">
        <v>0</v>
      </c>
      <c r="FN34" s="12">
        <v>25965000</v>
      </c>
      <c r="FO34" s="12">
        <v>4338210</v>
      </c>
      <c r="FP34" s="13">
        <v>6.3480810056699755E-2</v>
      </c>
      <c r="FQ34" s="13">
        <v>8.9934391832644373E-2</v>
      </c>
      <c r="FR34" s="16">
        <v>9116.9164882226978</v>
      </c>
      <c r="FS34" s="13">
        <v>0.10859012902417638</v>
      </c>
      <c r="GS34" s="26">
        <v>26</v>
      </c>
      <c r="GT34" s="16">
        <v>77330</v>
      </c>
      <c r="GU34">
        <v>251</v>
      </c>
      <c r="GV34" s="16">
        <v>37400000</v>
      </c>
      <c r="GW34" s="16">
        <v>0</v>
      </c>
      <c r="GX34" s="35">
        <v>212942640</v>
      </c>
      <c r="GY34" s="313">
        <v>61495000</v>
      </c>
      <c r="GZ34" s="332">
        <v>170393600</v>
      </c>
      <c r="HA34" s="35">
        <v>64139445</v>
      </c>
      <c r="HB34" s="35">
        <v>-21590405</v>
      </c>
      <c r="HC34" s="13">
        <v>-0.10139070784507978</v>
      </c>
      <c r="HD34" s="13">
        <v>0.1156735252471992</v>
      </c>
      <c r="HE34" s="16">
        <v>8730.9452993663526</v>
      </c>
      <c r="HF34" s="13">
        <v>8.6171656071709984E-2</v>
      </c>
      <c r="HG34" s="13"/>
      <c r="HH34" s="1">
        <f t="shared" si="0"/>
        <v>-24095000</v>
      </c>
      <c r="HI34" s="27">
        <f t="shared" si="1"/>
        <v>-0.64425133689839575</v>
      </c>
      <c r="HJ34" s="1">
        <f t="shared" si="2"/>
        <v>-24095000</v>
      </c>
      <c r="HK34" s="27">
        <f t="shared" si="3"/>
        <v>-0.64425133689839575</v>
      </c>
      <c r="JO34"/>
      <c r="JP34"/>
      <c r="JS34"/>
      <c r="JT34"/>
      <c r="JV34"/>
      <c r="JZ34"/>
      <c r="KA34"/>
      <c r="KN34" s="278" t="s">
        <v>166</v>
      </c>
      <c r="MI34">
        <v>0</v>
      </c>
      <c r="MJ34">
        <v>0</v>
      </c>
      <c r="MK34">
        <v>0</v>
      </c>
      <c r="ML34">
        <v>0</v>
      </c>
    </row>
    <row r="35" spans="2:350">
      <c r="B35" s="27">
        <f t="shared" si="14"/>
        <v>0.1156735252471992</v>
      </c>
      <c r="C35" s="27">
        <f t="shared" si="15"/>
        <v>8.6171656071709984E-2</v>
      </c>
      <c r="D35" s="1">
        <f t="shared" si="16"/>
        <v>231792.82868525895</v>
      </c>
      <c r="E35" s="278">
        <v>26</v>
      </c>
      <c r="F35" s="16">
        <v>77330</v>
      </c>
      <c r="G35">
        <v>251</v>
      </c>
      <c r="H35" s="16">
        <v>675164000</v>
      </c>
      <c r="I35" s="16">
        <v>175542640</v>
      </c>
      <c r="J35" s="16">
        <v>37400000</v>
      </c>
      <c r="K35" s="16">
        <v>0</v>
      </c>
      <c r="M35" s="16">
        <v>212942640</v>
      </c>
      <c r="N35" s="16">
        <v>78098600</v>
      </c>
      <c r="O35" s="16">
        <v>58180000</v>
      </c>
      <c r="P35" s="16">
        <v>25915000</v>
      </c>
      <c r="Q35" s="16">
        <v>2200000</v>
      </c>
      <c r="R35" s="16">
        <v>6000000</v>
      </c>
      <c r="S35"/>
      <c r="T35" s="12">
        <v>170393600</v>
      </c>
      <c r="U35" s="313">
        <v>61495000</v>
      </c>
      <c r="V35" s="16">
        <v>0</v>
      </c>
      <c r="W35" s="123">
        <v>1800000</v>
      </c>
      <c r="X35" s="123">
        <v>844445</v>
      </c>
      <c r="Y35" s="12">
        <v>64139445</v>
      </c>
      <c r="Z35" s="12">
        <v>-21590405</v>
      </c>
      <c r="AA35" s="13">
        <v>-0.10139070784507978</v>
      </c>
      <c r="AB35" s="13">
        <v>0.1156735252471992</v>
      </c>
      <c r="AC35" s="16">
        <v>8730.9452993663526</v>
      </c>
      <c r="AD35" s="13">
        <v>8.6171656071709984E-2</v>
      </c>
      <c r="AF35" s="1">
        <f t="shared" si="7"/>
        <v>308.08764940239041</v>
      </c>
      <c r="AG35" s="16"/>
      <c r="BC35" s="81"/>
      <c r="BD35" s="81">
        <f t="shared" si="17"/>
        <v>0</v>
      </c>
      <c r="BE35" s="81">
        <f t="shared" si="18"/>
        <v>0</v>
      </c>
      <c r="BF35" s="81">
        <v>13</v>
      </c>
      <c r="BG35" s="81"/>
      <c r="BJ35" s="26" t="s">
        <v>278</v>
      </c>
      <c r="BK35">
        <v>29</v>
      </c>
      <c r="BL35">
        <v>30</v>
      </c>
      <c r="BN35">
        <v>59</v>
      </c>
      <c r="BZ35" s="278" t="s">
        <v>34</v>
      </c>
      <c r="CC35">
        <v>0</v>
      </c>
      <c r="CD35">
        <v>0</v>
      </c>
      <c r="CE35">
        <v>0</v>
      </c>
      <c r="CF35">
        <v>0</v>
      </c>
      <c r="CL35" s="26" t="s">
        <v>170</v>
      </c>
      <c r="EM35">
        <v>0</v>
      </c>
      <c r="EN35">
        <v>0</v>
      </c>
      <c r="EO35">
        <v>0</v>
      </c>
      <c r="EP35">
        <v>0</v>
      </c>
      <c r="EY35" s="337" t="s">
        <v>163</v>
      </c>
      <c r="EZ35" s="16">
        <v>27022</v>
      </c>
      <c r="FA35" s="16">
        <v>247498000</v>
      </c>
      <c r="FB35" s="16">
        <v>64349480</v>
      </c>
      <c r="FC35" s="16">
        <v>21375000</v>
      </c>
      <c r="FD35" s="16">
        <v>0</v>
      </c>
      <c r="FE35" s="16">
        <v>85874480</v>
      </c>
      <c r="FF35" s="313">
        <v>25830000</v>
      </c>
      <c r="FG35" s="16">
        <v>24106640</v>
      </c>
      <c r="FH35" s="16">
        <v>29487500</v>
      </c>
      <c r="FI35" s="16">
        <v>0</v>
      </c>
      <c r="FJ35" s="16">
        <v>200000</v>
      </c>
      <c r="FK35" s="12">
        <v>53794140</v>
      </c>
      <c r="FL35" s="123">
        <v>1960000</v>
      </c>
      <c r="FM35" s="123">
        <v>0</v>
      </c>
      <c r="FN35" s="12">
        <v>27790000</v>
      </c>
      <c r="FO35" s="12">
        <v>4290340</v>
      </c>
      <c r="FP35" s="13">
        <v>4.9960593647845088E-2</v>
      </c>
      <c r="FQ35" s="13">
        <v>9.7401352738203939E-2</v>
      </c>
      <c r="FR35" s="16">
        <v>9159.1295981052481</v>
      </c>
      <c r="FS35" s="13">
        <v>0.11914237690809623</v>
      </c>
      <c r="GS35" s="26">
        <v>27</v>
      </c>
      <c r="GT35" s="16">
        <v>75417</v>
      </c>
      <c r="GU35">
        <v>246</v>
      </c>
      <c r="GV35" s="16">
        <v>36100000</v>
      </c>
      <c r="GW35" s="16">
        <v>0</v>
      </c>
      <c r="GX35" s="35">
        <v>207484720</v>
      </c>
      <c r="GY35" s="313">
        <v>60270000</v>
      </c>
      <c r="GZ35" s="332">
        <v>132251500</v>
      </c>
      <c r="HA35" s="35">
        <v>64689444.906666666</v>
      </c>
      <c r="HB35" s="35">
        <v>10543775.09333333</v>
      </c>
      <c r="HC35" s="13">
        <v>5.081711604272994E-2</v>
      </c>
      <c r="HD35" s="13">
        <v>0.11643243341646793</v>
      </c>
      <c r="HE35" s="16">
        <v>8740.3635785035203</v>
      </c>
      <c r="HF35" s="13">
        <v>8.4200330111109084E-2</v>
      </c>
      <c r="HG35" s="13"/>
      <c r="HH35" s="1">
        <f t="shared" si="0"/>
        <v>-24170000</v>
      </c>
      <c r="HI35" s="27">
        <f t="shared" si="1"/>
        <v>-0.6695290858725762</v>
      </c>
      <c r="HJ35" s="1">
        <f t="shared" si="2"/>
        <v>-24170000</v>
      </c>
      <c r="HK35" s="27">
        <f t="shared" si="3"/>
        <v>-0.6695290858725762</v>
      </c>
      <c r="JO35"/>
      <c r="JP35"/>
      <c r="JS35"/>
      <c r="JT35"/>
      <c r="JV35"/>
      <c r="JZ35"/>
      <c r="KA35"/>
      <c r="KN35" s="26" t="s">
        <v>27</v>
      </c>
      <c r="MI35">
        <v>0</v>
      </c>
      <c r="MJ35">
        <v>0</v>
      </c>
      <c r="MK35">
        <v>0</v>
      </c>
      <c r="ML35">
        <v>0</v>
      </c>
    </row>
    <row r="36" spans="2:350">
      <c r="B36" s="27">
        <f t="shared" si="14"/>
        <v>0.11643243341646793</v>
      </c>
      <c r="C36" s="27">
        <f t="shared" si="15"/>
        <v>8.4200330111109084E-2</v>
      </c>
      <c r="D36" s="1">
        <f t="shared" si="16"/>
        <v>225619.91869918699</v>
      </c>
      <c r="E36" s="278">
        <v>27</v>
      </c>
      <c r="F36" s="16">
        <v>75417</v>
      </c>
      <c r="G36">
        <v>246</v>
      </c>
      <c r="H36" s="16">
        <v>659172000</v>
      </c>
      <c r="I36" s="16">
        <v>171384720</v>
      </c>
      <c r="J36" s="16">
        <v>36100000</v>
      </c>
      <c r="K36" s="16">
        <v>0</v>
      </c>
      <c r="M36" s="16">
        <v>207484720</v>
      </c>
      <c r="N36" s="16">
        <v>76749000</v>
      </c>
      <c r="O36" s="16">
        <v>55502500</v>
      </c>
      <c r="P36" s="16">
        <v>0</v>
      </c>
      <c r="Q36" s="16"/>
      <c r="R36" s="16">
        <v>0</v>
      </c>
      <c r="S36"/>
      <c r="T36" s="12">
        <v>132251500</v>
      </c>
      <c r="U36" s="313">
        <v>60270000</v>
      </c>
      <c r="V36" s="16">
        <v>0</v>
      </c>
      <c r="W36" s="123">
        <v>3575000</v>
      </c>
      <c r="X36" s="123">
        <v>844444.90666666662</v>
      </c>
      <c r="Y36" s="12">
        <v>64689444.906666666</v>
      </c>
      <c r="Z36" s="12">
        <v>10543775.09333333</v>
      </c>
      <c r="AA36" s="13">
        <v>5.081711604272994E-2</v>
      </c>
      <c r="AB36" s="13">
        <v>0.11643243341646793</v>
      </c>
      <c r="AC36" s="16">
        <v>8740.3635785035203</v>
      </c>
      <c r="AD36" s="13">
        <v>8.4200330111109084E-2</v>
      </c>
      <c r="AF36" s="1">
        <f t="shared" si="7"/>
        <v>306.57317073170731</v>
      </c>
      <c r="AG36" s="16"/>
      <c r="BC36" s="16"/>
      <c r="BD36" s="16">
        <f t="shared" si="17"/>
        <v>0</v>
      </c>
      <c r="BE36" s="16">
        <f t="shared" si="18"/>
        <v>0</v>
      </c>
      <c r="BF36" s="16">
        <v>16</v>
      </c>
      <c r="BG36" s="16"/>
      <c r="BJ36" s="278">
        <v>72026</v>
      </c>
      <c r="BK36">
        <v>29</v>
      </c>
      <c r="BN36">
        <v>29</v>
      </c>
      <c r="BZ36" s="278" t="s">
        <v>170</v>
      </c>
      <c r="CC36">
        <v>0</v>
      </c>
      <c r="CD36">
        <v>0</v>
      </c>
      <c r="CE36">
        <v>0</v>
      </c>
      <c r="CF36">
        <v>0</v>
      </c>
      <c r="CL36" s="26" t="s">
        <v>27</v>
      </c>
      <c r="CQ36">
        <v>3</v>
      </c>
      <c r="CR36">
        <v>4</v>
      </c>
      <c r="CS36">
        <v>5</v>
      </c>
      <c r="CT36">
        <v>5</v>
      </c>
      <c r="EM36">
        <v>0</v>
      </c>
      <c r="EN36">
        <v>0</v>
      </c>
      <c r="EO36">
        <v>0</v>
      </c>
      <c r="EP36">
        <v>5</v>
      </c>
      <c r="EY36" s="337" t="s">
        <v>164</v>
      </c>
      <c r="EZ36" s="16">
        <v>32659</v>
      </c>
      <c r="FA36" s="16">
        <v>311980000</v>
      </c>
      <c r="FB36" s="16">
        <v>81114800</v>
      </c>
      <c r="FC36" s="16">
        <v>27875000</v>
      </c>
      <c r="FD36" s="16">
        <v>0</v>
      </c>
      <c r="FE36" s="16">
        <v>109314800</v>
      </c>
      <c r="FF36" s="313">
        <v>35210000</v>
      </c>
      <c r="FG36" s="16">
        <v>29868690</v>
      </c>
      <c r="FH36" s="16">
        <v>46025000</v>
      </c>
      <c r="FI36" s="16">
        <v>0</v>
      </c>
      <c r="FJ36" s="16">
        <v>200000</v>
      </c>
      <c r="FK36" s="12">
        <v>76093690</v>
      </c>
      <c r="FL36" s="123">
        <v>3000000</v>
      </c>
      <c r="FM36" s="123">
        <v>0</v>
      </c>
      <c r="FN36" s="12">
        <v>38210000</v>
      </c>
      <c r="FO36" s="12">
        <v>-4988890</v>
      </c>
      <c r="FP36" s="13">
        <v>-4.563782763175709E-2</v>
      </c>
      <c r="FQ36" s="13">
        <v>9.5739117892172571E-2</v>
      </c>
      <c r="FR36" s="16">
        <v>9552.6501117609241</v>
      </c>
      <c r="FS36" s="13">
        <v>0.14752548240271812</v>
      </c>
      <c r="GS36" s="26">
        <v>28</v>
      </c>
      <c r="GT36" s="16">
        <v>82969</v>
      </c>
      <c r="GU36">
        <v>247</v>
      </c>
      <c r="GV36" s="16">
        <v>36050000</v>
      </c>
      <c r="GW36" s="16">
        <v>0</v>
      </c>
      <c r="GX36" s="35">
        <v>224984200</v>
      </c>
      <c r="GY36" s="313">
        <v>60025000</v>
      </c>
      <c r="GZ36" s="332">
        <v>148006190</v>
      </c>
      <c r="HA36" s="35">
        <v>64719445</v>
      </c>
      <c r="HB36" s="35">
        <v>12258565</v>
      </c>
      <c r="HC36" s="13">
        <v>5.4486337262794456E-2</v>
      </c>
      <c r="HD36" s="13">
        <v>0.11926829234728281</v>
      </c>
      <c r="HE36" s="16">
        <v>8758.3314249900559</v>
      </c>
      <c r="HF36" s="13">
        <v>8.4409016472401496E-2</v>
      </c>
      <c r="HG36" s="13"/>
      <c r="HH36" s="1">
        <f t="shared" si="0"/>
        <v>-23975000</v>
      </c>
      <c r="HI36" s="27">
        <f t="shared" si="1"/>
        <v>-0.66504854368932043</v>
      </c>
      <c r="HJ36" s="1">
        <f t="shared" si="2"/>
        <v>-23975000</v>
      </c>
      <c r="HK36" s="27">
        <f t="shared" si="3"/>
        <v>-0.66504854368932043</v>
      </c>
      <c r="JO36"/>
      <c r="JP36"/>
      <c r="JS36"/>
      <c r="JT36"/>
      <c r="JV36"/>
      <c r="JZ36"/>
      <c r="KA36"/>
      <c r="KN36" s="278" t="s">
        <v>21</v>
      </c>
      <c r="MI36">
        <v>0</v>
      </c>
      <c r="MJ36">
        <v>0</v>
      </c>
      <c r="MK36">
        <v>0</v>
      </c>
      <c r="ML36">
        <v>0</v>
      </c>
    </row>
    <row r="37" spans="2:350">
      <c r="B37" s="27">
        <f t="shared" si="14"/>
        <v>0.11926829234728281</v>
      </c>
      <c r="C37" s="27">
        <f t="shared" si="15"/>
        <v>8.4409016472401496E-2</v>
      </c>
      <c r="D37" s="1">
        <f t="shared" si="16"/>
        <v>248329.95951417004</v>
      </c>
      <c r="E37" s="278">
        <v>28</v>
      </c>
      <c r="F37" s="16">
        <v>82969</v>
      </c>
      <c r="G37">
        <v>247</v>
      </c>
      <c r="H37" s="16">
        <v>726670000</v>
      </c>
      <c r="I37" s="16">
        <v>188934200</v>
      </c>
      <c r="J37" s="16">
        <v>36050000</v>
      </c>
      <c r="K37" s="16">
        <v>0</v>
      </c>
      <c r="M37" s="16">
        <v>224984200</v>
      </c>
      <c r="N37" s="16">
        <v>86668690</v>
      </c>
      <c r="O37" s="16">
        <v>61337500</v>
      </c>
      <c r="P37" s="16">
        <v>0</v>
      </c>
      <c r="Q37" s="16"/>
      <c r="R37" s="16">
        <v>0</v>
      </c>
      <c r="S37"/>
      <c r="T37" s="12">
        <v>148006190</v>
      </c>
      <c r="U37" s="313">
        <v>60025000</v>
      </c>
      <c r="V37" s="16">
        <v>0</v>
      </c>
      <c r="W37" s="123">
        <v>3850000</v>
      </c>
      <c r="X37" s="123">
        <v>844445</v>
      </c>
      <c r="Y37" s="12">
        <v>64719445</v>
      </c>
      <c r="Z37" s="12">
        <v>12258565</v>
      </c>
      <c r="AA37" s="13">
        <v>5.4486337262794456E-2</v>
      </c>
      <c r="AB37" s="13">
        <v>0.11926829234728281</v>
      </c>
      <c r="AC37" s="16">
        <v>8758.3314249900559</v>
      </c>
      <c r="AD37" s="13">
        <v>8.4409016472401496E-2</v>
      </c>
      <c r="AF37" s="1">
        <f t="shared" si="7"/>
        <v>335.90688259109311</v>
      </c>
      <c r="AG37" s="16"/>
      <c r="BC37" s="16"/>
      <c r="BD37" s="16">
        <f t="shared" si="17"/>
        <v>0</v>
      </c>
      <c r="BE37" s="16">
        <f t="shared" si="18"/>
        <v>0</v>
      </c>
      <c r="BF37" s="16">
        <v>16</v>
      </c>
      <c r="BG37" s="16"/>
      <c r="BJ37" s="278">
        <v>112026</v>
      </c>
      <c r="BL37">
        <v>30</v>
      </c>
      <c r="BN37">
        <v>30</v>
      </c>
      <c r="BZ37" s="278" t="s">
        <v>27</v>
      </c>
      <c r="CC37">
        <v>0</v>
      </c>
      <c r="CD37">
        <v>0</v>
      </c>
      <c r="CE37">
        <v>0</v>
      </c>
      <c r="CF37">
        <v>0</v>
      </c>
      <c r="CL37" s="26" t="s">
        <v>33</v>
      </c>
      <c r="CQ37">
        <v>1</v>
      </c>
      <c r="CR37">
        <v>1</v>
      </c>
      <c r="CS37">
        <v>1</v>
      </c>
      <c r="CT37">
        <v>1</v>
      </c>
      <c r="EM37">
        <v>0</v>
      </c>
      <c r="EN37">
        <v>0</v>
      </c>
      <c r="EO37">
        <v>0</v>
      </c>
      <c r="EP37">
        <v>1</v>
      </c>
      <c r="EY37" s="337" t="s">
        <v>165</v>
      </c>
      <c r="EZ37" s="16">
        <v>27067</v>
      </c>
      <c r="FA37" s="16">
        <v>244450000</v>
      </c>
      <c r="FB37" s="16">
        <v>63557000</v>
      </c>
      <c r="FC37" s="16">
        <v>21075000</v>
      </c>
      <c r="FD37" s="16">
        <v>0</v>
      </c>
      <c r="FE37" s="16">
        <v>84707000</v>
      </c>
      <c r="FF37" s="313">
        <v>26565000</v>
      </c>
      <c r="FG37" s="16">
        <v>22534460</v>
      </c>
      <c r="FH37" s="16">
        <v>27750000</v>
      </c>
      <c r="FI37" s="16">
        <v>0</v>
      </c>
      <c r="FJ37" s="16">
        <v>0</v>
      </c>
      <c r="FK37" s="12">
        <v>50284460</v>
      </c>
      <c r="FL37" s="123">
        <v>3525000</v>
      </c>
      <c r="FM37" s="123">
        <v>0</v>
      </c>
      <c r="FN37" s="12">
        <v>30090000</v>
      </c>
      <c r="FO37" s="12">
        <v>4332540</v>
      </c>
      <c r="FP37" s="13">
        <v>5.1147366805576869E-2</v>
      </c>
      <c r="FQ37" s="13">
        <v>9.218433217426876E-2</v>
      </c>
      <c r="FR37" s="16">
        <v>9031.2927180699753</v>
      </c>
      <c r="FS37" s="13">
        <v>0.11352014726938024</v>
      </c>
      <c r="GS37" s="26">
        <v>29</v>
      </c>
      <c r="GT37" s="16">
        <v>82653</v>
      </c>
      <c r="GU37">
        <v>261</v>
      </c>
      <c r="GV37" s="16">
        <v>37475000</v>
      </c>
      <c r="GW37" s="16">
        <v>0</v>
      </c>
      <c r="GX37" s="35">
        <v>225703560</v>
      </c>
      <c r="GY37" s="313">
        <v>63945000</v>
      </c>
      <c r="GZ37" s="332">
        <v>148563685</v>
      </c>
      <c r="HA37" s="35">
        <v>69914445</v>
      </c>
      <c r="HB37" s="35">
        <v>7225430</v>
      </c>
      <c r="HC37" s="13">
        <v>3.2012919955715362E-2</v>
      </c>
      <c r="HD37" s="13">
        <v>0.11803021868732354</v>
      </c>
      <c r="HE37" s="16">
        <v>8758.9803152940603</v>
      </c>
      <c r="HF37" s="13">
        <v>8.718071263999469E-2</v>
      </c>
      <c r="HG37" s="13"/>
      <c r="HH37" s="1">
        <f t="shared" si="0"/>
        <v>-26470000</v>
      </c>
      <c r="HI37" s="27">
        <f t="shared" si="1"/>
        <v>-0.70633755837224821</v>
      </c>
      <c r="HJ37" s="1">
        <f t="shared" si="2"/>
        <v>-26470000</v>
      </c>
      <c r="HK37" s="27">
        <f t="shared" si="3"/>
        <v>-0.70633755837224821</v>
      </c>
      <c r="JO37"/>
      <c r="JP37"/>
      <c r="JS37"/>
      <c r="JT37"/>
      <c r="JV37"/>
      <c r="JZ37"/>
      <c r="KA37"/>
      <c r="KN37" s="278" t="s">
        <v>158</v>
      </c>
      <c r="MI37">
        <v>0</v>
      </c>
      <c r="MJ37">
        <v>0</v>
      </c>
      <c r="MK37">
        <v>0</v>
      </c>
      <c r="ML37">
        <v>0</v>
      </c>
    </row>
    <row r="38" spans="2:350">
      <c r="B38" s="27">
        <f t="shared" si="14"/>
        <v>0.11803021868732354</v>
      </c>
      <c r="C38" s="27">
        <f t="shared" si="15"/>
        <v>8.718071263999469E-2</v>
      </c>
      <c r="D38" s="1">
        <f t="shared" si="16"/>
        <v>241819.92337164751</v>
      </c>
      <c r="E38" s="278">
        <v>29</v>
      </c>
      <c r="F38" s="16">
        <v>82653</v>
      </c>
      <c r="G38">
        <v>261</v>
      </c>
      <c r="H38" s="16">
        <v>723956000</v>
      </c>
      <c r="I38" s="16">
        <v>188228560</v>
      </c>
      <c r="J38" s="16">
        <v>37475000</v>
      </c>
      <c r="K38" s="16">
        <v>0</v>
      </c>
      <c r="M38" s="16">
        <v>225703560</v>
      </c>
      <c r="N38" s="16">
        <v>85448685</v>
      </c>
      <c r="O38" s="16">
        <v>63115000</v>
      </c>
      <c r="P38" s="16">
        <v>0</v>
      </c>
      <c r="Q38" s="16"/>
      <c r="R38" s="16">
        <v>0</v>
      </c>
      <c r="S38"/>
      <c r="T38" s="12">
        <v>148563685</v>
      </c>
      <c r="U38" s="313">
        <v>63945000</v>
      </c>
      <c r="V38" s="16">
        <v>0</v>
      </c>
      <c r="W38" s="123">
        <v>5125000</v>
      </c>
      <c r="X38" s="123">
        <v>844445</v>
      </c>
      <c r="Y38" s="12">
        <v>69914445</v>
      </c>
      <c r="Z38" s="12">
        <v>7225430</v>
      </c>
      <c r="AA38" s="13">
        <v>3.2012919955715362E-2</v>
      </c>
      <c r="AB38" s="13">
        <v>0.11803021868732354</v>
      </c>
      <c r="AC38" s="16">
        <v>8758.9803152940603</v>
      </c>
      <c r="AD38" s="13">
        <v>8.718071263999469E-2</v>
      </c>
      <c r="AF38" s="1">
        <f t="shared" si="7"/>
        <v>316.67816091954023</v>
      </c>
      <c r="AG38" s="16"/>
      <c r="BC38" s="16"/>
      <c r="BD38" s="16">
        <f t="shared" si="17"/>
        <v>0</v>
      </c>
      <c r="BE38" s="16">
        <f t="shared" si="18"/>
        <v>0</v>
      </c>
      <c r="BF38" s="16">
        <v>14</v>
      </c>
      <c r="BG38" s="16"/>
      <c r="BJ38" s="26" t="s">
        <v>279</v>
      </c>
      <c r="BK38">
        <v>30</v>
      </c>
      <c r="BL38">
        <v>30</v>
      </c>
      <c r="BN38">
        <v>60</v>
      </c>
      <c r="BZ38" s="278" t="s">
        <v>33</v>
      </c>
      <c r="CC38">
        <v>0</v>
      </c>
      <c r="CD38">
        <v>0</v>
      </c>
      <c r="CE38">
        <v>0</v>
      </c>
      <c r="CF38">
        <v>0</v>
      </c>
      <c r="CL38" s="26" t="s">
        <v>171</v>
      </c>
      <c r="CQ38">
        <v>1</v>
      </c>
      <c r="CR38">
        <v>1</v>
      </c>
      <c r="CS38">
        <v>3</v>
      </c>
      <c r="CT38">
        <v>5</v>
      </c>
      <c r="EM38">
        <v>0</v>
      </c>
      <c r="EN38">
        <v>0</v>
      </c>
      <c r="EO38">
        <v>0</v>
      </c>
      <c r="EP38">
        <v>5</v>
      </c>
      <c r="EY38" s="338" t="s">
        <v>36</v>
      </c>
      <c r="EZ38" s="81">
        <v>16788</v>
      </c>
      <c r="FA38" s="81">
        <v>153540000</v>
      </c>
      <c r="FB38" s="81">
        <v>39920400</v>
      </c>
      <c r="FC38" s="81">
        <v>13455000</v>
      </c>
      <c r="FD38" s="81">
        <v>0</v>
      </c>
      <c r="FE38" s="81">
        <v>53455400</v>
      </c>
      <c r="FF38" s="322">
        <v>16975000</v>
      </c>
      <c r="FG38" s="81">
        <v>14319420</v>
      </c>
      <c r="FH38" s="81">
        <v>18050000</v>
      </c>
      <c r="FI38" s="81">
        <v>0</v>
      </c>
      <c r="FJ38" s="81">
        <v>0</v>
      </c>
      <c r="FK38" s="246">
        <v>32369420</v>
      </c>
      <c r="FL38" s="310">
        <v>3475000</v>
      </c>
      <c r="FM38" s="310">
        <v>0</v>
      </c>
      <c r="FN38" s="246">
        <v>20450000</v>
      </c>
      <c r="FO38" s="246">
        <v>635979.99999999627</v>
      </c>
      <c r="FP38" s="244">
        <v>1.1897394837565451E-2</v>
      </c>
      <c r="FQ38" s="244">
        <v>9.3261821023837441E-2</v>
      </c>
      <c r="FR38" s="81">
        <v>9145.8184417441025</v>
      </c>
      <c r="FS38" s="244">
        <v>0.11755894229516738</v>
      </c>
      <c r="GS38" s="26">
        <v>30</v>
      </c>
      <c r="GT38" s="16">
        <v>84141</v>
      </c>
      <c r="GU38">
        <v>265</v>
      </c>
      <c r="GV38" s="16">
        <v>38175000</v>
      </c>
      <c r="GW38" s="16">
        <v>0</v>
      </c>
      <c r="GX38" s="35">
        <v>229710760</v>
      </c>
      <c r="GY38" s="313">
        <v>64925000</v>
      </c>
      <c r="GZ38" s="332">
        <v>158070760</v>
      </c>
      <c r="HA38" s="35">
        <v>71225600</v>
      </c>
      <c r="HB38" s="35">
        <v>414400</v>
      </c>
      <c r="HC38" s="13">
        <v>1.8040077878807245E-3</v>
      </c>
      <c r="HD38" s="13">
        <v>0.11859115812107358</v>
      </c>
      <c r="HE38" s="16">
        <v>8755.2560582831193</v>
      </c>
      <c r="HF38" s="13">
        <v>8.6479673560696968E-2</v>
      </c>
      <c r="HG38" s="13"/>
      <c r="HH38" s="1">
        <f t="shared" si="0"/>
        <v>-26750000</v>
      </c>
      <c r="HI38" s="27">
        <f t="shared" si="1"/>
        <v>-0.70072036673215454</v>
      </c>
      <c r="HJ38" s="1">
        <f t="shared" si="2"/>
        <v>-26750000</v>
      </c>
      <c r="HK38" s="27">
        <f t="shared" si="3"/>
        <v>-0.70072036673215454</v>
      </c>
      <c r="JO38"/>
      <c r="JP38"/>
      <c r="JS38"/>
      <c r="JT38"/>
      <c r="JV38"/>
      <c r="JZ38"/>
      <c r="KA38"/>
      <c r="KN38" s="278" t="s">
        <v>159</v>
      </c>
      <c r="MI38">
        <v>0</v>
      </c>
      <c r="MJ38">
        <v>0</v>
      </c>
      <c r="MK38">
        <v>0</v>
      </c>
      <c r="ML38">
        <v>0</v>
      </c>
    </row>
    <row r="39" spans="2:350">
      <c r="B39" s="27">
        <f t="shared" si="14"/>
        <v>0.11859115812107358</v>
      </c>
      <c r="C39" s="27">
        <f t="shared" si="15"/>
        <v>8.6479673560696968E-2</v>
      </c>
      <c r="D39" s="1">
        <f t="shared" si="16"/>
        <v>240405.66037735849</v>
      </c>
      <c r="E39" s="278">
        <v>30</v>
      </c>
      <c r="F39" s="16">
        <v>84141</v>
      </c>
      <c r="G39">
        <v>265</v>
      </c>
      <c r="H39" s="16">
        <v>736676000</v>
      </c>
      <c r="I39" s="16">
        <v>191535760</v>
      </c>
      <c r="J39" s="16">
        <v>38175000</v>
      </c>
      <c r="K39" s="16">
        <v>0</v>
      </c>
      <c r="M39" s="16">
        <v>229710760</v>
      </c>
      <c r="N39" s="16">
        <v>87363260</v>
      </c>
      <c r="O39" s="16">
        <v>63707500</v>
      </c>
      <c r="P39" s="16">
        <v>0</v>
      </c>
      <c r="Q39" s="16">
        <v>1400000</v>
      </c>
      <c r="R39" s="16">
        <v>5600000</v>
      </c>
      <c r="S39"/>
      <c r="T39" s="12">
        <v>158070760</v>
      </c>
      <c r="U39" s="313">
        <v>64925000</v>
      </c>
      <c r="V39" s="16">
        <v>0</v>
      </c>
      <c r="W39" s="123">
        <v>5875000</v>
      </c>
      <c r="X39" s="123">
        <v>425600</v>
      </c>
      <c r="Y39" s="12">
        <v>71225600</v>
      </c>
      <c r="Z39" s="12">
        <v>414400</v>
      </c>
      <c r="AA39" s="13">
        <v>1.8040077878807245E-3</v>
      </c>
      <c r="AB39" s="13">
        <v>0.11859115812107358</v>
      </c>
      <c r="AC39" s="16">
        <v>8755.2560582831193</v>
      </c>
      <c r="AD39" s="13">
        <v>8.6479673560696968E-2</v>
      </c>
      <c r="AF39" s="1">
        <f t="shared" si="7"/>
        <v>317.51320754716983</v>
      </c>
      <c r="AG39" s="16"/>
      <c r="BC39" s="16"/>
      <c r="BD39" s="16">
        <f t="shared" si="17"/>
        <v>0</v>
      </c>
      <c r="BE39" s="16">
        <f t="shared" si="18"/>
        <v>0</v>
      </c>
      <c r="BF39" s="16">
        <v>19</v>
      </c>
      <c r="BG39" s="16"/>
      <c r="BJ39" s="278">
        <v>82026</v>
      </c>
      <c r="BK39">
        <v>30</v>
      </c>
      <c r="BN39">
        <v>30</v>
      </c>
      <c r="BZ39" s="278" t="s">
        <v>171</v>
      </c>
      <c r="CC39">
        <v>0</v>
      </c>
      <c r="CD39">
        <v>0</v>
      </c>
      <c r="CE39">
        <v>0</v>
      </c>
      <c r="CF39">
        <v>0</v>
      </c>
      <c r="CL39" s="26" t="s">
        <v>276</v>
      </c>
      <c r="EM39">
        <v>0</v>
      </c>
      <c r="EN39">
        <v>0</v>
      </c>
      <c r="EO39">
        <v>0</v>
      </c>
      <c r="EP39">
        <v>0</v>
      </c>
      <c r="EY39" s="337" t="s">
        <v>166</v>
      </c>
      <c r="EZ39" s="16">
        <v>15219</v>
      </c>
      <c r="FA39" s="16">
        <v>139482000</v>
      </c>
      <c r="FB39" s="16">
        <v>36265320</v>
      </c>
      <c r="FC39" s="16">
        <v>11995000</v>
      </c>
      <c r="FD39" s="16">
        <v>0</v>
      </c>
      <c r="FE39" s="16">
        <v>48260320</v>
      </c>
      <c r="FF39" s="313">
        <v>16485000</v>
      </c>
      <c r="FG39" s="16">
        <v>12988300</v>
      </c>
      <c r="FH39" s="16">
        <v>17825000</v>
      </c>
      <c r="FI39" s="16">
        <v>0</v>
      </c>
      <c r="FJ39" s="16">
        <v>0</v>
      </c>
      <c r="FK39" s="12">
        <v>30813300</v>
      </c>
      <c r="FL39" s="123">
        <v>3701666.666666666</v>
      </c>
      <c r="FM39" s="123">
        <v>0</v>
      </c>
      <c r="FN39" s="12">
        <v>20186666.666666668</v>
      </c>
      <c r="FO39" s="12">
        <v>-2739646.6666666716</v>
      </c>
      <c r="FP39" s="13">
        <v>-5.6768099893798295E-2</v>
      </c>
      <c r="FQ39" s="13">
        <v>9.3118108429761551E-2</v>
      </c>
      <c r="FR39" s="16">
        <v>9164.9911295091661</v>
      </c>
      <c r="FS39" s="13">
        <v>0.12779426736066302</v>
      </c>
      <c r="GS39" s="26">
        <v>31</v>
      </c>
      <c r="GT39" s="16">
        <v>84407</v>
      </c>
      <c r="GU39">
        <v>262</v>
      </c>
      <c r="GV39" s="16">
        <v>37700000</v>
      </c>
      <c r="GW39" s="16">
        <v>0</v>
      </c>
      <c r="GX39" s="35">
        <v>229881599.99999997</v>
      </c>
      <c r="GY39" s="313">
        <v>64190000</v>
      </c>
      <c r="GZ39" s="332">
        <v>151639420</v>
      </c>
      <c r="HA39" s="35">
        <v>70407007</v>
      </c>
      <c r="HB39" s="35">
        <v>7835172.9999999851</v>
      </c>
      <c r="HC39" s="13">
        <v>3.4083515166068036E-2</v>
      </c>
      <c r="HD39" s="13">
        <v>0.11903636560419936</v>
      </c>
      <c r="HE39" s="16">
        <v>8757.0936059805463</v>
      </c>
      <c r="HF39" s="13">
        <v>8.6114643649548142E-2</v>
      </c>
      <c r="HG39" s="13"/>
      <c r="HH39" s="1">
        <f t="shared" si="0"/>
        <v>-26490000</v>
      </c>
      <c r="HI39" s="27">
        <f t="shared" si="1"/>
        <v>-0.70265251989389921</v>
      </c>
      <c r="HJ39" s="1">
        <f t="shared" si="2"/>
        <v>-26490000</v>
      </c>
      <c r="HK39" s="27">
        <f t="shared" si="3"/>
        <v>-0.70265251989389921</v>
      </c>
      <c r="JO39"/>
      <c r="JP39"/>
      <c r="JS39"/>
      <c r="JT39"/>
      <c r="JV39"/>
      <c r="JZ39"/>
      <c r="KA39"/>
      <c r="KN39" s="278" t="s">
        <v>160</v>
      </c>
      <c r="MI39">
        <v>0</v>
      </c>
      <c r="MJ39">
        <v>0</v>
      </c>
      <c r="MK39">
        <v>0</v>
      </c>
      <c r="ML39">
        <v>0</v>
      </c>
    </row>
    <row r="40" spans="2:350">
      <c r="B40" s="27">
        <f t="shared" si="14"/>
        <v>0.11903636560419936</v>
      </c>
      <c r="C40" s="27">
        <f t="shared" si="15"/>
        <v>8.6114643649548142E-2</v>
      </c>
      <c r="D40" s="1">
        <f t="shared" si="16"/>
        <v>242948.47328244275</v>
      </c>
      <c r="E40" s="278">
        <v>31</v>
      </c>
      <c r="F40" s="16">
        <v>84407</v>
      </c>
      <c r="G40">
        <v>262</v>
      </c>
      <c r="H40" s="16">
        <v>739160000</v>
      </c>
      <c r="I40" s="16">
        <v>192181600</v>
      </c>
      <c r="J40" s="16">
        <v>37700000</v>
      </c>
      <c r="K40" s="16">
        <v>0</v>
      </c>
      <c r="M40" s="16">
        <v>229881599.99999997</v>
      </c>
      <c r="N40" s="16">
        <v>87986920</v>
      </c>
      <c r="O40" s="16">
        <v>63652500</v>
      </c>
      <c r="P40" s="16">
        <v>0</v>
      </c>
      <c r="Q40" s="16"/>
      <c r="R40" s="16">
        <v>0</v>
      </c>
      <c r="S40"/>
      <c r="T40" s="12">
        <v>151639420</v>
      </c>
      <c r="U40" s="313">
        <v>64190000</v>
      </c>
      <c r="V40" s="16">
        <v>292007</v>
      </c>
      <c r="W40" s="123">
        <v>5925000</v>
      </c>
      <c r="X40" s="123">
        <v>0</v>
      </c>
      <c r="Y40" s="12">
        <v>70407007</v>
      </c>
      <c r="Z40" s="12">
        <v>7835172.9999999851</v>
      </c>
      <c r="AA40" s="13">
        <v>3.4083515166068036E-2</v>
      </c>
      <c r="AB40" s="13">
        <v>0.11903636560419936</v>
      </c>
      <c r="AC40" s="16">
        <v>8757.0936059805463</v>
      </c>
      <c r="AD40" s="13">
        <v>8.6114643649548142E-2</v>
      </c>
      <c r="AF40" s="1">
        <f t="shared" si="7"/>
        <v>322.1641221374046</v>
      </c>
      <c r="AG40" s="16"/>
      <c r="BC40" s="16"/>
      <c r="BD40" s="16">
        <f t="shared" si="17"/>
        <v>0</v>
      </c>
      <c r="BE40" s="16">
        <f t="shared" si="18"/>
        <v>0</v>
      </c>
      <c r="BF40" s="16">
        <v>21</v>
      </c>
      <c r="BG40" s="16"/>
      <c r="BJ40" s="278">
        <v>122026</v>
      </c>
      <c r="BL40">
        <v>30</v>
      </c>
      <c r="BN40">
        <v>30</v>
      </c>
      <c r="BZ40" s="278" t="s">
        <v>276</v>
      </c>
      <c r="CC40">
        <v>0</v>
      </c>
      <c r="CD40">
        <v>0</v>
      </c>
      <c r="CE40">
        <v>0</v>
      </c>
      <c r="CF40">
        <v>0</v>
      </c>
      <c r="CL40" s="26" t="s">
        <v>277</v>
      </c>
      <c r="EM40">
        <v>0</v>
      </c>
      <c r="EN40">
        <v>0</v>
      </c>
      <c r="EO40">
        <v>0</v>
      </c>
      <c r="EP40">
        <v>0</v>
      </c>
      <c r="EY40" s="26">
        <v>2026</v>
      </c>
      <c r="EZ40" s="16">
        <v>67841</v>
      </c>
      <c r="FA40" s="16">
        <v>482313879</v>
      </c>
      <c r="FB40" s="16">
        <v>117992116.09999999</v>
      </c>
      <c r="FC40" s="16">
        <v>45965000</v>
      </c>
      <c r="FD40" s="16">
        <v>0</v>
      </c>
      <c r="FE40" s="16">
        <v>163957116.09999999</v>
      </c>
      <c r="FF40" s="313">
        <v>62615000</v>
      </c>
      <c r="FG40" s="16">
        <v>39305400</v>
      </c>
      <c r="FH40" s="16">
        <v>60804300</v>
      </c>
      <c r="FI40" s="16">
        <v>0</v>
      </c>
      <c r="FJ40" s="16">
        <v>0</v>
      </c>
      <c r="FK40" s="12">
        <v>100109700</v>
      </c>
      <c r="FL40" s="123">
        <v>10700000</v>
      </c>
      <c r="FM40" s="123">
        <v>0</v>
      </c>
      <c r="FN40" s="12">
        <v>73315000</v>
      </c>
      <c r="FO40" s="12">
        <v>-9467583.8999999985</v>
      </c>
      <c r="FP40" s="13">
        <v>-5.7744269509019494E-2</v>
      </c>
      <c r="FQ40" s="13">
        <v>8.1493404422641552E-2</v>
      </c>
      <c r="FR40" s="16">
        <v>7109.4747866334519</v>
      </c>
      <c r="FS40" s="13">
        <v>0.12606790442370827</v>
      </c>
      <c r="GS40" s="26">
        <v>32</v>
      </c>
      <c r="GT40" s="16">
        <v>78810</v>
      </c>
      <c r="GU40">
        <v>263</v>
      </c>
      <c r="GV40" s="16">
        <v>38350000</v>
      </c>
      <c r="GW40" s="16">
        <v>0</v>
      </c>
      <c r="GX40" s="35">
        <v>217715160</v>
      </c>
      <c r="GY40" s="313">
        <v>64435000</v>
      </c>
      <c r="GZ40" s="332">
        <v>141827295</v>
      </c>
      <c r="HA40" s="35">
        <v>68602006.166666672</v>
      </c>
      <c r="HB40" s="35">
        <v>7285858.8333333135</v>
      </c>
      <c r="HC40" s="13">
        <v>3.3465096474371896E-2</v>
      </c>
      <c r="HD40" s="13">
        <v>0.11456905399019519</v>
      </c>
      <c r="HE40" s="16">
        <v>8753.533815505647</v>
      </c>
      <c r="HF40" s="13">
        <v>9.1017675896478453E-2</v>
      </c>
      <c r="HG40" s="13"/>
      <c r="HH40" s="1">
        <f t="shared" si="0"/>
        <v>-26085000</v>
      </c>
      <c r="HI40" s="27">
        <f t="shared" si="1"/>
        <v>-0.68018252933507173</v>
      </c>
      <c r="HJ40" s="1">
        <f t="shared" si="2"/>
        <v>-26085000</v>
      </c>
      <c r="HK40" s="27">
        <f t="shared" si="3"/>
        <v>-0.68018252933507173</v>
      </c>
      <c r="JO40"/>
      <c r="JP40"/>
      <c r="JS40"/>
      <c r="JT40"/>
      <c r="JV40"/>
      <c r="JZ40"/>
      <c r="KA40"/>
      <c r="KN40" s="278" t="s">
        <v>161</v>
      </c>
      <c r="MI40">
        <v>0</v>
      </c>
      <c r="MJ40">
        <v>0</v>
      </c>
      <c r="MK40">
        <v>0</v>
      </c>
      <c r="ML40">
        <v>0</v>
      </c>
    </row>
    <row r="41" spans="2:350">
      <c r="B41" s="27">
        <f t="shared" si="14"/>
        <v>0.11456905399019519</v>
      </c>
      <c r="C41" s="27">
        <f t="shared" si="15"/>
        <v>9.1017675896478453E-2</v>
      </c>
      <c r="D41" s="1">
        <f t="shared" si="16"/>
        <v>238745.24714828897</v>
      </c>
      <c r="E41" s="278">
        <v>32</v>
      </c>
      <c r="F41" s="16">
        <v>78810</v>
      </c>
      <c r="G41">
        <v>263</v>
      </c>
      <c r="H41" s="16">
        <v>689866000</v>
      </c>
      <c r="I41" s="16">
        <v>179365160</v>
      </c>
      <c r="J41" s="16">
        <v>38350000</v>
      </c>
      <c r="K41" s="16">
        <v>0</v>
      </c>
      <c r="M41" s="16">
        <v>217715160</v>
      </c>
      <c r="N41" s="16">
        <v>79037295</v>
      </c>
      <c r="O41" s="16">
        <v>62790000</v>
      </c>
      <c r="P41" s="16">
        <v>0</v>
      </c>
      <c r="Q41" s="16"/>
      <c r="R41" s="16">
        <v>0</v>
      </c>
      <c r="S41"/>
      <c r="T41" s="12">
        <v>141827295</v>
      </c>
      <c r="U41" s="313">
        <v>64435000</v>
      </c>
      <c r="V41" s="16">
        <v>250000</v>
      </c>
      <c r="W41" s="123">
        <v>3625000</v>
      </c>
      <c r="X41" s="123">
        <v>292006.16666666663</v>
      </c>
      <c r="Y41" s="12">
        <v>68602006.166666672</v>
      </c>
      <c r="Z41" s="12">
        <v>7285858.8333333135</v>
      </c>
      <c r="AA41" s="13">
        <v>3.3465096474371896E-2</v>
      </c>
      <c r="AB41" s="13">
        <v>0.11456905399019519</v>
      </c>
      <c r="AC41" s="16">
        <v>8753.533815505647</v>
      </c>
      <c r="AD41" s="13">
        <v>9.1017675896478453E-2</v>
      </c>
      <c r="AF41" s="1">
        <f t="shared" si="7"/>
        <v>299.65779467680608</v>
      </c>
      <c r="AG41" s="16"/>
      <c r="BC41" s="16"/>
      <c r="BD41" s="16">
        <f t="shared" si="17"/>
        <v>0</v>
      </c>
      <c r="BE41" s="16">
        <f t="shared" si="18"/>
        <v>0</v>
      </c>
      <c r="BF41" s="16">
        <v>27</v>
      </c>
      <c r="BG41" s="16"/>
      <c r="BJ41" s="26" t="s">
        <v>280</v>
      </c>
      <c r="BK41">
        <v>27</v>
      </c>
      <c r="BL41">
        <v>31</v>
      </c>
      <c r="BN41">
        <v>58</v>
      </c>
      <c r="BZ41" s="278" t="s">
        <v>277</v>
      </c>
      <c r="CC41">
        <v>0</v>
      </c>
      <c r="CD41">
        <v>0</v>
      </c>
      <c r="CE41">
        <v>0</v>
      </c>
      <c r="CF41">
        <v>0</v>
      </c>
      <c r="CL41" s="26" t="s">
        <v>199</v>
      </c>
      <c r="EM41">
        <v>0</v>
      </c>
      <c r="EN41">
        <v>0</v>
      </c>
      <c r="EO41">
        <v>0</v>
      </c>
      <c r="EP41">
        <v>0</v>
      </c>
      <c r="EY41" s="278" t="s">
        <v>205</v>
      </c>
      <c r="EZ41" s="16">
        <v>20219</v>
      </c>
      <c r="FA41" s="16">
        <v>41136859</v>
      </c>
      <c r="FB41" s="16">
        <v>3286090.9</v>
      </c>
      <c r="FC41" s="16">
        <v>0</v>
      </c>
      <c r="FD41" s="16">
        <v>0</v>
      </c>
      <c r="FE41" s="16">
        <v>3286090.9</v>
      </c>
      <c r="FF41" s="313">
        <v>0</v>
      </c>
      <c r="FG41" s="16">
        <v>0</v>
      </c>
      <c r="FH41" s="16">
        <v>0</v>
      </c>
      <c r="FI41" s="16">
        <v>0</v>
      </c>
      <c r="FJ41" s="16">
        <v>0</v>
      </c>
      <c r="FK41" s="12">
        <v>0</v>
      </c>
      <c r="FL41" s="123">
        <v>4000000</v>
      </c>
      <c r="FM41" s="123">
        <v>0</v>
      </c>
      <c r="FN41" s="12">
        <v>4000000</v>
      </c>
      <c r="FO41" s="12">
        <v>-713909.09999999986</v>
      </c>
      <c r="FP41" s="13">
        <v>-0.21725178083174751</v>
      </c>
      <c r="FQ41" s="13">
        <v>0</v>
      </c>
      <c r="FR41" s="16">
        <v>2034.5644690637519</v>
      </c>
      <c r="FS41" s="13">
        <v>0</v>
      </c>
      <c r="GS41" s="26">
        <v>33</v>
      </c>
      <c r="GT41" s="16">
        <v>75983</v>
      </c>
      <c r="GU41">
        <v>254</v>
      </c>
      <c r="GV41" s="16">
        <v>39950000</v>
      </c>
      <c r="GW41" s="16">
        <v>0</v>
      </c>
      <c r="GX41" s="35">
        <v>212721560</v>
      </c>
      <c r="GY41" s="313">
        <v>62230000</v>
      </c>
      <c r="GZ41" s="332">
        <v>137377405</v>
      </c>
      <c r="HA41" s="35">
        <v>66047006.166666664</v>
      </c>
      <c r="HB41" s="35">
        <v>9297148.8333333433</v>
      </c>
      <c r="HC41" s="13">
        <v>4.3705719501743706E-2</v>
      </c>
      <c r="HD41" s="13">
        <v>0.11479942242808944</v>
      </c>
      <c r="HE41" s="16">
        <v>8745.4562204703689</v>
      </c>
      <c r="HF41" s="13">
        <v>9.193671689947118E-2</v>
      </c>
      <c r="HG41" s="13"/>
      <c r="HH41" s="1">
        <f t="shared" si="0"/>
        <v>-22280000</v>
      </c>
      <c r="HI41" s="27">
        <f t="shared" si="1"/>
        <v>-0.5576971214017522</v>
      </c>
      <c r="HJ41" s="1">
        <f t="shared" si="2"/>
        <v>-22280000</v>
      </c>
      <c r="HK41" s="27">
        <f t="shared" si="3"/>
        <v>-0.5576971214017522</v>
      </c>
      <c r="JO41"/>
      <c r="JP41"/>
      <c r="JS41"/>
      <c r="JT41"/>
      <c r="JV41"/>
      <c r="JZ41"/>
      <c r="KA41"/>
      <c r="KN41" s="278" t="s">
        <v>156</v>
      </c>
      <c r="MI41">
        <v>0</v>
      </c>
      <c r="MJ41">
        <v>0</v>
      </c>
      <c r="MK41">
        <v>0</v>
      </c>
      <c r="ML41">
        <v>0</v>
      </c>
    </row>
    <row r="42" spans="2:350">
      <c r="B42" s="27">
        <f t="shared" si="14"/>
        <v>0.11479942242808944</v>
      </c>
      <c r="C42" s="27">
        <f t="shared" si="15"/>
        <v>9.193671689947118E-2</v>
      </c>
      <c r="D42" s="1">
        <f t="shared" si="16"/>
        <v>240521.6535433071</v>
      </c>
      <c r="E42" s="278">
        <v>33</v>
      </c>
      <c r="F42" s="16">
        <v>75983</v>
      </c>
      <c r="G42">
        <v>254</v>
      </c>
      <c r="H42" s="16">
        <v>664506000</v>
      </c>
      <c r="I42" s="16">
        <v>172771560</v>
      </c>
      <c r="J42" s="16">
        <v>39950000</v>
      </c>
      <c r="K42" s="16">
        <v>0</v>
      </c>
      <c r="M42" s="16">
        <v>212721560</v>
      </c>
      <c r="N42" s="16">
        <v>76284905</v>
      </c>
      <c r="O42" s="16">
        <v>61092500</v>
      </c>
      <c r="P42" s="16">
        <v>0</v>
      </c>
      <c r="Q42" s="16"/>
      <c r="R42" s="16">
        <v>0</v>
      </c>
      <c r="S42"/>
      <c r="T42" s="12">
        <v>137377405</v>
      </c>
      <c r="U42" s="313">
        <v>62230000</v>
      </c>
      <c r="V42" s="16">
        <v>0</v>
      </c>
      <c r="W42" s="123">
        <v>3525000</v>
      </c>
      <c r="X42" s="123">
        <v>292006.16666666663</v>
      </c>
      <c r="Y42" s="12">
        <v>66047006.166666664</v>
      </c>
      <c r="Z42" s="12">
        <v>9297148.8333333433</v>
      </c>
      <c r="AA42" s="13">
        <v>4.3705719501743706E-2</v>
      </c>
      <c r="AB42" s="13">
        <v>0.11479942242808944</v>
      </c>
      <c r="AC42" s="16">
        <v>8745.4562204703689</v>
      </c>
      <c r="AD42" s="13">
        <v>9.193671689947118E-2</v>
      </c>
      <c r="AF42" s="1">
        <f t="shared" si="7"/>
        <v>299.14566929133861</v>
      </c>
      <c r="AG42" s="16"/>
      <c r="BC42" s="16"/>
      <c r="BD42" s="16">
        <f t="shared" si="17"/>
        <v>0</v>
      </c>
      <c r="BE42" s="16">
        <f t="shared" si="18"/>
        <v>0</v>
      </c>
      <c r="BF42" s="16">
        <v>21</v>
      </c>
      <c r="BG42" s="16"/>
      <c r="BJ42" s="278">
        <v>92026</v>
      </c>
      <c r="BK42">
        <v>27</v>
      </c>
      <c r="BN42">
        <v>27</v>
      </c>
      <c r="BZ42" s="278" t="s">
        <v>199</v>
      </c>
      <c r="CC42">
        <v>0</v>
      </c>
      <c r="CD42">
        <v>0</v>
      </c>
      <c r="CE42">
        <v>0</v>
      </c>
      <c r="CF42">
        <v>0</v>
      </c>
      <c r="CL42" s="26" t="s">
        <v>196</v>
      </c>
      <c r="EM42">
        <v>0</v>
      </c>
      <c r="EN42">
        <v>0</v>
      </c>
      <c r="EO42">
        <v>0</v>
      </c>
      <c r="EP42">
        <v>0</v>
      </c>
      <c r="EY42" s="337" t="s">
        <v>21</v>
      </c>
      <c r="EZ42" s="16">
        <v>6906</v>
      </c>
      <c r="FA42" s="16">
        <v>12750379</v>
      </c>
      <c r="FB42" s="16">
        <v>1183693.8999999999</v>
      </c>
      <c r="FC42" s="16">
        <v>0</v>
      </c>
      <c r="FD42" s="16">
        <v>0</v>
      </c>
      <c r="FE42" s="16">
        <v>1183693.8999999999</v>
      </c>
      <c r="FF42" s="313">
        <v>0</v>
      </c>
      <c r="FG42" s="16">
        <v>0</v>
      </c>
      <c r="FH42" s="16">
        <v>0</v>
      </c>
      <c r="FI42" s="16">
        <v>0</v>
      </c>
      <c r="FJ42" s="16">
        <v>0</v>
      </c>
      <c r="FK42" s="12">
        <v>0</v>
      </c>
      <c r="FL42" s="123">
        <v>775000</v>
      </c>
      <c r="FM42" s="123">
        <v>0</v>
      </c>
      <c r="FN42" s="12">
        <v>775000</v>
      </c>
      <c r="FO42" s="12">
        <v>408693.9</v>
      </c>
      <c r="FP42" s="13">
        <v>0.34526992155657815</v>
      </c>
      <c r="FQ42" s="13">
        <v>0</v>
      </c>
      <c r="FR42" s="16">
        <v>1846.2755574862438</v>
      </c>
      <c r="FS42" s="13">
        <v>0</v>
      </c>
      <c r="GS42" s="26">
        <v>34</v>
      </c>
      <c r="GT42" s="16">
        <v>71213</v>
      </c>
      <c r="GU42">
        <v>248</v>
      </c>
      <c r="GV42" s="16">
        <v>39010000</v>
      </c>
      <c r="GW42" s="16">
        <v>0</v>
      </c>
      <c r="GX42" s="35">
        <v>201042000</v>
      </c>
      <c r="GY42" s="313">
        <v>60515000</v>
      </c>
      <c r="GZ42" s="332">
        <v>127419800</v>
      </c>
      <c r="HA42" s="35">
        <v>64407006.166666664</v>
      </c>
      <c r="HB42" s="35">
        <v>9215193.8333333433</v>
      </c>
      <c r="HC42" s="13">
        <v>4.5837157575697333E-2</v>
      </c>
      <c r="HD42" s="13">
        <v>0.11247528883183569</v>
      </c>
      <c r="HE42" s="16">
        <v>8751.2111552665938</v>
      </c>
      <c r="HF42" s="13">
        <v>9.1985237483953791E-2</v>
      </c>
      <c r="HG42" s="13"/>
      <c r="HH42" s="1">
        <f t="shared" si="0"/>
        <v>-21505000</v>
      </c>
      <c r="HI42" s="27">
        <f t="shared" si="1"/>
        <v>-0.55126890540886953</v>
      </c>
      <c r="HJ42" s="1">
        <f t="shared" si="2"/>
        <v>-21505000</v>
      </c>
      <c r="HK42" s="27">
        <f t="shared" si="3"/>
        <v>-0.55126890540886953</v>
      </c>
      <c r="JO42"/>
      <c r="JP42"/>
      <c r="JS42"/>
      <c r="JT42"/>
      <c r="JV42"/>
      <c r="JZ42"/>
      <c r="KA42"/>
      <c r="KN42" s="278" t="s">
        <v>162</v>
      </c>
      <c r="MI42">
        <v>0</v>
      </c>
      <c r="MJ42">
        <v>0</v>
      </c>
      <c r="MK42">
        <v>0</v>
      </c>
      <c r="ML42">
        <v>0</v>
      </c>
    </row>
    <row r="43" spans="2:350">
      <c r="B43" s="27">
        <f t="shared" si="14"/>
        <v>0.11247528883183569</v>
      </c>
      <c r="C43" s="27">
        <f t="shared" si="15"/>
        <v>9.1985237483953791E-2</v>
      </c>
      <c r="D43" s="1">
        <f t="shared" si="16"/>
        <v>231150</v>
      </c>
      <c r="E43" s="278">
        <v>34</v>
      </c>
      <c r="F43" s="16">
        <v>71213</v>
      </c>
      <c r="G43">
        <v>248</v>
      </c>
      <c r="H43" s="16">
        <v>623200000</v>
      </c>
      <c r="I43" s="16">
        <v>162032000</v>
      </c>
      <c r="J43" s="16">
        <v>39010000</v>
      </c>
      <c r="K43" s="16">
        <v>0</v>
      </c>
      <c r="M43" s="16">
        <v>201042000</v>
      </c>
      <c r="N43" s="16">
        <v>70094600</v>
      </c>
      <c r="O43" s="16">
        <v>57325200</v>
      </c>
      <c r="P43" s="16">
        <v>0</v>
      </c>
      <c r="Q43" s="16"/>
      <c r="R43" s="16">
        <v>0</v>
      </c>
      <c r="S43"/>
      <c r="T43" s="12">
        <v>127419800</v>
      </c>
      <c r="U43" s="313">
        <v>60515000</v>
      </c>
      <c r="V43" s="16">
        <v>75000</v>
      </c>
      <c r="W43" s="123">
        <v>3525000</v>
      </c>
      <c r="X43" s="123">
        <v>292006.16666666698</v>
      </c>
      <c r="Y43" s="12">
        <v>64407006.166666664</v>
      </c>
      <c r="Z43" s="12">
        <v>9215193.8333333433</v>
      </c>
      <c r="AA43" s="13">
        <v>4.5837157575697333E-2</v>
      </c>
      <c r="AB43" s="13">
        <v>0.11247528883183569</v>
      </c>
      <c r="AC43" s="16">
        <v>8751.2111552665938</v>
      </c>
      <c r="AD43" s="13">
        <v>9.1985237483953791E-2</v>
      </c>
      <c r="AF43" s="1">
        <f t="shared" si="7"/>
        <v>287.14919354838707</v>
      </c>
      <c r="AG43" s="16"/>
      <c r="BC43" s="16"/>
      <c r="BD43" s="16" t="e">
        <f t="shared" ref="BD43:BD54" si="19">AJ43/BF43</f>
        <v>#DIV/0!</v>
      </c>
      <c r="BE43" s="16" t="e">
        <f t="shared" ref="BE43:BE54" si="20">AI43/BF43</f>
        <v>#DIV/0!</v>
      </c>
      <c r="BF43" s="16"/>
      <c r="BG43" s="16"/>
      <c r="BJ43" s="278">
        <v>132026</v>
      </c>
      <c r="BL43">
        <v>31</v>
      </c>
      <c r="BN43">
        <v>31</v>
      </c>
      <c r="BZ43" s="278" t="s">
        <v>196</v>
      </c>
      <c r="CC43">
        <v>0</v>
      </c>
      <c r="CD43">
        <v>0</v>
      </c>
      <c r="CE43">
        <v>0</v>
      </c>
      <c r="CF43">
        <v>0</v>
      </c>
      <c r="CL43" s="26" t="s">
        <v>29</v>
      </c>
      <c r="CQ43">
        <v>5</v>
      </c>
      <c r="CR43">
        <v>6</v>
      </c>
      <c r="CS43">
        <v>3</v>
      </c>
      <c r="CT43">
        <v>4</v>
      </c>
      <c r="EM43">
        <v>0</v>
      </c>
      <c r="EN43">
        <v>0</v>
      </c>
      <c r="EO43">
        <v>0</v>
      </c>
      <c r="EP43">
        <v>6</v>
      </c>
      <c r="EY43" s="337" t="s">
        <v>158</v>
      </c>
      <c r="EZ43" s="16">
        <v>5278</v>
      </c>
      <c r="FA43" s="16">
        <v>10437880</v>
      </c>
      <c r="FB43" s="16">
        <v>845995.00000000012</v>
      </c>
      <c r="FC43" s="16">
        <v>0</v>
      </c>
      <c r="FD43" s="16">
        <v>0</v>
      </c>
      <c r="FE43" s="16">
        <v>845995.00000000012</v>
      </c>
      <c r="FF43" s="313">
        <v>0</v>
      </c>
      <c r="FG43" s="16">
        <v>0</v>
      </c>
      <c r="FH43" s="16">
        <v>0</v>
      </c>
      <c r="FI43" s="16">
        <v>0</v>
      </c>
      <c r="FJ43" s="16">
        <v>0</v>
      </c>
      <c r="FK43" s="12">
        <v>0</v>
      </c>
      <c r="FL43" s="123">
        <v>1325000</v>
      </c>
      <c r="FM43" s="123">
        <v>0</v>
      </c>
      <c r="FN43" s="12">
        <v>1325000</v>
      </c>
      <c r="FO43" s="12">
        <v>-479005</v>
      </c>
      <c r="FP43" s="13">
        <v>-0.56620310994745826</v>
      </c>
      <c r="FQ43" s="13">
        <v>0</v>
      </c>
      <c r="FR43" s="16">
        <v>1977.6203107237591</v>
      </c>
      <c r="FS43" s="13">
        <v>0</v>
      </c>
      <c r="GS43" s="26">
        <v>35</v>
      </c>
      <c r="GT43" s="16">
        <v>75783</v>
      </c>
      <c r="GU43">
        <v>251</v>
      </c>
      <c r="GV43" s="16">
        <v>39325000</v>
      </c>
      <c r="GW43" s="16">
        <v>0</v>
      </c>
      <c r="GX43" s="35">
        <v>211626480</v>
      </c>
      <c r="GY43" s="313">
        <v>61495000</v>
      </c>
      <c r="GZ43" s="332">
        <v>152588685</v>
      </c>
      <c r="HA43" s="35">
        <v>67856999.847307503</v>
      </c>
      <c r="HB43" s="35">
        <v>-8819204.8473075032</v>
      </c>
      <c r="HC43" s="13">
        <v>-4.1673446760100645E-2</v>
      </c>
      <c r="HD43" s="13">
        <v>0.11508060232564456</v>
      </c>
      <c r="HE43" s="16">
        <v>8744.6788857659376</v>
      </c>
      <c r="HF43" s="13">
        <v>0.10566653287017616</v>
      </c>
      <c r="HG43" s="13"/>
      <c r="HH43" s="1">
        <f t="shared" si="0"/>
        <v>-22170000</v>
      </c>
      <c r="HI43" s="27">
        <f t="shared" si="1"/>
        <v>-0.56376350921805463</v>
      </c>
      <c r="HJ43" s="1">
        <f t="shared" si="2"/>
        <v>-22170000</v>
      </c>
      <c r="HK43" s="27">
        <f t="shared" si="3"/>
        <v>-0.56376350921805463</v>
      </c>
      <c r="JO43"/>
      <c r="JP43"/>
      <c r="JS43"/>
      <c r="JT43"/>
      <c r="JV43"/>
      <c r="JZ43"/>
      <c r="KA43"/>
      <c r="KN43" s="278" t="s">
        <v>163</v>
      </c>
      <c r="LV43" s="379"/>
      <c r="MI43">
        <v>0</v>
      </c>
      <c r="MJ43">
        <v>0</v>
      </c>
      <c r="MK43">
        <v>0</v>
      </c>
      <c r="ML43">
        <v>0</v>
      </c>
    </row>
    <row r="44" spans="2:350">
      <c r="B44" s="27">
        <f t="shared" si="14"/>
        <v>0.11508060232564456</v>
      </c>
      <c r="C44" s="27">
        <f t="shared" si="15"/>
        <v>0.10566653287017616</v>
      </c>
      <c r="D44" s="1">
        <f t="shared" si="16"/>
        <v>278984.0637450199</v>
      </c>
      <c r="E44" s="278">
        <v>35</v>
      </c>
      <c r="F44" s="16">
        <v>75783</v>
      </c>
      <c r="G44">
        <v>251</v>
      </c>
      <c r="H44" s="16">
        <v>662698000</v>
      </c>
      <c r="I44" s="16">
        <v>172301480</v>
      </c>
      <c r="J44" s="16">
        <v>39325000</v>
      </c>
      <c r="K44" s="16">
        <v>0</v>
      </c>
      <c r="M44" s="16">
        <v>211626480</v>
      </c>
      <c r="N44" s="16">
        <v>76263685</v>
      </c>
      <c r="O44" s="16">
        <v>70025000</v>
      </c>
      <c r="P44" s="16">
        <v>0</v>
      </c>
      <c r="Q44" s="16">
        <v>900000</v>
      </c>
      <c r="R44" s="16">
        <v>5400000</v>
      </c>
      <c r="S44"/>
      <c r="T44" s="12">
        <v>152588685</v>
      </c>
      <c r="U44" s="313">
        <v>61495000</v>
      </c>
      <c r="V44" s="16">
        <v>894993.68064082542</v>
      </c>
      <c r="W44" s="123">
        <v>5175000</v>
      </c>
      <c r="X44" s="123">
        <v>292006.16666666663</v>
      </c>
      <c r="Y44" s="12">
        <v>67856999.847307503</v>
      </c>
      <c r="Z44" s="12">
        <v>-8819204.8473075032</v>
      </c>
      <c r="AA44" s="13">
        <v>-4.1673446760100645E-2</v>
      </c>
      <c r="AB44" s="13">
        <v>0.11508060232564456</v>
      </c>
      <c r="AC44" s="16">
        <v>8744.6788857659376</v>
      </c>
      <c r="AD44" s="13">
        <v>0.10566653287017616</v>
      </c>
      <c r="AF44" s="1">
        <f t="shared" si="7"/>
        <v>301.92430278884461</v>
      </c>
      <c r="AG44" s="16"/>
      <c r="BC44" s="16"/>
      <c r="BD44" s="16"/>
      <c r="BE44" s="16"/>
      <c r="BF44" s="16"/>
      <c r="BG44" s="16"/>
      <c r="BJ44" s="11" t="s">
        <v>205</v>
      </c>
      <c r="BK44">
        <v>43</v>
      </c>
      <c r="BL44">
        <v>49</v>
      </c>
      <c r="BM44">
        <v>18</v>
      </c>
      <c r="BN44">
        <v>110</v>
      </c>
      <c r="BZ44" s="278" t="s">
        <v>29</v>
      </c>
      <c r="CC44">
        <v>0</v>
      </c>
      <c r="CD44">
        <v>0</v>
      </c>
      <c r="CE44">
        <v>0</v>
      </c>
      <c r="CF44">
        <v>0</v>
      </c>
      <c r="CL44" s="26" t="s">
        <v>23</v>
      </c>
      <c r="CQ44">
        <v>204</v>
      </c>
      <c r="CR44">
        <v>270</v>
      </c>
      <c r="CS44">
        <v>269</v>
      </c>
      <c r="CT44">
        <v>275</v>
      </c>
      <c r="CU44">
        <v>265</v>
      </c>
      <c r="EM44">
        <v>0</v>
      </c>
      <c r="EN44">
        <v>0</v>
      </c>
      <c r="EO44">
        <v>0</v>
      </c>
      <c r="EP44">
        <v>275</v>
      </c>
      <c r="EY44" s="337" t="s">
        <v>159</v>
      </c>
      <c r="EZ44" s="16">
        <v>5195</v>
      </c>
      <c r="FA44" s="16">
        <v>12977580</v>
      </c>
      <c r="FB44" s="16">
        <v>908430.60000000009</v>
      </c>
      <c r="FC44" s="16">
        <v>0</v>
      </c>
      <c r="FD44" s="16">
        <v>0</v>
      </c>
      <c r="FE44" s="16">
        <v>908430.60000000009</v>
      </c>
      <c r="FF44" s="313">
        <v>0</v>
      </c>
      <c r="FG44" s="16">
        <v>0</v>
      </c>
      <c r="FH44" s="16">
        <v>0</v>
      </c>
      <c r="FI44" s="16">
        <v>0</v>
      </c>
      <c r="FJ44" s="16">
        <v>0</v>
      </c>
      <c r="FK44" s="12">
        <v>0</v>
      </c>
      <c r="FL44" s="123">
        <v>1400000</v>
      </c>
      <c r="FM44" s="123">
        <v>0</v>
      </c>
      <c r="FN44" s="12">
        <v>1400000</v>
      </c>
      <c r="FO44" s="12">
        <v>-491569.39999999991</v>
      </c>
      <c r="FP44" s="13">
        <v>-0.54111937664803433</v>
      </c>
      <c r="FQ44" s="13">
        <v>0</v>
      </c>
      <c r="FR44" s="16">
        <v>2498.0904716073146</v>
      </c>
      <c r="FS44" s="13">
        <v>0</v>
      </c>
      <c r="GS44" s="26">
        <v>36</v>
      </c>
      <c r="GT44" s="16">
        <v>82028</v>
      </c>
      <c r="GU44">
        <v>244</v>
      </c>
      <c r="GV44" s="16">
        <v>36825000</v>
      </c>
      <c r="GW44" s="16">
        <v>0</v>
      </c>
      <c r="GX44" s="35">
        <v>224614920</v>
      </c>
      <c r="GY44" s="313">
        <v>59780000</v>
      </c>
      <c r="GZ44" s="332">
        <v>155228850</v>
      </c>
      <c r="HA44" s="35">
        <v>62350448.074444443</v>
      </c>
      <c r="HB44" s="35">
        <v>7035621.925555557</v>
      </c>
      <c r="HC44" s="13">
        <v>3.1323039117595382E-2</v>
      </c>
      <c r="HD44" s="13">
        <v>0.12153757272049745</v>
      </c>
      <c r="HE44" s="16">
        <v>8767.640317940215</v>
      </c>
      <c r="HF44" s="13">
        <v>9.4300270303340414E-2</v>
      </c>
      <c r="HG44" s="13"/>
      <c r="HH44" s="1">
        <f t="shared" si="0"/>
        <v>-22955000</v>
      </c>
      <c r="HI44" s="27">
        <f t="shared" si="1"/>
        <v>-0.62335369993211132</v>
      </c>
      <c r="HJ44" s="1">
        <f t="shared" si="2"/>
        <v>-22955000</v>
      </c>
      <c r="HK44" s="27">
        <f t="shared" si="3"/>
        <v>-0.62335369993211132</v>
      </c>
      <c r="JO44"/>
      <c r="JP44"/>
      <c r="JS44"/>
      <c r="JT44"/>
      <c r="JV44"/>
      <c r="JZ44"/>
      <c r="KA44"/>
      <c r="KN44" s="278" t="s">
        <v>164</v>
      </c>
      <c r="MI44">
        <v>0</v>
      </c>
      <c r="MJ44">
        <v>0</v>
      </c>
      <c r="MK44">
        <v>0</v>
      </c>
      <c r="ML44">
        <v>0</v>
      </c>
    </row>
    <row r="45" spans="2:350">
      <c r="B45" s="27">
        <f t="shared" si="14"/>
        <v>0.12153757272049745</v>
      </c>
      <c r="C45" s="27">
        <f t="shared" si="15"/>
        <v>9.4300270303340414E-2</v>
      </c>
      <c r="D45" s="1">
        <f t="shared" si="16"/>
        <v>277950.81967213115</v>
      </c>
      <c r="E45" s="278">
        <v>36</v>
      </c>
      <c r="F45" s="16">
        <v>82028</v>
      </c>
      <c r="G45">
        <v>244</v>
      </c>
      <c r="H45" s="16">
        <v>719192000</v>
      </c>
      <c r="I45" s="16">
        <v>186989920</v>
      </c>
      <c r="J45" s="16">
        <v>36825000</v>
      </c>
      <c r="K45" s="16">
        <v>0</v>
      </c>
      <c r="L45" s="123">
        <v>800000</v>
      </c>
      <c r="M45" s="16">
        <v>224614920</v>
      </c>
      <c r="N45" s="16">
        <v>87408850</v>
      </c>
      <c r="O45" s="16">
        <v>67820000</v>
      </c>
      <c r="P45" s="16">
        <v>0</v>
      </c>
      <c r="Q45" s="16"/>
      <c r="R45" s="16">
        <v>0</v>
      </c>
      <c r="S45"/>
      <c r="T45" s="12">
        <v>155228850</v>
      </c>
      <c r="U45" s="313">
        <v>59780000</v>
      </c>
      <c r="V45" s="16">
        <v>0</v>
      </c>
      <c r="W45" s="123">
        <v>2275000</v>
      </c>
      <c r="X45" s="123">
        <v>295448.0744444445</v>
      </c>
      <c r="Y45" s="12">
        <v>62350448.074444443</v>
      </c>
      <c r="Z45" s="12">
        <v>7035621.925555557</v>
      </c>
      <c r="AA45" s="13">
        <v>3.1323039117595382E-2</v>
      </c>
      <c r="AB45" s="13">
        <v>0.12153757272049745</v>
      </c>
      <c r="AC45" s="16">
        <v>8767.640317940215</v>
      </c>
      <c r="AD45" s="13">
        <v>9.4300270303340414E-2</v>
      </c>
      <c r="AF45" s="1">
        <f t="shared" si="7"/>
        <v>336.18032786885249</v>
      </c>
      <c r="AG45" s="16"/>
      <c r="BC45" s="16"/>
      <c r="BD45" s="16">
        <f t="shared" si="19"/>
        <v>0</v>
      </c>
      <c r="BE45" s="16">
        <f t="shared" si="20"/>
        <v>0</v>
      </c>
      <c r="BF45" s="16">
        <v>50</v>
      </c>
      <c r="BG45" s="16"/>
      <c r="BJ45" s="26" t="s">
        <v>275</v>
      </c>
      <c r="BK45">
        <v>8</v>
      </c>
      <c r="BL45">
        <v>15</v>
      </c>
      <c r="BM45">
        <v>9</v>
      </c>
      <c r="BN45">
        <v>32</v>
      </c>
      <c r="BZ45" s="278" t="s">
        <v>23</v>
      </c>
      <c r="CC45">
        <v>0</v>
      </c>
      <c r="CD45">
        <v>0</v>
      </c>
      <c r="CE45">
        <v>0</v>
      </c>
      <c r="CF45">
        <v>0</v>
      </c>
      <c r="CL45" s="26" t="s">
        <v>172</v>
      </c>
      <c r="CQ45">
        <v>26</v>
      </c>
      <c r="CR45">
        <v>32</v>
      </c>
      <c r="CS45">
        <v>31</v>
      </c>
      <c r="CT45">
        <v>34</v>
      </c>
      <c r="CU45">
        <v>33</v>
      </c>
      <c r="EM45">
        <v>0</v>
      </c>
      <c r="EN45">
        <v>0</v>
      </c>
      <c r="EO45">
        <v>0</v>
      </c>
      <c r="EP45">
        <v>34</v>
      </c>
      <c r="EY45" s="337" t="s">
        <v>160</v>
      </c>
      <c r="EZ45" s="16">
        <v>2840</v>
      </c>
      <c r="FA45" s="16">
        <v>4971020</v>
      </c>
      <c r="FB45" s="16">
        <v>347971.4</v>
      </c>
      <c r="FC45" s="16">
        <v>0</v>
      </c>
      <c r="FD45" s="16">
        <v>0</v>
      </c>
      <c r="FE45" s="16">
        <v>347971.4</v>
      </c>
      <c r="FF45" s="313">
        <v>0</v>
      </c>
      <c r="FG45" s="16">
        <v>0</v>
      </c>
      <c r="FH45" s="16">
        <v>0</v>
      </c>
      <c r="FI45" s="16">
        <v>0</v>
      </c>
      <c r="FJ45" s="16">
        <v>0</v>
      </c>
      <c r="FK45" s="12">
        <v>0</v>
      </c>
      <c r="FL45" s="123">
        <v>500000</v>
      </c>
      <c r="FM45" s="123">
        <v>0</v>
      </c>
      <c r="FN45" s="12">
        <v>500000</v>
      </c>
      <c r="FO45" s="12">
        <v>-152028.59999999995</v>
      </c>
      <c r="FP45" s="13">
        <v>-0.4368996992281548</v>
      </c>
      <c r="FQ45" s="13">
        <v>0</v>
      </c>
      <c r="FR45" s="16">
        <v>1750.3591549295775</v>
      </c>
      <c r="FS45" s="13">
        <v>0</v>
      </c>
      <c r="GS45" s="26">
        <v>37</v>
      </c>
      <c r="GT45" s="16">
        <v>70564</v>
      </c>
      <c r="GU45">
        <v>247</v>
      </c>
      <c r="GV45" s="16">
        <v>38750000</v>
      </c>
      <c r="GW45" s="16">
        <v>0</v>
      </c>
      <c r="GX45" s="35">
        <v>200279440</v>
      </c>
      <c r="GY45" s="313">
        <v>60515000</v>
      </c>
      <c r="GZ45" s="332">
        <v>132051920</v>
      </c>
      <c r="HA45" s="35">
        <v>63685448.074444443</v>
      </c>
      <c r="HB45" s="35">
        <v>4542071.925555557</v>
      </c>
      <c r="HC45" s="13">
        <v>2.2678672985881911E-2</v>
      </c>
      <c r="HD45" s="13">
        <v>0.11311975211209295</v>
      </c>
      <c r="HE45" s="16">
        <v>8762.8819227934928</v>
      </c>
      <c r="HF45" s="13">
        <v>0.10043762048309679</v>
      </c>
      <c r="HG45" s="85"/>
      <c r="HH45" s="1">
        <f t="shared" ref="HH45:HH54" si="21">GV45-GY45</f>
        <v>-21765000</v>
      </c>
      <c r="HI45" s="27">
        <f t="shared" ref="HI45:HI54" si="22">HH45/GV45</f>
        <v>-0.56167741935483873</v>
      </c>
      <c r="HJ45" s="1">
        <f t="shared" ref="HJ45:HJ54" si="23">GV45+GW45-GY45</f>
        <v>-21765000</v>
      </c>
      <c r="HK45" s="27">
        <f t="shared" ref="HK45:HK54" si="24">HJ45/(GV45+GW45)</f>
        <v>-0.56167741935483873</v>
      </c>
      <c r="JO45"/>
      <c r="JP45"/>
      <c r="JS45"/>
      <c r="JT45"/>
      <c r="JV45"/>
      <c r="JZ45"/>
      <c r="KA45"/>
      <c r="KN45" s="278" t="s">
        <v>165</v>
      </c>
      <c r="MI45">
        <v>0</v>
      </c>
      <c r="MJ45">
        <v>0</v>
      </c>
      <c r="MK45">
        <v>0</v>
      </c>
      <c r="ML45">
        <v>0</v>
      </c>
    </row>
    <row r="46" spans="2:350">
      <c r="B46" s="27">
        <f t="shared" si="14"/>
        <v>0.11311975211209295</v>
      </c>
      <c r="C46" s="27">
        <f t="shared" si="15"/>
        <v>0.10043762048309679</v>
      </c>
      <c r="D46" s="1">
        <f t="shared" si="16"/>
        <v>251437.24696356276</v>
      </c>
      <c r="E46" s="278">
        <v>37</v>
      </c>
      <c r="F46" s="16">
        <v>70564</v>
      </c>
      <c r="G46">
        <v>247</v>
      </c>
      <c r="H46" s="16">
        <v>618344000</v>
      </c>
      <c r="I46" s="16">
        <v>160769440</v>
      </c>
      <c r="J46" s="16">
        <v>38750000</v>
      </c>
      <c r="K46" s="16">
        <v>0</v>
      </c>
      <c r="L46" s="123">
        <v>760000</v>
      </c>
      <c r="M46" s="16">
        <v>200279440</v>
      </c>
      <c r="N46" s="16">
        <v>69946920</v>
      </c>
      <c r="O46" s="16">
        <v>62105000</v>
      </c>
      <c r="P46" s="16">
        <v>0</v>
      </c>
      <c r="Q46" s="16"/>
      <c r="R46" s="16">
        <v>0</v>
      </c>
      <c r="S46"/>
      <c r="T46" s="12">
        <v>132051920</v>
      </c>
      <c r="U46" s="313">
        <v>60515000</v>
      </c>
      <c r="V46" s="16">
        <v>0</v>
      </c>
      <c r="W46" s="123">
        <v>2875000</v>
      </c>
      <c r="X46" s="123">
        <v>295448.0744444445</v>
      </c>
      <c r="Y46" s="12">
        <v>63685448.074444443</v>
      </c>
      <c r="Z46" s="12">
        <v>4542071.925555557</v>
      </c>
      <c r="AA46" s="13">
        <v>2.2678672985881911E-2</v>
      </c>
      <c r="AB46" s="13">
        <v>0.11311975211209295</v>
      </c>
      <c r="AC46" s="16">
        <v>8762.8819227934928</v>
      </c>
      <c r="AD46" s="13">
        <v>0.10043762048309679</v>
      </c>
      <c r="AF46" s="1">
        <f t="shared" si="7"/>
        <v>285.68421052631578</v>
      </c>
      <c r="AG46" s="16"/>
      <c r="BC46" s="16"/>
      <c r="BD46" s="16">
        <f t="shared" si="19"/>
        <v>0</v>
      </c>
      <c r="BE46" s="16">
        <f t="shared" si="20"/>
        <v>0</v>
      </c>
      <c r="BF46" s="16">
        <v>63</v>
      </c>
      <c r="BG46" s="16"/>
      <c r="BJ46" s="278">
        <v>52026</v>
      </c>
      <c r="BK46">
        <v>8</v>
      </c>
      <c r="BN46">
        <v>8</v>
      </c>
      <c r="BZ46" s="278" t="s">
        <v>172</v>
      </c>
      <c r="CC46">
        <v>0</v>
      </c>
      <c r="CD46">
        <v>0</v>
      </c>
      <c r="CE46">
        <v>0</v>
      </c>
      <c r="CF46">
        <v>0</v>
      </c>
      <c r="CL46" s="26" t="s">
        <v>205</v>
      </c>
      <c r="EM46">
        <v>0</v>
      </c>
      <c r="EN46">
        <v>0</v>
      </c>
      <c r="EO46">
        <v>0</v>
      </c>
      <c r="EP46">
        <v>0</v>
      </c>
      <c r="EY46" s="278" t="s">
        <v>173</v>
      </c>
      <c r="EZ46" s="16">
        <v>18216</v>
      </c>
      <c r="FA46" s="16">
        <v>166769020</v>
      </c>
      <c r="FB46" s="16">
        <v>43359945.200000003</v>
      </c>
      <c r="FC46" s="16">
        <v>17770000</v>
      </c>
      <c r="FD46" s="16">
        <v>0</v>
      </c>
      <c r="FE46" s="16">
        <v>61129945.200000003</v>
      </c>
      <c r="FF46" s="313">
        <v>23380000</v>
      </c>
      <c r="FG46" s="16">
        <v>14512180</v>
      </c>
      <c r="FH46" s="16">
        <v>21270640</v>
      </c>
      <c r="FI46" s="16">
        <v>0</v>
      </c>
      <c r="FJ46" s="16">
        <v>0</v>
      </c>
      <c r="FK46" s="12">
        <v>35782820</v>
      </c>
      <c r="FL46" s="123">
        <v>0</v>
      </c>
      <c r="FM46" s="123">
        <v>0</v>
      </c>
      <c r="FN46" s="12">
        <v>23380000</v>
      </c>
      <c r="FO46" s="12">
        <v>1967125.2000000002</v>
      </c>
      <c r="FP46" s="13">
        <v>3.2179403949473849E-2</v>
      </c>
      <c r="FQ46" s="13">
        <v>8.7019639498990886E-2</v>
      </c>
      <c r="FR46" s="16">
        <v>9155.0845410628026</v>
      </c>
      <c r="FS46" s="13">
        <v>0.12754551175032389</v>
      </c>
      <c r="GS46" s="26">
        <v>38</v>
      </c>
      <c r="GT46" s="16">
        <v>68817</v>
      </c>
      <c r="GU46">
        <v>239</v>
      </c>
      <c r="GV46" s="16">
        <v>36775000</v>
      </c>
      <c r="GW46" s="16">
        <v>0</v>
      </c>
      <c r="GX46" s="35">
        <v>194273240</v>
      </c>
      <c r="GY46" s="313">
        <v>58555000</v>
      </c>
      <c r="GZ46" s="332">
        <v>135020425</v>
      </c>
      <c r="HA46" s="35">
        <v>62175448</v>
      </c>
      <c r="HB46" s="35">
        <v>-2922633</v>
      </c>
      <c r="HC46" s="13">
        <v>-1.5043929879380196E-2</v>
      </c>
      <c r="HD46" s="13">
        <v>0.11266033098231083</v>
      </c>
      <c r="HE46" s="16">
        <v>8743.82783323888</v>
      </c>
      <c r="HF46" s="13">
        <v>0.1117289654393044</v>
      </c>
      <c r="HG46" s="13"/>
      <c r="HH46" s="1">
        <f t="shared" si="21"/>
        <v>-21780000</v>
      </c>
      <c r="HI46" s="27">
        <f t="shared" si="22"/>
        <v>-0.59225016995241331</v>
      </c>
      <c r="HJ46" s="1">
        <f t="shared" si="23"/>
        <v>-21780000</v>
      </c>
      <c r="HK46" s="27">
        <f t="shared" si="24"/>
        <v>-0.59225016995241331</v>
      </c>
      <c r="JO46"/>
      <c r="JP46"/>
      <c r="JS46"/>
      <c r="JT46"/>
      <c r="JV46"/>
      <c r="JZ46"/>
      <c r="KA46"/>
      <c r="KN46" s="278" t="s">
        <v>36</v>
      </c>
      <c r="MI46">
        <v>0</v>
      </c>
      <c r="MJ46">
        <v>0</v>
      </c>
      <c r="MK46">
        <v>0</v>
      </c>
      <c r="ML46">
        <v>0</v>
      </c>
    </row>
    <row r="47" spans="2:350">
      <c r="B47" s="27">
        <f t="shared" si="14"/>
        <v>0.11266033098231083</v>
      </c>
      <c r="C47" s="27">
        <f t="shared" si="15"/>
        <v>0.1117289654393044</v>
      </c>
      <c r="D47" s="1">
        <f t="shared" si="16"/>
        <v>281297.0711297071</v>
      </c>
      <c r="E47" s="278">
        <v>38</v>
      </c>
      <c r="F47" s="16">
        <v>68817</v>
      </c>
      <c r="G47">
        <v>239</v>
      </c>
      <c r="H47" s="16">
        <v>601724000</v>
      </c>
      <c r="I47" s="16">
        <v>156448240</v>
      </c>
      <c r="J47" s="16">
        <v>36775000</v>
      </c>
      <c r="K47" s="16">
        <v>0</v>
      </c>
      <c r="L47" s="123">
        <v>1050000</v>
      </c>
      <c r="M47" s="16">
        <v>194273240</v>
      </c>
      <c r="N47" s="16">
        <v>67790425</v>
      </c>
      <c r="O47" s="16">
        <v>67230000</v>
      </c>
      <c r="P47" s="16">
        <v>0</v>
      </c>
      <c r="Q47" s="16"/>
      <c r="R47" s="16">
        <v>0</v>
      </c>
      <c r="S47"/>
      <c r="T47" s="12">
        <v>135020425</v>
      </c>
      <c r="U47" s="313">
        <v>58555000</v>
      </c>
      <c r="V47" s="16">
        <v>0</v>
      </c>
      <c r="W47" s="123">
        <v>3325000</v>
      </c>
      <c r="X47" s="123">
        <v>295448</v>
      </c>
      <c r="Y47" s="12">
        <v>62175448</v>
      </c>
      <c r="Z47" s="12">
        <v>-2922633</v>
      </c>
      <c r="AA47" s="13">
        <v>-1.5043929879380196E-2</v>
      </c>
      <c r="AB47" s="13">
        <v>0.11266033098231083</v>
      </c>
      <c r="AC47" s="16">
        <v>8743.82783323888</v>
      </c>
      <c r="AD47" s="13">
        <v>0.1117289654393044</v>
      </c>
      <c r="AF47" s="1">
        <f t="shared" si="7"/>
        <v>287.93723849372384</v>
      </c>
      <c r="AG47" s="16"/>
      <c r="BC47" s="81"/>
      <c r="BD47" s="81">
        <f t="shared" si="19"/>
        <v>0</v>
      </c>
      <c r="BE47" s="81">
        <f t="shared" si="20"/>
        <v>0</v>
      </c>
      <c r="BF47" s="81">
        <v>49</v>
      </c>
      <c r="BG47" s="81"/>
      <c r="BJ47" s="278">
        <v>92026</v>
      </c>
      <c r="BL47">
        <v>7</v>
      </c>
      <c r="BN47">
        <v>7</v>
      </c>
      <c r="BZ47" s="278" t="s">
        <v>205</v>
      </c>
      <c r="CC47">
        <v>0</v>
      </c>
      <c r="CD47">
        <v>0</v>
      </c>
      <c r="CE47">
        <v>0</v>
      </c>
      <c r="CF47">
        <v>0</v>
      </c>
      <c r="CL47" s="26" t="s">
        <v>173</v>
      </c>
      <c r="CQ47">
        <v>11</v>
      </c>
      <c r="CR47">
        <v>15</v>
      </c>
      <c r="CS47">
        <v>15</v>
      </c>
      <c r="CT47">
        <v>15</v>
      </c>
      <c r="CU47">
        <v>13</v>
      </c>
      <c r="EM47">
        <v>0</v>
      </c>
      <c r="EN47">
        <v>0</v>
      </c>
      <c r="EO47">
        <v>0</v>
      </c>
      <c r="EP47">
        <v>15</v>
      </c>
      <c r="EY47" s="337" t="s">
        <v>21</v>
      </c>
      <c r="EZ47" s="16">
        <v>8444</v>
      </c>
      <c r="FA47" s="16">
        <v>77424000</v>
      </c>
      <c r="FB47" s="16">
        <v>20130240</v>
      </c>
      <c r="FC47" s="16">
        <v>7415000</v>
      </c>
      <c r="FD47" s="16">
        <v>0</v>
      </c>
      <c r="FE47" s="16">
        <v>27545240</v>
      </c>
      <c r="FF47" s="313">
        <v>10325000</v>
      </c>
      <c r="FG47" s="16">
        <v>7167320</v>
      </c>
      <c r="FH47" s="16">
        <v>8970640</v>
      </c>
      <c r="FI47" s="16">
        <v>0</v>
      </c>
      <c r="FJ47" s="16">
        <v>0</v>
      </c>
      <c r="FK47" s="12">
        <v>16137960</v>
      </c>
      <c r="FL47" s="123">
        <v>0</v>
      </c>
      <c r="FM47" s="123">
        <v>0</v>
      </c>
      <c r="FN47" s="12">
        <v>10325000</v>
      </c>
      <c r="FO47" s="12">
        <v>1082280</v>
      </c>
      <c r="FP47" s="13">
        <v>3.9290999098210801E-2</v>
      </c>
      <c r="FQ47" s="13">
        <v>9.2572328993593717E-2</v>
      </c>
      <c r="FR47" s="16">
        <v>9169.1141639033631</v>
      </c>
      <c r="FS47" s="13">
        <v>0.1158638148377764</v>
      </c>
      <c r="GS47" s="26">
        <v>39</v>
      </c>
      <c r="GT47" s="16">
        <v>75797</v>
      </c>
      <c r="GU47">
        <v>251</v>
      </c>
      <c r="GV47" s="16">
        <v>37975000</v>
      </c>
      <c r="GW47" s="16">
        <v>0</v>
      </c>
      <c r="GX47" s="35">
        <v>212021280</v>
      </c>
      <c r="GY47" s="313">
        <v>61495000</v>
      </c>
      <c r="GZ47" s="332">
        <v>151851230</v>
      </c>
      <c r="HA47" s="35">
        <v>65215448</v>
      </c>
      <c r="HB47" s="35">
        <v>-5045398</v>
      </c>
      <c r="HC47" s="13">
        <v>-2.3796658524087771E-2</v>
      </c>
      <c r="HD47" s="13">
        <v>0.11648285657480932</v>
      </c>
      <c r="HE47" s="16">
        <v>8759.2912648257843</v>
      </c>
      <c r="HF47" s="13">
        <v>0.10455199961441602</v>
      </c>
      <c r="HG47" s="85"/>
      <c r="HH47" s="1">
        <f t="shared" si="21"/>
        <v>-23520000</v>
      </c>
      <c r="HI47" s="27">
        <f t="shared" si="22"/>
        <v>-0.61935483870967745</v>
      </c>
      <c r="HJ47" s="1">
        <f t="shared" si="23"/>
        <v>-23520000</v>
      </c>
      <c r="HK47" s="27">
        <f t="shared" si="24"/>
        <v>-0.61935483870967745</v>
      </c>
      <c r="JO47"/>
      <c r="JP47"/>
      <c r="JS47"/>
      <c r="JT47"/>
      <c r="JV47"/>
      <c r="JZ47"/>
      <c r="KA47"/>
      <c r="KN47" s="278" t="s">
        <v>166</v>
      </c>
      <c r="MI47">
        <v>0</v>
      </c>
      <c r="MJ47">
        <v>0</v>
      </c>
      <c r="MK47">
        <v>0</v>
      </c>
      <c r="ML47">
        <v>0</v>
      </c>
    </row>
    <row r="48" spans="2:350">
      <c r="B48" s="27">
        <f t="shared" si="14"/>
        <v>0.11648285657480932</v>
      </c>
      <c r="C48" s="27">
        <f t="shared" si="15"/>
        <v>0.10455199961441602</v>
      </c>
      <c r="D48" s="1">
        <f t="shared" si="16"/>
        <v>276553.78486055776</v>
      </c>
      <c r="E48" s="278">
        <v>39</v>
      </c>
      <c r="F48" s="16">
        <v>75797</v>
      </c>
      <c r="G48">
        <v>251</v>
      </c>
      <c r="H48" s="16">
        <v>663928000</v>
      </c>
      <c r="I48" s="16">
        <v>172621280</v>
      </c>
      <c r="J48" s="16">
        <v>37975000</v>
      </c>
      <c r="K48" s="16">
        <v>0</v>
      </c>
      <c r="L48" s="123">
        <v>1425000</v>
      </c>
      <c r="M48" s="16">
        <v>212021280</v>
      </c>
      <c r="N48" s="16">
        <v>77336230</v>
      </c>
      <c r="O48" s="16">
        <v>69415000</v>
      </c>
      <c r="P48" s="16">
        <v>0</v>
      </c>
      <c r="Q48" s="16">
        <v>1100000</v>
      </c>
      <c r="R48" s="16">
        <v>4000000</v>
      </c>
      <c r="S48"/>
      <c r="T48" s="12">
        <v>151851230</v>
      </c>
      <c r="U48" s="313">
        <v>61495000</v>
      </c>
      <c r="V48" s="16">
        <v>0</v>
      </c>
      <c r="W48" s="123">
        <v>3425000</v>
      </c>
      <c r="X48" s="123">
        <v>295448</v>
      </c>
      <c r="Y48" s="12">
        <v>65215448</v>
      </c>
      <c r="Z48" s="12">
        <v>-5045398</v>
      </c>
      <c r="AA48" s="13">
        <v>-2.3796658524087771E-2</v>
      </c>
      <c r="AB48" s="13">
        <v>0.11648285657480932</v>
      </c>
      <c r="AC48" s="16">
        <v>8759.2912648257843</v>
      </c>
      <c r="AD48" s="13">
        <v>0.10455199961441602</v>
      </c>
      <c r="AF48" s="1">
        <f t="shared" si="7"/>
        <v>301.9800796812749</v>
      </c>
      <c r="AG48" s="16"/>
      <c r="BC48" s="16"/>
      <c r="BD48" s="16">
        <f t="shared" si="19"/>
        <v>0</v>
      </c>
      <c r="BE48" s="16">
        <f t="shared" si="20"/>
        <v>0</v>
      </c>
      <c r="BF48" s="16">
        <v>43</v>
      </c>
      <c r="BG48" s="16"/>
      <c r="BJ48" s="278">
        <v>142026</v>
      </c>
      <c r="BL48">
        <v>8</v>
      </c>
      <c r="BM48">
        <v>9</v>
      </c>
      <c r="BN48">
        <v>17</v>
      </c>
      <c r="BZ48" s="278" t="s">
        <v>173</v>
      </c>
      <c r="CC48">
        <v>0</v>
      </c>
      <c r="CD48">
        <v>0</v>
      </c>
      <c r="CE48">
        <v>0</v>
      </c>
      <c r="CF48">
        <v>0</v>
      </c>
      <c r="CL48" s="26" t="s">
        <v>174</v>
      </c>
      <c r="CQ48">
        <v>36</v>
      </c>
      <c r="CR48">
        <v>59</v>
      </c>
      <c r="CS48">
        <v>63</v>
      </c>
      <c r="CT48">
        <v>61</v>
      </c>
      <c r="CU48">
        <v>63</v>
      </c>
      <c r="EM48">
        <v>0</v>
      </c>
      <c r="EN48">
        <v>0</v>
      </c>
      <c r="EO48">
        <v>0</v>
      </c>
      <c r="EP48">
        <v>63</v>
      </c>
      <c r="EY48" s="337" t="s">
        <v>158</v>
      </c>
      <c r="EZ48" s="16">
        <v>4983</v>
      </c>
      <c r="FA48" s="16">
        <v>46067020</v>
      </c>
      <c r="FB48" s="16">
        <v>11977425.199999999</v>
      </c>
      <c r="FC48" s="16">
        <v>5530000</v>
      </c>
      <c r="FD48" s="16">
        <v>0</v>
      </c>
      <c r="FE48" s="16">
        <v>17507425.199999999</v>
      </c>
      <c r="FF48" s="313">
        <v>7105000</v>
      </c>
      <c r="FG48" s="16">
        <v>3396600</v>
      </c>
      <c r="FH48" s="16">
        <v>6400000</v>
      </c>
      <c r="FI48" s="16">
        <v>0</v>
      </c>
      <c r="FJ48" s="16">
        <v>0</v>
      </c>
      <c r="FK48" s="12">
        <v>9796600</v>
      </c>
      <c r="FL48" s="123">
        <v>0</v>
      </c>
      <c r="FM48" s="123">
        <v>0</v>
      </c>
      <c r="FN48" s="12">
        <v>7105000</v>
      </c>
      <c r="FO48" s="12">
        <v>605825.20000000019</v>
      </c>
      <c r="FP48" s="13">
        <v>3.4603900521020088E-2</v>
      </c>
      <c r="FQ48" s="13">
        <v>7.3731706544074266E-2</v>
      </c>
      <c r="FR48" s="16">
        <v>9244.8364439092911</v>
      </c>
      <c r="FS48" s="13">
        <v>0.13892802269389251</v>
      </c>
      <c r="GS48" s="26">
        <v>40</v>
      </c>
      <c r="GT48" s="16">
        <v>73131</v>
      </c>
      <c r="GU48">
        <v>243</v>
      </c>
      <c r="GV48" s="16">
        <v>39400000</v>
      </c>
      <c r="GW48" s="16">
        <v>0</v>
      </c>
      <c r="GX48" s="35">
        <v>207811960</v>
      </c>
      <c r="GY48" s="313">
        <v>60270000</v>
      </c>
      <c r="GZ48" s="332">
        <v>139152530</v>
      </c>
      <c r="HA48" s="35">
        <v>64506888.278136209</v>
      </c>
      <c r="HB48" s="35">
        <v>4152541.7218637615</v>
      </c>
      <c r="HC48" s="13">
        <v>1.998220757777253E-2</v>
      </c>
      <c r="HD48" s="13">
        <v>0.11399186958908211</v>
      </c>
      <c r="HE48" s="16">
        <v>8769.1403098549181</v>
      </c>
      <c r="HF48" s="13">
        <v>0.10299456101394676</v>
      </c>
      <c r="HG48" s="13"/>
      <c r="HH48" s="1">
        <f t="shared" si="21"/>
        <v>-20870000</v>
      </c>
      <c r="HI48" s="27">
        <f t="shared" si="22"/>
        <v>-0.5296954314720812</v>
      </c>
      <c r="HJ48" s="1">
        <f t="shared" si="23"/>
        <v>-20870000</v>
      </c>
      <c r="HK48" s="27">
        <f t="shared" si="24"/>
        <v>-0.5296954314720812</v>
      </c>
      <c r="JO48"/>
      <c r="JP48"/>
      <c r="JS48"/>
      <c r="JT48"/>
      <c r="JV48"/>
      <c r="JZ48"/>
      <c r="KA48"/>
      <c r="KN48" s="26" t="s">
        <v>33</v>
      </c>
      <c r="MI48">
        <v>0</v>
      </c>
      <c r="MJ48">
        <v>0</v>
      </c>
      <c r="MK48">
        <v>0</v>
      </c>
      <c r="ML48">
        <v>0</v>
      </c>
    </row>
    <row r="49" spans="1:350">
      <c r="B49" s="27">
        <f t="shared" si="14"/>
        <v>0.11399186958908211</v>
      </c>
      <c r="C49" s="27">
        <f t="shared" si="15"/>
        <v>0.10299456101394676</v>
      </c>
      <c r="D49" s="1">
        <f t="shared" si="16"/>
        <v>271810.69958847738</v>
      </c>
      <c r="E49" s="278">
        <v>40</v>
      </c>
      <c r="F49" s="16">
        <v>73131</v>
      </c>
      <c r="G49">
        <v>243</v>
      </c>
      <c r="H49" s="16">
        <v>641296000</v>
      </c>
      <c r="I49" s="16">
        <v>166736960</v>
      </c>
      <c r="J49" s="16">
        <v>39400000</v>
      </c>
      <c r="K49" s="16">
        <v>0</v>
      </c>
      <c r="L49" s="123">
        <v>1675000</v>
      </c>
      <c r="M49" s="16">
        <v>207811960</v>
      </c>
      <c r="N49" s="16">
        <v>73102530</v>
      </c>
      <c r="O49" s="16">
        <v>66050000</v>
      </c>
      <c r="P49" s="16">
        <v>0</v>
      </c>
      <c r="Q49" s="16"/>
      <c r="R49" s="16">
        <v>0</v>
      </c>
      <c r="S49"/>
      <c r="T49" s="12">
        <v>139152530</v>
      </c>
      <c r="U49" s="313">
        <v>60270000</v>
      </c>
      <c r="V49" s="16">
        <v>625000</v>
      </c>
      <c r="W49" s="123">
        <v>3325000</v>
      </c>
      <c r="X49" s="123">
        <v>286888.2781362008</v>
      </c>
      <c r="Y49" s="12">
        <v>64506888.278136209</v>
      </c>
      <c r="Z49" s="12">
        <v>4152541.7218637615</v>
      </c>
      <c r="AA49" s="13">
        <v>1.998220757777253E-2</v>
      </c>
      <c r="AB49" s="13">
        <v>0.11399186958908211</v>
      </c>
      <c r="AC49" s="16">
        <v>8769.1403098549181</v>
      </c>
      <c r="AD49" s="13">
        <v>0.10299456101394676</v>
      </c>
      <c r="AF49" s="1">
        <f t="shared" si="7"/>
        <v>300.95061728395063</v>
      </c>
      <c r="AG49" s="16"/>
      <c r="BC49" s="16"/>
      <c r="BD49" s="16">
        <f t="shared" si="19"/>
        <v>0</v>
      </c>
      <c r="BE49" s="16">
        <f t="shared" si="20"/>
        <v>0</v>
      </c>
      <c r="BF49" s="16">
        <v>24</v>
      </c>
      <c r="BG49" s="16"/>
      <c r="BJ49" s="26" t="s">
        <v>256</v>
      </c>
      <c r="BK49">
        <v>9</v>
      </c>
      <c r="BL49">
        <v>9</v>
      </c>
      <c r="BM49">
        <v>9</v>
      </c>
      <c r="BN49">
        <v>27</v>
      </c>
      <c r="BZ49" s="278" t="s">
        <v>174</v>
      </c>
      <c r="CC49">
        <v>0</v>
      </c>
      <c r="CD49">
        <v>0</v>
      </c>
      <c r="CE49">
        <v>0</v>
      </c>
      <c r="CF49">
        <v>0</v>
      </c>
      <c r="CL49" s="26" t="s">
        <v>203</v>
      </c>
      <c r="EM49">
        <v>0</v>
      </c>
      <c r="EN49">
        <v>0</v>
      </c>
      <c r="EO49">
        <v>0</v>
      </c>
      <c r="EP49">
        <v>0</v>
      </c>
      <c r="EY49" s="337" t="s">
        <v>159</v>
      </c>
      <c r="EZ49" s="16">
        <v>2855</v>
      </c>
      <c r="FA49" s="16">
        <v>25972000</v>
      </c>
      <c r="FB49" s="16">
        <v>6752720</v>
      </c>
      <c r="FC49" s="16">
        <v>3490000</v>
      </c>
      <c r="FD49" s="16">
        <v>0</v>
      </c>
      <c r="FE49" s="16">
        <v>10242720</v>
      </c>
      <c r="FF49" s="313">
        <v>4025000</v>
      </c>
      <c r="FG49" s="16">
        <v>2272700</v>
      </c>
      <c r="FH49" s="16">
        <v>3600000</v>
      </c>
      <c r="FI49" s="16">
        <v>0</v>
      </c>
      <c r="FJ49" s="16">
        <v>0</v>
      </c>
      <c r="FK49" s="12">
        <v>5872700</v>
      </c>
      <c r="FL49" s="123">
        <v>0</v>
      </c>
      <c r="FM49" s="123">
        <v>0</v>
      </c>
      <c r="FN49" s="12">
        <v>4025000</v>
      </c>
      <c r="FO49" s="12">
        <v>345020</v>
      </c>
      <c r="FP49" s="13">
        <v>3.3684411953074964E-2</v>
      </c>
      <c r="FQ49" s="13">
        <v>8.7505775450485143E-2</v>
      </c>
      <c r="FR49" s="16">
        <v>9097.0227670753065</v>
      </c>
      <c r="FS49" s="13">
        <v>0.13861081164330818</v>
      </c>
      <c r="GS49" s="26">
        <v>41</v>
      </c>
      <c r="GT49" s="16">
        <v>76453</v>
      </c>
      <c r="GU49">
        <v>252</v>
      </c>
      <c r="GV49" s="16">
        <v>38875000</v>
      </c>
      <c r="GW49" s="16">
        <v>0</v>
      </c>
      <c r="GX49" s="35">
        <v>214037360</v>
      </c>
      <c r="GY49" s="313">
        <v>61740000</v>
      </c>
      <c r="GZ49" s="332">
        <v>146533080</v>
      </c>
      <c r="HA49" s="35">
        <v>65949181.78494624</v>
      </c>
      <c r="HB49" s="35">
        <v>1555098.215053767</v>
      </c>
      <c r="HC49" s="13">
        <v>7.2655456741466395E-3</v>
      </c>
      <c r="HD49" s="13">
        <v>0.11616245722811375</v>
      </c>
      <c r="HE49" s="16">
        <v>8784.2988502740245</v>
      </c>
      <c r="HF49" s="13">
        <v>0.10202714172123897</v>
      </c>
      <c r="HG49" s="13"/>
      <c r="HH49" s="1">
        <f t="shared" si="21"/>
        <v>-22865000</v>
      </c>
      <c r="HI49" s="27">
        <f t="shared" si="22"/>
        <v>-0.58816720257234723</v>
      </c>
      <c r="HJ49" s="1">
        <f t="shared" si="23"/>
        <v>-22865000</v>
      </c>
      <c r="HK49" s="27">
        <f t="shared" si="24"/>
        <v>-0.58816720257234723</v>
      </c>
      <c r="JO49"/>
      <c r="JP49"/>
      <c r="JS49"/>
      <c r="JT49"/>
      <c r="JV49"/>
      <c r="JZ49"/>
      <c r="KA49"/>
      <c r="KN49" s="278" t="s">
        <v>21</v>
      </c>
      <c r="MI49">
        <v>0</v>
      </c>
      <c r="MJ49">
        <v>0</v>
      </c>
      <c r="MK49">
        <v>0</v>
      </c>
      <c r="ML49">
        <v>0</v>
      </c>
    </row>
    <row r="50" spans="1:350">
      <c r="B50" s="27">
        <f t="shared" si="14"/>
        <v>0.11616245722811375</v>
      </c>
      <c r="C50" s="27">
        <f t="shared" si="15"/>
        <v>0.10202714172123897</v>
      </c>
      <c r="D50" s="1">
        <f t="shared" si="16"/>
        <v>271904.76190476189</v>
      </c>
      <c r="E50" s="278">
        <v>41</v>
      </c>
      <c r="F50" s="16">
        <v>76453</v>
      </c>
      <c r="G50">
        <v>252</v>
      </c>
      <c r="H50" s="16">
        <v>671586000</v>
      </c>
      <c r="I50" s="16">
        <v>174612360</v>
      </c>
      <c r="J50" s="16">
        <v>38875000</v>
      </c>
      <c r="K50" s="16">
        <v>0</v>
      </c>
      <c r="L50" s="123">
        <v>550000</v>
      </c>
      <c r="M50" s="16">
        <v>214037360</v>
      </c>
      <c r="N50" s="16">
        <v>78013080</v>
      </c>
      <c r="O50" s="16">
        <v>68520000</v>
      </c>
      <c r="P50" s="16">
        <v>0</v>
      </c>
      <c r="Q50" s="16"/>
      <c r="R50" s="16">
        <v>0</v>
      </c>
      <c r="S50"/>
      <c r="T50" s="12">
        <v>146533080</v>
      </c>
      <c r="U50" s="313">
        <v>61740000</v>
      </c>
      <c r="V50" s="16">
        <v>0</v>
      </c>
      <c r="W50" s="123">
        <v>3925000</v>
      </c>
      <c r="X50" s="123">
        <v>284181.78494623699</v>
      </c>
      <c r="Y50" s="12">
        <v>65949181.78494624</v>
      </c>
      <c r="Z50" s="12">
        <v>1555098.215053767</v>
      </c>
      <c r="AA50" s="13">
        <v>7.2655456741466395E-3</v>
      </c>
      <c r="AB50" s="13">
        <v>0.11616245722811375</v>
      </c>
      <c r="AC50" s="16">
        <v>8784.2988502740245</v>
      </c>
      <c r="AD50" s="13">
        <v>0.10202714172123897</v>
      </c>
      <c r="AF50" s="1">
        <f t="shared" si="7"/>
        <v>303.38492063492066</v>
      </c>
      <c r="BC50" s="16"/>
      <c r="BD50" s="16">
        <f t="shared" si="19"/>
        <v>0</v>
      </c>
      <c r="BE50" s="16">
        <f t="shared" si="20"/>
        <v>0</v>
      </c>
      <c r="BF50" s="16">
        <v>25</v>
      </c>
      <c r="BG50" s="16"/>
      <c r="BJ50" s="278">
        <v>62026</v>
      </c>
      <c r="BK50">
        <v>9</v>
      </c>
      <c r="BN50">
        <v>9</v>
      </c>
      <c r="BZ50" s="278" t="s">
        <v>203</v>
      </c>
      <c r="CC50">
        <v>0</v>
      </c>
      <c r="CD50">
        <v>0</v>
      </c>
      <c r="CE50">
        <v>0</v>
      </c>
      <c r="CF50">
        <v>0</v>
      </c>
      <c r="CL50" s="26" t="s">
        <v>175</v>
      </c>
      <c r="EM50">
        <v>0</v>
      </c>
      <c r="EN50">
        <v>0</v>
      </c>
      <c r="EO50">
        <v>0</v>
      </c>
      <c r="EP50">
        <v>0</v>
      </c>
      <c r="EY50" s="337" t="s">
        <v>160</v>
      </c>
      <c r="EZ50" s="16">
        <v>1934</v>
      </c>
      <c r="FA50" s="16">
        <v>17306000</v>
      </c>
      <c r="FB50" s="16">
        <v>4499560</v>
      </c>
      <c r="FC50" s="16">
        <v>1335000</v>
      </c>
      <c r="FD50" s="16">
        <v>0</v>
      </c>
      <c r="FE50" s="16">
        <v>5834560</v>
      </c>
      <c r="FF50" s="313">
        <v>1925000</v>
      </c>
      <c r="FG50" s="16">
        <v>1675560</v>
      </c>
      <c r="FH50" s="16">
        <v>2300000</v>
      </c>
      <c r="FI50" s="16">
        <v>0</v>
      </c>
      <c r="FJ50" s="16">
        <v>0</v>
      </c>
      <c r="FK50" s="12">
        <v>3975560</v>
      </c>
      <c r="FL50" s="123">
        <v>0</v>
      </c>
      <c r="FM50" s="123">
        <v>0</v>
      </c>
      <c r="FN50" s="12">
        <v>1925000</v>
      </c>
      <c r="FO50" s="12">
        <v>-66000</v>
      </c>
      <c r="FP50" s="13">
        <v>-1.1311906981846103E-2</v>
      </c>
      <c r="FQ50" s="13">
        <v>9.6819600138680226E-2</v>
      </c>
      <c r="FR50" s="16">
        <v>8948.293691830404</v>
      </c>
      <c r="FS50" s="13">
        <v>0.13290188373974343</v>
      </c>
      <c r="GS50" s="26">
        <v>42</v>
      </c>
      <c r="GT50" s="16">
        <v>72075</v>
      </c>
      <c r="GU50">
        <v>243</v>
      </c>
      <c r="GV50" s="16">
        <v>38175000</v>
      </c>
      <c r="GW50" s="16">
        <v>0</v>
      </c>
      <c r="GX50" s="35">
        <v>204715360</v>
      </c>
      <c r="GY50" s="313">
        <v>59535000</v>
      </c>
      <c r="GZ50" s="332">
        <v>138003470</v>
      </c>
      <c r="HA50" s="35">
        <v>62694181.784946233</v>
      </c>
      <c r="HB50" s="35">
        <v>4017708.215053767</v>
      </c>
      <c r="HC50" s="13">
        <v>1.9625826880082506E-2</v>
      </c>
      <c r="HD50" s="13">
        <v>0.11408049771297162</v>
      </c>
      <c r="HE50" s="16">
        <v>8784.4051335414497</v>
      </c>
      <c r="HF50" s="13">
        <v>0.10388763235702914</v>
      </c>
      <c r="HG50" s="13"/>
      <c r="HH50" s="1">
        <f t="shared" si="21"/>
        <v>-21360000</v>
      </c>
      <c r="HI50" s="27">
        <f t="shared" si="22"/>
        <v>-0.55952848722986248</v>
      </c>
      <c r="HJ50" s="1">
        <f t="shared" si="23"/>
        <v>-21360000</v>
      </c>
      <c r="HK50" s="27">
        <f t="shared" si="24"/>
        <v>-0.55952848722986248</v>
      </c>
      <c r="JO50"/>
      <c r="JP50"/>
      <c r="JS50"/>
      <c r="JT50"/>
      <c r="JV50"/>
      <c r="JZ50"/>
      <c r="KA50"/>
      <c r="KN50" s="278" t="s">
        <v>158</v>
      </c>
      <c r="MI50">
        <v>0</v>
      </c>
      <c r="MJ50">
        <v>0</v>
      </c>
      <c r="MK50">
        <v>0</v>
      </c>
      <c r="ML50">
        <v>0</v>
      </c>
    </row>
    <row r="51" spans="1:350">
      <c r="B51" s="27">
        <f t="shared" si="14"/>
        <v>0.11408049771297162</v>
      </c>
      <c r="C51" s="27">
        <f t="shared" si="15"/>
        <v>0.10388763235702914</v>
      </c>
      <c r="D51" s="1">
        <f t="shared" si="16"/>
        <v>270679.01234567899</v>
      </c>
      <c r="E51" s="278">
        <v>42</v>
      </c>
      <c r="F51" s="16">
        <v>72075</v>
      </c>
      <c r="G51">
        <v>243</v>
      </c>
      <c r="H51" s="16">
        <v>633136000</v>
      </c>
      <c r="I51" s="16">
        <v>164615360</v>
      </c>
      <c r="J51" s="16">
        <v>38175000</v>
      </c>
      <c r="K51" s="16">
        <v>0</v>
      </c>
      <c r="L51" s="123">
        <v>1925000</v>
      </c>
      <c r="M51" s="16">
        <v>204715360</v>
      </c>
      <c r="N51" s="16">
        <v>72228470</v>
      </c>
      <c r="O51" s="16">
        <v>65775000</v>
      </c>
      <c r="P51" s="16">
        <v>0</v>
      </c>
      <c r="Q51" s="16"/>
      <c r="R51" s="16">
        <v>0</v>
      </c>
      <c r="S51"/>
      <c r="T51" s="12">
        <v>138003470</v>
      </c>
      <c r="U51" s="313">
        <v>59535000</v>
      </c>
      <c r="V51" s="16">
        <v>0</v>
      </c>
      <c r="W51" s="123">
        <v>2875000</v>
      </c>
      <c r="X51" s="123">
        <v>284181.78494623664</v>
      </c>
      <c r="Y51" s="12">
        <v>62694181.784946233</v>
      </c>
      <c r="Z51" s="12">
        <v>4017708.215053767</v>
      </c>
      <c r="AA51" s="13">
        <v>1.9625826880082506E-2</v>
      </c>
      <c r="AB51" s="13">
        <v>0.11408049771297162</v>
      </c>
      <c r="AC51" s="16">
        <v>8784.4051335414497</v>
      </c>
      <c r="AD51" s="13">
        <v>0.10388763235702914</v>
      </c>
      <c r="AF51" s="1">
        <f t="shared" si="7"/>
        <v>296.60493827160496</v>
      </c>
      <c r="BC51" s="16"/>
      <c r="BD51" s="16">
        <f t="shared" si="19"/>
        <v>0</v>
      </c>
      <c r="BE51" s="16">
        <f t="shared" si="20"/>
        <v>0</v>
      </c>
      <c r="BF51" s="16">
        <v>29</v>
      </c>
      <c r="BG51" s="16"/>
      <c r="BJ51" s="278">
        <v>102026</v>
      </c>
      <c r="BL51">
        <v>9</v>
      </c>
      <c r="BN51">
        <v>9</v>
      </c>
      <c r="BZ51" s="278" t="s">
        <v>175</v>
      </c>
      <c r="CC51">
        <v>0</v>
      </c>
      <c r="CD51">
        <v>0</v>
      </c>
      <c r="CE51">
        <v>0</v>
      </c>
      <c r="CF51">
        <v>0</v>
      </c>
      <c r="CL51" s="26" t="s">
        <v>200</v>
      </c>
      <c r="CQ51">
        <v>1</v>
      </c>
      <c r="CR51">
        <v>1</v>
      </c>
      <c r="CS51">
        <v>1</v>
      </c>
      <c r="CT51">
        <v>1</v>
      </c>
      <c r="EM51">
        <v>0</v>
      </c>
      <c r="EN51">
        <v>0</v>
      </c>
      <c r="EO51">
        <v>0</v>
      </c>
      <c r="EP51">
        <v>1</v>
      </c>
      <c r="EY51" s="278" t="s">
        <v>174</v>
      </c>
      <c r="EZ51" s="16">
        <v>29406</v>
      </c>
      <c r="FA51" s="16">
        <v>274408000</v>
      </c>
      <c r="FB51" s="16">
        <v>71346080</v>
      </c>
      <c r="FC51" s="16">
        <v>28195000</v>
      </c>
      <c r="FD51" s="16">
        <v>0</v>
      </c>
      <c r="FE51" s="16">
        <v>99541080</v>
      </c>
      <c r="FF51" s="313">
        <v>39235000</v>
      </c>
      <c r="FG51" s="16">
        <v>24793220</v>
      </c>
      <c r="FH51" s="16">
        <v>39533660</v>
      </c>
      <c r="FI51" s="16">
        <v>0</v>
      </c>
      <c r="FJ51" s="16">
        <v>0</v>
      </c>
      <c r="FK51" s="12">
        <v>64326880</v>
      </c>
      <c r="FL51" s="123">
        <v>6700000</v>
      </c>
      <c r="FM51" s="123">
        <v>0</v>
      </c>
      <c r="FN51" s="12">
        <v>45935000</v>
      </c>
      <c r="FO51" s="12">
        <v>-10720800</v>
      </c>
      <c r="FP51" s="13">
        <v>-0.10770226724484001</v>
      </c>
      <c r="FQ51" s="13">
        <v>9.0351666132182734E-2</v>
      </c>
      <c r="FR51" s="16">
        <v>9331.7010133986259</v>
      </c>
      <c r="FS51" s="13">
        <v>0.14406890469665606</v>
      </c>
      <c r="GS51" s="26">
        <v>43</v>
      </c>
      <c r="GT51" s="16">
        <v>63314</v>
      </c>
      <c r="GU51">
        <v>246</v>
      </c>
      <c r="GV51" s="16">
        <v>38500000</v>
      </c>
      <c r="GW51" s="16">
        <v>0</v>
      </c>
      <c r="GX51" s="35">
        <v>186701000</v>
      </c>
      <c r="GY51" s="313">
        <v>60270000</v>
      </c>
      <c r="GZ51" s="332">
        <v>131179265</v>
      </c>
      <c r="HA51" s="35">
        <v>63529182</v>
      </c>
      <c r="HB51" s="35">
        <v>-8007447</v>
      </c>
      <c r="HC51" s="13">
        <v>-4.2889148960101979E-2</v>
      </c>
      <c r="HD51" s="13">
        <v>0.10576655705652328</v>
      </c>
      <c r="HE51" s="16">
        <v>8885.8704236029953</v>
      </c>
      <c r="HF51" s="13">
        <v>0.11957874155705653</v>
      </c>
      <c r="HG51" s="13"/>
      <c r="HH51" s="1">
        <f t="shared" si="21"/>
        <v>-21770000</v>
      </c>
      <c r="HI51" s="27">
        <f t="shared" si="22"/>
        <v>-0.56545454545454543</v>
      </c>
      <c r="HJ51" s="1">
        <f t="shared" si="23"/>
        <v>-21770000</v>
      </c>
      <c r="HK51" s="27">
        <f t="shared" si="24"/>
        <v>-0.56545454545454543</v>
      </c>
      <c r="JO51"/>
      <c r="JP51"/>
      <c r="JS51"/>
      <c r="JT51"/>
      <c r="JV51"/>
      <c r="JZ51"/>
      <c r="KA51"/>
      <c r="KN51" s="278" t="s">
        <v>159</v>
      </c>
      <c r="MI51">
        <v>0</v>
      </c>
      <c r="MJ51">
        <v>0</v>
      </c>
      <c r="MK51">
        <v>0</v>
      </c>
      <c r="ML51">
        <v>0</v>
      </c>
    </row>
    <row r="52" spans="1:350">
      <c r="B52" s="27">
        <f t="shared" si="14"/>
        <v>0.10576655705652328</v>
      </c>
      <c r="C52" s="27">
        <f t="shared" si="15"/>
        <v>0.11957874155705653</v>
      </c>
      <c r="D52" s="1">
        <f t="shared" si="16"/>
        <v>273475.60975609755</v>
      </c>
      <c r="E52" s="278">
        <v>43</v>
      </c>
      <c r="F52" s="16">
        <v>63314</v>
      </c>
      <c r="G52">
        <v>246</v>
      </c>
      <c r="H52" s="16">
        <v>562600000</v>
      </c>
      <c r="I52" s="16">
        <v>146276000</v>
      </c>
      <c r="J52" s="16">
        <v>38500000</v>
      </c>
      <c r="K52" s="16">
        <v>0</v>
      </c>
      <c r="L52" s="123">
        <v>1925000</v>
      </c>
      <c r="M52" s="16">
        <v>186701000</v>
      </c>
      <c r="N52" s="16">
        <v>59504265</v>
      </c>
      <c r="O52" s="16">
        <v>67275000</v>
      </c>
      <c r="P52" s="16">
        <v>0</v>
      </c>
      <c r="Q52" s="16">
        <v>600000</v>
      </c>
      <c r="R52" s="16">
        <v>3800000</v>
      </c>
      <c r="S52"/>
      <c r="T52" s="12">
        <v>131179265</v>
      </c>
      <c r="U52" s="313">
        <v>60270000</v>
      </c>
      <c r="V52" s="16">
        <v>0</v>
      </c>
      <c r="W52" s="123">
        <v>2975000</v>
      </c>
      <c r="X52" s="123">
        <v>284182</v>
      </c>
      <c r="Y52" s="12">
        <v>63529182</v>
      </c>
      <c r="Z52" s="12">
        <v>-8007447</v>
      </c>
      <c r="AA52" s="13">
        <v>-4.2889148960101979E-2</v>
      </c>
      <c r="AB52" s="13">
        <v>0.10576655705652328</v>
      </c>
      <c r="AC52" s="16">
        <v>8885.8704236029953</v>
      </c>
      <c r="AD52" s="13">
        <v>0.11957874155705653</v>
      </c>
      <c r="AF52" s="1">
        <f t="shared" si="7"/>
        <v>257.3739837398374</v>
      </c>
      <c r="BC52" s="16"/>
      <c r="BD52" s="16">
        <f t="shared" si="19"/>
        <v>0</v>
      </c>
      <c r="BE52" s="16">
        <f t="shared" si="20"/>
        <v>0</v>
      </c>
      <c r="BF52" s="16">
        <v>40</v>
      </c>
      <c r="BG52" s="16"/>
      <c r="BJ52" s="278">
        <v>152026</v>
      </c>
      <c r="BM52">
        <v>9</v>
      </c>
      <c r="BN52">
        <v>9</v>
      </c>
      <c r="BZ52" s="278" t="s">
        <v>200</v>
      </c>
      <c r="CC52">
        <v>0</v>
      </c>
      <c r="CD52">
        <v>0</v>
      </c>
      <c r="CE52">
        <v>0</v>
      </c>
      <c r="CF52">
        <v>0</v>
      </c>
      <c r="CL52" s="26" t="s">
        <v>176</v>
      </c>
      <c r="EM52">
        <v>0</v>
      </c>
      <c r="EN52">
        <v>0</v>
      </c>
      <c r="EO52">
        <v>0</v>
      </c>
      <c r="EP52">
        <v>0</v>
      </c>
      <c r="EY52" s="337" t="s">
        <v>21</v>
      </c>
      <c r="EZ52" s="16">
        <v>11381</v>
      </c>
      <c r="FA52" s="16">
        <v>108742000</v>
      </c>
      <c r="FB52" s="16">
        <v>28272920</v>
      </c>
      <c r="FC52" s="16">
        <v>11340000</v>
      </c>
      <c r="FD52" s="16">
        <v>0</v>
      </c>
      <c r="FE52" s="16">
        <v>39612920</v>
      </c>
      <c r="FF52" s="313">
        <v>15470000</v>
      </c>
      <c r="FG52" s="16">
        <v>9786820</v>
      </c>
      <c r="FH52" s="16">
        <v>15600000</v>
      </c>
      <c r="FI52" s="16">
        <v>0</v>
      </c>
      <c r="FJ52" s="16">
        <v>0</v>
      </c>
      <c r="FK52" s="12">
        <v>25386820</v>
      </c>
      <c r="FL52" s="123">
        <v>3389285.7142857146</v>
      </c>
      <c r="FM52" s="123">
        <v>0</v>
      </c>
      <c r="FN52" s="12">
        <v>18859285.714285716</v>
      </c>
      <c r="FO52" s="12">
        <v>-4633185.7142857146</v>
      </c>
      <c r="FP52" s="13">
        <v>-0.11696147909029969</v>
      </c>
      <c r="FQ52" s="13">
        <v>9.0000367843151685E-2</v>
      </c>
      <c r="FR52" s="16">
        <v>9554.6964238643359</v>
      </c>
      <c r="FS52" s="13">
        <v>0.14345882915524821</v>
      </c>
      <c r="GS52" s="82">
        <v>44</v>
      </c>
      <c r="GT52" s="81">
        <v>64147</v>
      </c>
      <c r="GU52" s="91">
        <v>239</v>
      </c>
      <c r="GV52" s="81">
        <v>38000000</v>
      </c>
      <c r="GW52" s="81">
        <v>0</v>
      </c>
      <c r="GX52" s="37">
        <v>185914320</v>
      </c>
      <c r="GY52" s="322">
        <v>59780000</v>
      </c>
      <c r="GZ52" s="333">
        <v>125722844.99999999</v>
      </c>
      <c r="HA52" s="37">
        <v>63066089.74480287</v>
      </c>
      <c r="HB52" s="37">
        <v>-2874614.7448028624</v>
      </c>
      <c r="HC52" s="244">
        <v>-1.5462040496949683E-2</v>
      </c>
      <c r="HD52" s="244">
        <v>0.1063047507099131</v>
      </c>
      <c r="HE52" s="81">
        <v>8739.8007701061615</v>
      </c>
      <c r="HF52" s="244">
        <v>0.11794724525178726</v>
      </c>
      <c r="HG52" s="13"/>
      <c r="HH52" s="1">
        <f>GV52-GY52</f>
        <v>-21780000</v>
      </c>
      <c r="HI52" s="27">
        <f t="shared" si="22"/>
        <v>-0.57315789473684209</v>
      </c>
      <c r="HJ52" s="1">
        <f t="shared" si="23"/>
        <v>-21780000</v>
      </c>
      <c r="HK52" s="27">
        <f t="shared" si="24"/>
        <v>-0.57315789473684209</v>
      </c>
      <c r="JO52"/>
      <c r="JP52"/>
      <c r="JS52"/>
      <c r="JT52"/>
      <c r="JV52"/>
      <c r="JZ52"/>
      <c r="KA52"/>
      <c r="KN52" s="278" t="s">
        <v>160</v>
      </c>
      <c r="MI52">
        <v>0</v>
      </c>
      <c r="MJ52">
        <v>0</v>
      </c>
      <c r="MK52">
        <v>0</v>
      </c>
      <c r="ML52">
        <v>0</v>
      </c>
    </row>
    <row r="53" spans="1:350">
      <c r="A53">
        <v>244</v>
      </c>
      <c r="B53" s="27">
        <f t="shared" si="14"/>
        <v>0.1063047507099131</v>
      </c>
      <c r="C53" s="27">
        <f t="shared" si="15"/>
        <v>0.11794724525178726</v>
      </c>
      <c r="D53" s="1">
        <f>O53/A53</f>
        <v>271004.09836065571</v>
      </c>
      <c r="E53" s="278">
        <v>44</v>
      </c>
      <c r="F53" s="16">
        <v>64147</v>
      </c>
      <c r="G53">
        <v>239</v>
      </c>
      <c r="H53" s="16">
        <v>560632000</v>
      </c>
      <c r="I53" s="16">
        <v>145764320</v>
      </c>
      <c r="J53" s="16">
        <v>38000000</v>
      </c>
      <c r="K53" s="16">
        <v>0</v>
      </c>
      <c r="L53" s="123">
        <v>2150000</v>
      </c>
      <c r="M53" s="16">
        <v>185914320</v>
      </c>
      <c r="N53" s="16">
        <v>59597845</v>
      </c>
      <c r="O53" s="16">
        <v>66125000</v>
      </c>
      <c r="P53" s="16">
        <v>0</v>
      </c>
      <c r="Q53" s="16"/>
      <c r="R53" s="16">
        <v>0</v>
      </c>
      <c r="S53"/>
      <c r="T53" s="12">
        <v>125722844.99999999</v>
      </c>
      <c r="U53" s="313">
        <v>59780000</v>
      </c>
      <c r="V53" s="16">
        <v>0</v>
      </c>
      <c r="W53" s="123">
        <v>3000000</v>
      </c>
      <c r="X53" s="123">
        <v>286089.74480286741</v>
      </c>
      <c r="Y53" s="12">
        <v>63066089.74480287</v>
      </c>
      <c r="Z53" s="12">
        <v>-2874614.7448028624</v>
      </c>
      <c r="AA53" s="13">
        <v>-1.5462040496949683E-2</v>
      </c>
      <c r="AB53" s="13">
        <v>0.1063047507099131</v>
      </c>
      <c r="AC53" s="16">
        <v>8739.8007701061615</v>
      </c>
      <c r="AD53" s="13">
        <v>0.11794724525178726</v>
      </c>
      <c r="AF53" s="1">
        <f t="shared" si="7"/>
        <v>268.39748953974896</v>
      </c>
      <c r="BC53" s="16"/>
      <c r="BD53" s="16">
        <f t="shared" si="19"/>
        <v>0</v>
      </c>
      <c r="BE53" s="16">
        <f t="shared" si="20"/>
        <v>0</v>
      </c>
      <c r="BF53" s="16">
        <v>44</v>
      </c>
      <c r="BG53" s="16"/>
      <c r="BJ53" s="26" t="s">
        <v>278</v>
      </c>
      <c r="BK53">
        <v>9</v>
      </c>
      <c r="BL53">
        <v>8</v>
      </c>
      <c r="BN53">
        <v>17</v>
      </c>
      <c r="BZ53" s="278" t="s">
        <v>176</v>
      </c>
      <c r="CC53">
        <v>0</v>
      </c>
      <c r="CD53">
        <v>0</v>
      </c>
      <c r="CE53">
        <v>0</v>
      </c>
      <c r="CF53">
        <v>0</v>
      </c>
      <c r="CL53" s="26" t="s">
        <v>201</v>
      </c>
      <c r="CQ53">
        <v>5</v>
      </c>
      <c r="CR53">
        <v>5</v>
      </c>
      <c r="CS53">
        <v>4</v>
      </c>
      <c r="CT53">
        <v>4</v>
      </c>
      <c r="EM53">
        <v>0</v>
      </c>
      <c r="EN53">
        <v>0</v>
      </c>
      <c r="EO53">
        <v>0</v>
      </c>
      <c r="EP53">
        <v>5</v>
      </c>
      <c r="EY53" s="337" t="s">
        <v>158</v>
      </c>
      <c r="EZ53" s="16">
        <v>8087</v>
      </c>
      <c r="FA53" s="16">
        <v>73746000</v>
      </c>
      <c r="FB53" s="16">
        <v>19173960</v>
      </c>
      <c r="FC53" s="16">
        <v>8600000</v>
      </c>
      <c r="FD53" s="16">
        <v>0</v>
      </c>
      <c r="FE53" s="16">
        <v>27773960</v>
      </c>
      <c r="FF53" s="313">
        <v>11760000</v>
      </c>
      <c r="FG53" s="16">
        <v>6569640</v>
      </c>
      <c r="FH53" s="16">
        <v>11333660</v>
      </c>
      <c r="FI53" s="16">
        <v>0</v>
      </c>
      <c r="FJ53" s="16">
        <v>0</v>
      </c>
      <c r="FK53" s="12">
        <v>17903300</v>
      </c>
      <c r="FL53" s="123">
        <v>1410714.2857142857</v>
      </c>
      <c r="FM53" s="123">
        <v>0</v>
      </c>
      <c r="FN53" s="12">
        <v>13170714.285714285</v>
      </c>
      <c r="FO53" s="12">
        <v>-3300054.2857142854</v>
      </c>
      <c r="FP53" s="13">
        <v>-0.11881828467075943</v>
      </c>
      <c r="FQ53" s="13">
        <v>8.9084696119111545E-2</v>
      </c>
      <c r="FR53" s="16">
        <v>9119.0800049462105</v>
      </c>
      <c r="FS53" s="13">
        <v>0.15368508122474439</v>
      </c>
      <c r="GS53" s="82">
        <v>45</v>
      </c>
      <c r="GT53" s="81">
        <v>71271</v>
      </c>
      <c r="GU53" s="91">
        <v>251</v>
      </c>
      <c r="GV53" s="81">
        <v>39800000</v>
      </c>
      <c r="GW53" s="81">
        <v>0</v>
      </c>
      <c r="GX53" s="37">
        <v>204521840</v>
      </c>
      <c r="GY53" s="322">
        <v>61495000</v>
      </c>
      <c r="GZ53" s="333">
        <v>137309870</v>
      </c>
      <c r="HA53" s="37">
        <v>63537837.144444443</v>
      </c>
      <c r="HB53" s="37">
        <v>3674132.8555555642</v>
      </c>
      <c r="HC53" s="244">
        <v>1.7964501275538905E-2</v>
      </c>
      <c r="HD53" s="244">
        <v>0.1123774433583293</v>
      </c>
      <c r="HE53" s="81">
        <v>8752.9850850977255</v>
      </c>
      <c r="HF53" s="244">
        <v>0.10772897918356486</v>
      </c>
      <c r="HG53" s="13"/>
      <c r="HH53" s="1">
        <f t="shared" si="21"/>
        <v>-21695000</v>
      </c>
      <c r="HI53" s="27">
        <f t="shared" si="22"/>
        <v>-0.54510050251256281</v>
      </c>
      <c r="HJ53" s="1">
        <f t="shared" si="23"/>
        <v>-21695000</v>
      </c>
      <c r="HK53" s="27">
        <f t="shared" si="24"/>
        <v>-0.54510050251256281</v>
      </c>
      <c r="JO53"/>
      <c r="JP53"/>
      <c r="JS53"/>
      <c r="JT53"/>
      <c r="JV53"/>
      <c r="JZ53"/>
      <c r="KA53"/>
      <c r="KN53" s="278" t="s">
        <v>161</v>
      </c>
      <c r="MI53">
        <v>0</v>
      </c>
      <c r="MJ53">
        <v>0</v>
      </c>
      <c r="MK53">
        <v>0</v>
      </c>
      <c r="ML53">
        <v>0</v>
      </c>
    </row>
    <row r="54" spans="1:350">
      <c r="B54" s="27">
        <f t="shared" si="14"/>
        <v>0.1123774433583293</v>
      </c>
      <c r="C54" s="27">
        <f t="shared" si="15"/>
        <v>0.10772897918356486</v>
      </c>
      <c r="D54" s="1">
        <f t="shared" si="16"/>
        <v>267749.00398406375</v>
      </c>
      <c r="E54" s="278">
        <v>45</v>
      </c>
      <c r="F54" s="16">
        <v>71271</v>
      </c>
      <c r="G54">
        <v>251</v>
      </c>
      <c r="H54" s="16">
        <v>623834000</v>
      </c>
      <c r="I54" s="16">
        <v>162196840</v>
      </c>
      <c r="J54" s="16">
        <v>39800000</v>
      </c>
      <c r="K54" s="16">
        <v>0</v>
      </c>
      <c r="L54" s="123">
        <v>2525000</v>
      </c>
      <c r="M54" s="16">
        <v>204521840</v>
      </c>
      <c r="N54" s="16">
        <v>70104870</v>
      </c>
      <c r="O54" s="16">
        <v>67205000</v>
      </c>
      <c r="P54" s="16">
        <v>0</v>
      </c>
      <c r="Q54" s="16"/>
      <c r="R54" s="16">
        <v>0</v>
      </c>
      <c r="S54"/>
      <c r="T54" s="12">
        <v>137309870</v>
      </c>
      <c r="U54" s="313">
        <v>61495000</v>
      </c>
      <c r="V54" s="16">
        <v>0</v>
      </c>
      <c r="W54" s="123">
        <v>1750000</v>
      </c>
      <c r="X54" s="123">
        <v>292837.14444444445</v>
      </c>
      <c r="Y54" s="12">
        <v>63537837.144444443</v>
      </c>
      <c r="Z54" s="12">
        <v>3674132.8555555642</v>
      </c>
      <c r="AA54" s="13">
        <v>1.7964501275538905E-2</v>
      </c>
      <c r="AB54" s="13">
        <v>0.1123774433583293</v>
      </c>
      <c r="AC54" s="16">
        <v>8752.9850850977255</v>
      </c>
      <c r="AD54" s="13">
        <v>0.10772897918356486</v>
      </c>
      <c r="AF54" s="1">
        <f t="shared" si="7"/>
        <v>283.94820717131472</v>
      </c>
      <c r="BC54" s="16"/>
      <c r="BD54" s="16" t="e">
        <f t="shared" si="19"/>
        <v>#DIV/0!</v>
      </c>
      <c r="BE54" s="16" t="e">
        <f t="shared" si="20"/>
        <v>#DIV/0!</v>
      </c>
      <c r="BF54" s="16"/>
      <c r="BG54" s="16"/>
      <c r="BJ54" s="278">
        <v>72026</v>
      </c>
      <c r="BK54">
        <v>9</v>
      </c>
      <c r="BN54">
        <v>9</v>
      </c>
      <c r="BZ54" s="278" t="s">
        <v>201</v>
      </c>
      <c r="CC54">
        <v>0</v>
      </c>
      <c r="CD54">
        <v>0</v>
      </c>
      <c r="CE54">
        <v>0</v>
      </c>
      <c r="CF54">
        <v>0</v>
      </c>
      <c r="CL54" s="26" t="s">
        <v>178</v>
      </c>
      <c r="EM54">
        <v>0</v>
      </c>
      <c r="EN54">
        <v>0</v>
      </c>
      <c r="EO54">
        <v>0</v>
      </c>
      <c r="EP54">
        <v>0</v>
      </c>
      <c r="EY54" s="337" t="s">
        <v>159</v>
      </c>
      <c r="EZ54" s="16">
        <v>6467</v>
      </c>
      <c r="FA54" s="16">
        <v>60288000</v>
      </c>
      <c r="FB54" s="16">
        <v>15674880</v>
      </c>
      <c r="FC54" s="16">
        <v>6025000</v>
      </c>
      <c r="FD54" s="16">
        <v>0</v>
      </c>
      <c r="FE54" s="16">
        <v>21699880</v>
      </c>
      <c r="FF54" s="313">
        <v>8890000</v>
      </c>
      <c r="FG54" s="16">
        <v>5185920</v>
      </c>
      <c r="FH54" s="16">
        <v>9025000</v>
      </c>
      <c r="FI54" s="16">
        <v>0</v>
      </c>
      <c r="FJ54" s="16">
        <v>0</v>
      </c>
      <c r="FK54" s="12">
        <v>14210920</v>
      </c>
      <c r="FL54" s="123">
        <v>1400000</v>
      </c>
      <c r="FM54" s="123">
        <v>0</v>
      </c>
      <c r="FN54" s="12">
        <v>10290000</v>
      </c>
      <c r="FO54" s="12">
        <v>-2801040</v>
      </c>
      <c r="FP54" s="13">
        <v>-0.12908089814321555</v>
      </c>
      <c r="FQ54" s="13">
        <v>8.6019108280254775E-2</v>
      </c>
      <c r="FR54" s="16">
        <v>9322.406061543219</v>
      </c>
      <c r="FS54" s="13">
        <v>0.14969811571125266</v>
      </c>
      <c r="GS54" s="26" t="s">
        <v>180</v>
      </c>
      <c r="GT54" s="16">
        <v>0</v>
      </c>
      <c r="GU54">
        <v>0</v>
      </c>
      <c r="GV54" s="16">
        <v>0</v>
      </c>
      <c r="GW54" s="16">
        <v>0</v>
      </c>
      <c r="GX54" s="35">
        <v>0</v>
      </c>
      <c r="GY54" s="313">
        <v>0</v>
      </c>
      <c r="GZ54" s="332">
        <v>0</v>
      </c>
      <c r="HA54" s="35">
        <v>0</v>
      </c>
      <c r="HB54" s="35">
        <v>0</v>
      </c>
      <c r="HC54" s="13">
        <v>0</v>
      </c>
      <c r="HD54" s="13">
        <v>0</v>
      </c>
      <c r="HE54" s="16">
        <v>0</v>
      </c>
      <c r="HF54" s="13">
        <v>0</v>
      </c>
      <c r="HG54" s="13"/>
      <c r="HH54" s="1">
        <f t="shared" si="21"/>
        <v>0</v>
      </c>
      <c r="HI54" s="27" t="e">
        <f t="shared" si="22"/>
        <v>#DIV/0!</v>
      </c>
      <c r="HJ54" s="1">
        <f t="shared" si="23"/>
        <v>0</v>
      </c>
      <c r="HK54" s="27" t="e">
        <f t="shared" si="24"/>
        <v>#DIV/0!</v>
      </c>
      <c r="JO54"/>
      <c r="JP54"/>
      <c r="JS54"/>
      <c r="JT54"/>
      <c r="JV54"/>
      <c r="JZ54"/>
      <c r="KA54"/>
      <c r="KN54" s="278" t="s">
        <v>156</v>
      </c>
      <c r="MI54">
        <v>0</v>
      </c>
      <c r="MJ54">
        <v>0</v>
      </c>
      <c r="MK54">
        <v>0</v>
      </c>
      <c r="ML54">
        <v>0</v>
      </c>
    </row>
    <row r="55" spans="1:350">
      <c r="B55" s="27">
        <f t="shared" ref="B55:B69" si="25">N55/H55</f>
        <v>0.11237986157857932</v>
      </c>
      <c r="C55" s="27">
        <f t="shared" ref="C55:C69" si="26">O55/H55</f>
        <v>0.10790890850984569</v>
      </c>
      <c r="D55" s="1">
        <f t="shared" ref="D55:D69" si="27">O55/G55</f>
        <v>270676.2295081967</v>
      </c>
      <c r="E55" s="278">
        <v>46</v>
      </c>
      <c r="F55" s="16">
        <v>69778</v>
      </c>
      <c r="G55">
        <v>244</v>
      </c>
      <c r="H55" s="16">
        <v>612044000</v>
      </c>
      <c r="I55" s="16">
        <v>159131440</v>
      </c>
      <c r="J55" s="16">
        <v>38500000</v>
      </c>
      <c r="K55" s="16">
        <v>0</v>
      </c>
      <c r="L55" s="123">
        <v>2550000</v>
      </c>
      <c r="M55" s="16">
        <v>200181440</v>
      </c>
      <c r="N55" s="16">
        <v>68781420</v>
      </c>
      <c r="O55" s="16">
        <v>66045000</v>
      </c>
      <c r="P55" s="16">
        <v>0</v>
      </c>
      <c r="Q55" s="16"/>
      <c r="R55" s="16">
        <v>0</v>
      </c>
      <c r="S55"/>
      <c r="T55" s="12">
        <v>134826420</v>
      </c>
      <c r="U55" s="313">
        <v>59780000</v>
      </c>
      <c r="V55" s="16">
        <v>0</v>
      </c>
      <c r="W55" s="123">
        <v>3500000</v>
      </c>
      <c r="X55" s="123">
        <v>292837.14444444445</v>
      </c>
      <c r="Y55" s="12">
        <v>63572837.144444443</v>
      </c>
      <c r="Z55" s="12">
        <v>1782182.8555555642</v>
      </c>
      <c r="AA55" s="13">
        <v>8.9028376234857945E-3</v>
      </c>
      <c r="AB55" s="13">
        <v>0.11237986157857932</v>
      </c>
      <c r="AC55" s="16">
        <v>8771.3032761042159</v>
      </c>
      <c r="AD55" s="13">
        <v>0.10790890850984569</v>
      </c>
      <c r="AF55" s="1">
        <f t="shared" si="7"/>
        <v>285.97540983606558</v>
      </c>
      <c r="BC55" s="16"/>
      <c r="BD55" s="16"/>
      <c r="BE55" s="16"/>
      <c r="BF55" s="16"/>
      <c r="BG55" s="16"/>
      <c r="BJ55" s="278">
        <v>112026</v>
      </c>
      <c r="BL55">
        <v>8</v>
      </c>
      <c r="BN55">
        <v>8</v>
      </c>
      <c r="BZ55" s="278" t="s">
        <v>178</v>
      </c>
      <c r="CC55">
        <v>0</v>
      </c>
      <c r="CD55">
        <v>0</v>
      </c>
      <c r="CE55">
        <v>0</v>
      </c>
      <c r="CF55">
        <v>0</v>
      </c>
      <c r="CL55" s="26" t="s">
        <v>177</v>
      </c>
      <c r="EM55">
        <v>0</v>
      </c>
      <c r="EN55">
        <v>0</v>
      </c>
      <c r="EO55">
        <v>0</v>
      </c>
      <c r="EP55">
        <v>0</v>
      </c>
      <c r="EY55" s="337" t="s">
        <v>160</v>
      </c>
      <c r="EZ55" s="16">
        <v>3471</v>
      </c>
      <c r="FA55" s="16">
        <v>31632000</v>
      </c>
      <c r="FB55" s="16">
        <v>8224320</v>
      </c>
      <c r="FC55" s="16">
        <v>2230000</v>
      </c>
      <c r="FD55" s="16">
        <v>0</v>
      </c>
      <c r="FE55" s="16">
        <v>10454320</v>
      </c>
      <c r="FF55" s="313">
        <v>3115000</v>
      </c>
      <c r="FG55" s="16">
        <v>3250840</v>
      </c>
      <c r="FH55" s="16">
        <v>3575000</v>
      </c>
      <c r="FI55" s="16">
        <v>0</v>
      </c>
      <c r="FJ55" s="16">
        <v>0</v>
      </c>
      <c r="FK55" s="12">
        <v>6825840</v>
      </c>
      <c r="FL55" s="123">
        <v>500000</v>
      </c>
      <c r="FM55" s="123">
        <v>0</v>
      </c>
      <c r="FN55" s="12">
        <v>3615000</v>
      </c>
      <c r="FO55" s="12">
        <v>13480</v>
      </c>
      <c r="FP55" s="13">
        <v>1.2894191109512623E-3</v>
      </c>
      <c r="FQ55" s="13">
        <v>0.10277061203844208</v>
      </c>
      <c r="FR55" s="16">
        <v>9113.2238547968882</v>
      </c>
      <c r="FS55" s="13">
        <v>0.11301846231664138</v>
      </c>
      <c r="GS55" s="26" t="s">
        <v>181</v>
      </c>
      <c r="GT55" s="16">
        <v>0</v>
      </c>
      <c r="GU55">
        <v>0</v>
      </c>
      <c r="GV55" s="16">
        <v>0</v>
      </c>
      <c r="GW55" s="16">
        <v>0</v>
      </c>
      <c r="GX55" s="35">
        <v>0</v>
      </c>
      <c r="GY55" s="313">
        <v>0</v>
      </c>
      <c r="GZ55" s="332">
        <v>0</v>
      </c>
      <c r="HA55" s="35">
        <v>0</v>
      </c>
      <c r="HB55" s="35">
        <v>0</v>
      </c>
      <c r="HC55" s="13">
        <v>0</v>
      </c>
      <c r="HD55" s="13">
        <v>0</v>
      </c>
      <c r="HE55" s="16">
        <v>0</v>
      </c>
      <c r="HF55" s="13">
        <v>0</v>
      </c>
      <c r="HG55" s="13"/>
      <c r="HH55" s="1">
        <f t="shared" ref="HH55:HH83" si="28">GV55-GY55</f>
        <v>0</v>
      </c>
      <c r="HI55" s="27" t="e">
        <f t="shared" si="1"/>
        <v>#DIV/0!</v>
      </c>
      <c r="HJ55" s="1">
        <f t="shared" si="2"/>
        <v>0</v>
      </c>
      <c r="HK55" s="27" t="e">
        <f t="shared" si="3"/>
        <v>#DIV/0!</v>
      </c>
      <c r="JO55"/>
      <c r="JP55"/>
      <c r="JS55"/>
      <c r="JT55"/>
      <c r="JV55"/>
      <c r="JZ55"/>
      <c r="KA55"/>
      <c r="KN55" s="278" t="s">
        <v>162</v>
      </c>
      <c r="MI55">
        <v>0</v>
      </c>
      <c r="MJ55">
        <v>0</v>
      </c>
      <c r="MK55">
        <v>0</v>
      </c>
      <c r="ML55">
        <v>0</v>
      </c>
    </row>
    <row r="56" spans="1:350">
      <c r="B56" s="27">
        <f t="shared" si="25"/>
        <v>0.1061669680225811</v>
      </c>
      <c r="C56" s="27">
        <f t="shared" si="26"/>
        <v>0.12125364060405951</v>
      </c>
      <c r="D56" s="1">
        <f t="shared" si="27"/>
        <v>269916.66666666669</v>
      </c>
      <c r="E56" s="278">
        <v>47</v>
      </c>
      <c r="F56" s="16">
        <v>61072</v>
      </c>
      <c r="G56">
        <v>240</v>
      </c>
      <c r="H56" s="16">
        <v>534252000</v>
      </c>
      <c r="I56" s="16">
        <v>138905520</v>
      </c>
      <c r="J56" s="16">
        <v>38075000</v>
      </c>
      <c r="K56" s="16">
        <v>0</v>
      </c>
      <c r="L56" s="123">
        <v>2600000</v>
      </c>
      <c r="M56" s="16">
        <v>179580520</v>
      </c>
      <c r="N56" s="16">
        <v>56719915</v>
      </c>
      <c r="O56" s="16">
        <v>64780000</v>
      </c>
      <c r="P56" s="16">
        <v>0</v>
      </c>
      <c r="Q56" s="16"/>
      <c r="R56" s="16">
        <v>0</v>
      </c>
      <c r="S56"/>
      <c r="T56" s="12">
        <v>121499915</v>
      </c>
      <c r="U56" s="313">
        <v>58800000</v>
      </c>
      <c r="V56" s="16">
        <v>0</v>
      </c>
      <c r="W56" s="123">
        <v>2575000</v>
      </c>
      <c r="X56" s="123">
        <v>292837</v>
      </c>
      <c r="Y56" s="12">
        <v>61667837</v>
      </c>
      <c r="Z56" s="12">
        <v>-3587232</v>
      </c>
      <c r="AA56" s="13">
        <v>-1.9975618736375194E-2</v>
      </c>
      <c r="AB56" s="13">
        <v>0.1061669680225811</v>
      </c>
      <c r="AC56" s="16">
        <v>8747.9041131778886</v>
      </c>
      <c r="AD56" s="13">
        <v>0.12125364060405951</v>
      </c>
      <c r="AF56" s="1">
        <f t="shared" si="7"/>
        <v>254.46666666666667</v>
      </c>
      <c r="BC56" s="16"/>
      <c r="BD56" s="16"/>
      <c r="BE56" s="16"/>
      <c r="BF56" s="16"/>
      <c r="BG56" s="16"/>
      <c r="BJ56" s="26" t="s">
        <v>279</v>
      </c>
      <c r="BK56">
        <v>9</v>
      </c>
      <c r="BL56">
        <v>11</v>
      </c>
      <c r="BN56">
        <v>20</v>
      </c>
      <c r="BZ56" s="278" t="s">
        <v>177</v>
      </c>
      <c r="CC56">
        <v>0</v>
      </c>
      <c r="CD56">
        <v>0</v>
      </c>
      <c r="CE56">
        <v>0</v>
      </c>
      <c r="CF56">
        <v>0</v>
      </c>
      <c r="CL56" s="26" t="s">
        <v>202</v>
      </c>
      <c r="EM56">
        <v>0</v>
      </c>
      <c r="EN56">
        <v>0</v>
      </c>
      <c r="EO56">
        <v>0</v>
      </c>
      <c r="EP56">
        <v>0</v>
      </c>
      <c r="EY56" s="11" t="s">
        <v>170</v>
      </c>
      <c r="EZ56" s="16">
        <v>5869</v>
      </c>
      <c r="FA56" s="16">
        <v>51655000</v>
      </c>
      <c r="FB56" s="16">
        <v>15496500</v>
      </c>
      <c r="FC56" s="16">
        <v>7150000</v>
      </c>
      <c r="FD56" s="16">
        <v>0</v>
      </c>
      <c r="FE56" s="16">
        <v>23646500</v>
      </c>
      <c r="FF56" s="313">
        <v>11970000</v>
      </c>
      <c r="FG56" s="16">
        <v>4270200</v>
      </c>
      <c r="FH56" s="16">
        <v>9913000</v>
      </c>
      <c r="FI56" s="16">
        <v>860000</v>
      </c>
      <c r="FJ56" s="16">
        <v>0</v>
      </c>
      <c r="FK56" s="35">
        <v>14602800</v>
      </c>
      <c r="FL56" s="123">
        <v>0</v>
      </c>
      <c r="FM56" s="123">
        <v>0</v>
      </c>
      <c r="FN56" s="35">
        <v>11970000</v>
      </c>
      <c r="FO56" s="35">
        <v>-2926300</v>
      </c>
      <c r="FP56" s="13">
        <v>-0.12375192946101961</v>
      </c>
      <c r="FQ56" s="13">
        <v>8.2667699157874364E-2</v>
      </c>
      <c r="FR56" s="16">
        <v>8801.3290168682906</v>
      </c>
      <c r="FS56" s="13">
        <v>0.19190785015971348</v>
      </c>
      <c r="GS56" s="26" t="s">
        <v>182</v>
      </c>
      <c r="GT56" s="16">
        <v>0</v>
      </c>
      <c r="GU56">
        <v>0</v>
      </c>
      <c r="GV56" s="16">
        <v>0</v>
      </c>
      <c r="GW56" s="16">
        <v>0</v>
      </c>
      <c r="GX56" s="35">
        <v>0</v>
      </c>
      <c r="GY56" s="313">
        <v>0</v>
      </c>
      <c r="GZ56" s="332">
        <v>0</v>
      </c>
      <c r="HA56" s="35">
        <v>0</v>
      </c>
      <c r="HB56" s="35">
        <v>0</v>
      </c>
      <c r="HC56" s="13">
        <v>0</v>
      </c>
      <c r="HD56" s="13">
        <v>0</v>
      </c>
      <c r="HE56" s="16">
        <v>0</v>
      </c>
      <c r="HF56" s="13">
        <v>0</v>
      </c>
      <c r="HG56" s="13"/>
      <c r="HH56" s="1">
        <f t="shared" si="28"/>
        <v>0</v>
      </c>
      <c r="HI56" s="27" t="e">
        <f t="shared" si="1"/>
        <v>#DIV/0!</v>
      </c>
      <c r="HJ56" s="1">
        <f t="shared" si="2"/>
        <v>0</v>
      </c>
      <c r="HK56" s="27" t="e">
        <f t="shared" si="3"/>
        <v>#DIV/0!</v>
      </c>
      <c r="JO56"/>
      <c r="JP56"/>
      <c r="JS56"/>
      <c r="JT56"/>
      <c r="JV56"/>
      <c r="JZ56"/>
      <c r="KA56"/>
      <c r="KN56" s="278" t="s">
        <v>163</v>
      </c>
      <c r="LV56" s="379"/>
      <c r="MI56">
        <v>0</v>
      </c>
      <c r="MJ56">
        <v>0</v>
      </c>
      <c r="MK56">
        <v>0</v>
      </c>
      <c r="ML56">
        <v>0</v>
      </c>
    </row>
    <row r="57" spans="1:350">
      <c r="B57" s="27">
        <f t="shared" si="25"/>
        <v>0.11582628716819905</v>
      </c>
      <c r="C57" s="27">
        <f t="shared" si="26"/>
        <v>0.10523647290871879</v>
      </c>
      <c r="D57" s="1">
        <f t="shared" si="27"/>
        <v>282489.62655601662</v>
      </c>
      <c r="E57" s="278">
        <v>48</v>
      </c>
      <c r="F57" s="16">
        <v>73899</v>
      </c>
      <c r="G57">
        <v>241</v>
      </c>
      <c r="H57" s="16">
        <v>646924000</v>
      </c>
      <c r="I57" s="16">
        <v>168200240</v>
      </c>
      <c r="J57" s="16">
        <v>38025000</v>
      </c>
      <c r="K57" s="16">
        <v>0</v>
      </c>
      <c r="L57" s="123">
        <v>2725000</v>
      </c>
      <c r="M57" s="16">
        <v>208950240</v>
      </c>
      <c r="N57" s="16">
        <v>74930805</v>
      </c>
      <c r="O57" s="16">
        <v>68080000</v>
      </c>
      <c r="P57" s="16">
        <v>0</v>
      </c>
      <c r="Q57" s="16">
        <v>1400000</v>
      </c>
      <c r="R57" s="16">
        <v>3600000</v>
      </c>
      <c r="S57">
        <v>440000</v>
      </c>
      <c r="T57" s="12">
        <v>148010805</v>
      </c>
      <c r="U57" s="313">
        <v>59045000</v>
      </c>
      <c r="V57" s="16">
        <v>0</v>
      </c>
      <c r="W57" s="123">
        <v>3300000</v>
      </c>
      <c r="X57" s="123">
        <v>292837.14444444445</v>
      </c>
      <c r="Y57" s="12">
        <v>62637837.144444443</v>
      </c>
      <c r="Z57" s="12">
        <v>-1698402.1444444358</v>
      </c>
      <c r="AA57" s="13">
        <v>-8.1282612761987543E-3</v>
      </c>
      <c r="AB57" s="13">
        <v>0.11582628716819905</v>
      </c>
      <c r="AC57" s="16">
        <v>8754.1644677194545</v>
      </c>
      <c r="AD57" s="13">
        <v>0.10523647290871879</v>
      </c>
      <c r="AF57" s="1">
        <f t="shared" si="7"/>
        <v>306.63485477178421</v>
      </c>
      <c r="BC57" s="16"/>
      <c r="BD57" s="16"/>
      <c r="BE57" s="16"/>
      <c r="BF57" s="16"/>
      <c r="BG57" s="16"/>
      <c r="BJ57" s="278">
        <v>82026</v>
      </c>
      <c r="BK57">
        <v>9</v>
      </c>
      <c r="BN57">
        <v>9</v>
      </c>
      <c r="BZ57" s="278" t="s">
        <v>202</v>
      </c>
      <c r="CC57">
        <v>0</v>
      </c>
      <c r="CD57">
        <v>0</v>
      </c>
      <c r="CE57">
        <v>0</v>
      </c>
      <c r="CF57">
        <v>0</v>
      </c>
      <c r="CL57" s="26" t="s">
        <v>204</v>
      </c>
      <c r="EM57">
        <v>0</v>
      </c>
      <c r="EN57">
        <v>0</v>
      </c>
      <c r="EO57">
        <v>0</v>
      </c>
      <c r="EP57">
        <v>0</v>
      </c>
      <c r="EY57" s="26">
        <v>2025</v>
      </c>
      <c r="EZ57" s="16">
        <v>5869</v>
      </c>
      <c r="FA57" s="16">
        <v>51655000</v>
      </c>
      <c r="FB57" s="16">
        <v>15496500</v>
      </c>
      <c r="FC57" s="16">
        <v>7150000</v>
      </c>
      <c r="FD57" s="16">
        <v>0</v>
      </c>
      <c r="FE57" s="16">
        <v>23646500</v>
      </c>
      <c r="FF57" s="313">
        <v>11970000</v>
      </c>
      <c r="FG57" s="16">
        <v>4270200</v>
      </c>
      <c r="FH57" s="16">
        <v>9913000</v>
      </c>
      <c r="FI57" s="16">
        <v>860000</v>
      </c>
      <c r="FJ57" s="16">
        <v>0</v>
      </c>
      <c r="FK57" s="12">
        <v>14602800</v>
      </c>
      <c r="FL57" s="123">
        <v>0</v>
      </c>
      <c r="FM57" s="123">
        <v>0</v>
      </c>
      <c r="FN57" s="12">
        <v>11970000</v>
      </c>
      <c r="FO57" s="12">
        <v>-2926300</v>
      </c>
      <c r="FP57" s="13">
        <v>-0.12375192946101961</v>
      </c>
      <c r="FQ57" s="13">
        <v>8.2667699157874364E-2</v>
      </c>
      <c r="FR57" s="16">
        <v>8801.3290168682906</v>
      </c>
      <c r="FS57" s="13">
        <v>0.19190785015971348</v>
      </c>
      <c r="GS57" s="11" t="s">
        <v>172</v>
      </c>
      <c r="GT57" s="16">
        <v>295674</v>
      </c>
      <c r="GU57">
        <v>34</v>
      </c>
      <c r="GV57" s="16">
        <v>140063428.57142857</v>
      </c>
      <c r="GW57" s="16">
        <v>70038968.000000015</v>
      </c>
      <c r="GX57" s="35">
        <v>854653136.57142866</v>
      </c>
      <c r="GY57" s="313">
        <v>242793442.85714287</v>
      </c>
      <c r="GZ57" s="332">
        <v>572455068.28571427</v>
      </c>
      <c r="HA57" s="35">
        <v>273401697.89267695</v>
      </c>
      <c r="HB57" s="35">
        <v>8796370.3930373508</v>
      </c>
      <c r="HC57" s="13">
        <v>1.0292327982701065E-2</v>
      </c>
      <c r="HD57" s="13">
        <v>0.11086185978643175</v>
      </c>
      <c r="HE57" s="16">
        <v>8923.9534081454567</v>
      </c>
      <c r="HF57" s="13">
        <v>9.5015491822525611E-2</v>
      </c>
      <c r="HG57" s="13"/>
      <c r="HH57" s="1">
        <f t="shared" si="28"/>
        <v>-102730014.2857143</v>
      </c>
      <c r="HI57" s="27">
        <f t="shared" si="1"/>
        <v>-0.7334535169780223</v>
      </c>
      <c r="HJ57" s="1">
        <f t="shared" si="2"/>
        <v>-32691046.285714269</v>
      </c>
      <c r="HK57" s="27">
        <f t="shared" si="3"/>
        <v>-0.15559578005384761</v>
      </c>
      <c r="JO57"/>
      <c r="JP57"/>
      <c r="JS57"/>
      <c r="JT57"/>
      <c r="JV57"/>
      <c r="JZ57"/>
      <c r="KA57"/>
      <c r="KN57" s="278" t="s">
        <v>164</v>
      </c>
      <c r="MI57">
        <v>0</v>
      </c>
      <c r="MJ57">
        <v>0</v>
      </c>
      <c r="MK57">
        <v>0</v>
      </c>
      <c r="ML57">
        <v>0</v>
      </c>
    </row>
    <row r="58" spans="1:350">
      <c r="B58" s="27">
        <f t="shared" si="25"/>
        <v>0.10808333721275841</v>
      </c>
      <c r="C58" s="27">
        <f t="shared" si="26"/>
        <v>0.11512939971566798</v>
      </c>
      <c r="D58" s="1">
        <f t="shared" si="27"/>
        <v>271308.01687763713</v>
      </c>
      <c r="E58" s="278">
        <v>49</v>
      </c>
      <c r="F58" s="16">
        <v>63518</v>
      </c>
      <c r="G58">
        <v>237</v>
      </c>
      <c r="H58" s="16">
        <v>558502000</v>
      </c>
      <c r="I58" s="16">
        <v>145210520</v>
      </c>
      <c r="J58" s="16">
        <v>37725000</v>
      </c>
      <c r="K58" s="16">
        <v>0</v>
      </c>
      <c r="L58" s="123">
        <v>2600000</v>
      </c>
      <c r="M58" s="16">
        <v>185535520</v>
      </c>
      <c r="N58" s="16">
        <v>60364760</v>
      </c>
      <c r="O58" s="16">
        <v>64300000</v>
      </c>
      <c r="P58" s="16">
        <v>0</v>
      </c>
      <c r="Q58" s="16">
        <v>0</v>
      </c>
      <c r="R58" s="16">
        <v>0</v>
      </c>
      <c r="S58"/>
      <c r="T58" s="12">
        <v>124664760</v>
      </c>
      <c r="U58" s="380">
        <v>58065000</v>
      </c>
      <c r="V58" s="16">
        <v>0</v>
      </c>
      <c r="W58" s="381">
        <v>4350000</v>
      </c>
      <c r="X58" s="123">
        <v>289348.17784946243</v>
      </c>
      <c r="Y58" s="12">
        <v>62704348.177849464</v>
      </c>
      <c r="Z58" s="12">
        <v>-1833588.1778494716</v>
      </c>
      <c r="AA58" s="13">
        <v>-9.8826800272501548E-3</v>
      </c>
      <c r="AB58" s="13">
        <v>0.10808333721275841</v>
      </c>
      <c r="AC58" s="16">
        <v>8792.8146352215117</v>
      </c>
      <c r="AD58" s="13">
        <v>0.11512939971566798</v>
      </c>
      <c r="AF58" s="1">
        <f t="shared" si="7"/>
        <v>268.00843881856542</v>
      </c>
      <c r="BC58" s="16"/>
      <c r="BD58" s="16"/>
      <c r="BE58" s="16"/>
      <c r="BF58" s="16"/>
      <c r="BG58" s="16"/>
      <c r="BJ58" s="278">
        <v>122026</v>
      </c>
      <c r="BL58">
        <v>11</v>
      </c>
      <c r="BN58">
        <v>11</v>
      </c>
      <c r="BZ58" s="278" t="s">
        <v>204</v>
      </c>
      <c r="CC58">
        <v>0</v>
      </c>
      <c r="CD58">
        <v>0</v>
      </c>
      <c r="CE58">
        <v>0</v>
      </c>
      <c r="CF58">
        <v>0</v>
      </c>
      <c r="CL58" s="11" t="s">
        <v>159</v>
      </c>
      <c r="CU58">
        <v>239</v>
      </c>
      <c r="CV58">
        <v>293</v>
      </c>
      <c r="CW58">
        <v>279</v>
      </c>
      <c r="CX58">
        <v>278</v>
      </c>
      <c r="CY58">
        <v>262</v>
      </c>
      <c r="CZ58">
        <v>253</v>
      </c>
      <c r="EM58">
        <v>0</v>
      </c>
      <c r="EN58">
        <v>0</v>
      </c>
      <c r="EO58">
        <v>0</v>
      </c>
      <c r="EP58">
        <v>293</v>
      </c>
      <c r="EY58" s="278" t="s">
        <v>170</v>
      </c>
      <c r="EZ58" s="16">
        <v>5869</v>
      </c>
      <c r="FA58" s="16">
        <v>51655000</v>
      </c>
      <c r="FB58" s="16">
        <v>15496500</v>
      </c>
      <c r="FC58" s="16">
        <v>7150000</v>
      </c>
      <c r="FD58" s="16">
        <v>0</v>
      </c>
      <c r="FE58" s="16">
        <v>23646500</v>
      </c>
      <c r="FF58" s="313">
        <v>11970000</v>
      </c>
      <c r="FG58" s="16">
        <v>4270200</v>
      </c>
      <c r="FH58" s="16">
        <v>9913000</v>
      </c>
      <c r="FI58" s="16">
        <v>860000</v>
      </c>
      <c r="FJ58" s="16">
        <v>0</v>
      </c>
      <c r="FK58" s="12">
        <v>14602800</v>
      </c>
      <c r="FL58" s="123">
        <v>0</v>
      </c>
      <c r="FM58" s="123">
        <v>0</v>
      </c>
      <c r="FN58" s="12">
        <v>11970000</v>
      </c>
      <c r="FO58" s="12">
        <v>-2926300</v>
      </c>
      <c r="FP58" s="13">
        <v>-0.12375192946101961</v>
      </c>
      <c r="FQ58" s="13">
        <v>8.2667699157874364E-2</v>
      </c>
      <c r="FR58" s="16">
        <v>8801.3290168682906</v>
      </c>
      <c r="FS58" s="13">
        <v>0.19190785015971348</v>
      </c>
      <c r="GS58" s="26">
        <v>1</v>
      </c>
      <c r="GT58" s="16">
        <v>4246</v>
      </c>
      <c r="GU58">
        <v>19</v>
      </c>
      <c r="GV58" s="16">
        <v>1347428.5714285714</v>
      </c>
      <c r="GW58" s="16">
        <v>1724403.7419354839</v>
      </c>
      <c r="GX58" s="35">
        <v>11735012.313364055</v>
      </c>
      <c r="GY58" s="313">
        <v>2492742.8571428568</v>
      </c>
      <c r="GZ58" s="332">
        <v>7173714.2857142854</v>
      </c>
      <c r="HA58" s="35">
        <v>2753314.2857142854</v>
      </c>
      <c r="HB58" s="35">
        <v>1807983.7419354841</v>
      </c>
      <c r="HC58" s="13">
        <v>0.15406747719186609</v>
      </c>
      <c r="HD58" s="13">
        <v>0.11270490248879247</v>
      </c>
      <c r="HE58" s="16">
        <v>8870.9373528026372</v>
      </c>
      <c r="HF58" s="13">
        <v>7.775106006933119E-2</v>
      </c>
      <c r="HG58" s="13"/>
      <c r="HH58" s="1">
        <f t="shared" si="28"/>
        <v>-1145314.2857142854</v>
      </c>
      <c r="HI58" s="27">
        <f t="shared" si="1"/>
        <v>-0.84999999999999987</v>
      </c>
      <c r="HJ58" s="1">
        <f t="shared" si="2"/>
        <v>579089.4562211982</v>
      </c>
      <c r="HK58" s="27">
        <f t="shared" si="3"/>
        <v>0.18851597260106301</v>
      </c>
      <c r="JO58"/>
      <c r="JP58"/>
      <c r="JS58"/>
      <c r="JT58"/>
      <c r="JV58"/>
      <c r="JZ58"/>
      <c r="KA58"/>
      <c r="KN58" s="278" t="s">
        <v>165</v>
      </c>
      <c r="MI58">
        <v>0</v>
      </c>
      <c r="MJ58">
        <v>0</v>
      </c>
      <c r="MK58">
        <v>0</v>
      </c>
      <c r="ML58">
        <v>0</v>
      </c>
    </row>
    <row r="59" spans="1:350">
      <c r="B59" s="27">
        <f t="shared" si="25"/>
        <v>0.11257574318065372</v>
      </c>
      <c r="C59" s="27">
        <f t="shared" si="26"/>
        <v>0.10886014529389609</v>
      </c>
      <c r="D59" s="1">
        <f t="shared" si="27"/>
        <v>283915.9292035398</v>
      </c>
      <c r="E59" s="278">
        <v>50</v>
      </c>
      <c r="F59" s="16">
        <v>67086</v>
      </c>
      <c r="G59">
        <v>226</v>
      </c>
      <c r="H59" s="16">
        <v>589426000</v>
      </c>
      <c r="I59" s="16">
        <v>153250760</v>
      </c>
      <c r="J59" s="16">
        <v>37950000</v>
      </c>
      <c r="K59" s="16">
        <v>0</v>
      </c>
      <c r="L59" s="123">
        <v>2175000</v>
      </c>
      <c r="M59" s="16">
        <v>193375760</v>
      </c>
      <c r="N59" s="16">
        <v>66355070</v>
      </c>
      <c r="O59" s="16">
        <v>64165000</v>
      </c>
      <c r="P59" s="16">
        <v>0</v>
      </c>
      <c r="Q59" s="16">
        <v>0</v>
      </c>
      <c r="R59" s="16">
        <v>0</v>
      </c>
      <c r="S59"/>
      <c r="T59" s="12">
        <v>130520070</v>
      </c>
      <c r="U59" s="313">
        <v>55370000</v>
      </c>
      <c r="V59" s="16"/>
      <c r="W59" s="381">
        <v>4350000</v>
      </c>
      <c r="X59" s="123">
        <v>289348.17784946243</v>
      </c>
      <c r="Y59" s="12">
        <v>60009348.177849464</v>
      </c>
      <c r="Z59" s="12">
        <v>2846341.8221505284</v>
      </c>
      <c r="AA59" s="13">
        <v>1.4719227591661584E-2</v>
      </c>
      <c r="AB59" s="13">
        <v>0.11257574318065372</v>
      </c>
      <c r="AC59" s="16">
        <v>8786.1252720388748</v>
      </c>
      <c r="AD59" s="13">
        <v>0.10886014529389609</v>
      </c>
      <c r="AF59" s="1">
        <f t="shared" si="7"/>
        <v>296.84070796460179</v>
      </c>
      <c r="BC59" s="81"/>
      <c r="BD59" s="81"/>
      <c r="BE59" s="81"/>
      <c r="BF59" s="81"/>
      <c r="BG59" s="81"/>
      <c r="BJ59" s="26" t="s">
        <v>280</v>
      </c>
      <c r="BK59">
        <v>8</v>
      </c>
      <c r="BL59">
        <v>6</v>
      </c>
      <c r="BN59">
        <v>14</v>
      </c>
      <c r="BZ59" s="26" t="s">
        <v>33</v>
      </c>
      <c r="CC59">
        <v>0</v>
      </c>
      <c r="CD59">
        <v>0</v>
      </c>
      <c r="CE59">
        <v>0</v>
      </c>
      <c r="CF59">
        <v>0</v>
      </c>
      <c r="CL59" s="26" t="s">
        <v>34</v>
      </c>
      <c r="EM59">
        <v>0</v>
      </c>
      <c r="EN59">
        <v>0</v>
      </c>
      <c r="EO59">
        <v>0</v>
      </c>
      <c r="EP59">
        <v>0</v>
      </c>
      <c r="EY59" s="337" t="s">
        <v>159</v>
      </c>
      <c r="EZ59" s="16">
        <v>851</v>
      </c>
      <c r="FA59" s="16">
        <v>8131500</v>
      </c>
      <c r="FB59" s="16">
        <v>2439450</v>
      </c>
      <c r="FC59" s="16">
        <v>2000000</v>
      </c>
      <c r="FD59" s="16">
        <v>0</v>
      </c>
      <c r="FE59" s="16">
        <v>4539450</v>
      </c>
      <c r="FF59" s="313">
        <v>2800000</v>
      </c>
      <c r="FG59" s="16">
        <v>678400</v>
      </c>
      <c r="FH59" s="16">
        <v>4000000</v>
      </c>
      <c r="FI59" s="16">
        <v>0</v>
      </c>
      <c r="FJ59" s="16">
        <v>0</v>
      </c>
      <c r="FK59" s="12">
        <v>4678400</v>
      </c>
      <c r="FL59" s="123">
        <v>0</v>
      </c>
      <c r="FM59" s="123">
        <v>0</v>
      </c>
      <c r="FN59" s="12">
        <v>2800000</v>
      </c>
      <c r="FO59" s="12">
        <v>-2938950</v>
      </c>
      <c r="FP59" s="13">
        <v>-0.64742424743085614</v>
      </c>
      <c r="FQ59" s="13">
        <v>8.3428641702022993E-2</v>
      </c>
      <c r="FR59" s="16">
        <v>9555.2291421856644</v>
      </c>
      <c r="FS59" s="13">
        <v>0.49191416097890917</v>
      </c>
      <c r="GS59" s="26">
        <v>2</v>
      </c>
      <c r="GT59" s="16">
        <v>7309</v>
      </c>
      <c r="GU59">
        <v>19</v>
      </c>
      <c r="GV59" s="16">
        <v>2358000</v>
      </c>
      <c r="GW59" s="16">
        <v>3017706.5483870967</v>
      </c>
      <c r="GX59" s="35">
        <v>20208176.548387095</v>
      </c>
      <c r="GY59" s="313">
        <v>4362300</v>
      </c>
      <c r="GZ59" s="332">
        <v>12191500</v>
      </c>
      <c r="HA59" s="35">
        <v>4818300</v>
      </c>
      <c r="HB59" s="35">
        <v>3198376.5483870953</v>
      </c>
      <c r="HC59" s="13">
        <v>0.15827140765168998</v>
      </c>
      <c r="HD59" s="13">
        <v>0.11306579416644699</v>
      </c>
      <c r="HE59" s="16">
        <v>8823.2316322342322</v>
      </c>
      <c r="HF59" s="13">
        <v>7.5981950410147464E-2</v>
      </c>
      <c r="HG59" s="13"/>
      <c r="HH59" s="1">
        <f t="shared" si="28"/>
        <v>-2004300</v>
      </c>
      <c r="HI59" s="27">
        <f t="shared" si="1"/>
        <v>-0.85</v>
      </c>
      <c r="HJ59" s="1">
        <f t="shared" si="2"/>
        <v>1013406.5483870972</v>
      </c>
      <c r="HK59" s="27">
        <f t="shared" si="3"/>
        <v>0.18851597260106304</v>
      </c>
      <c r="JO59"/>
      <c r="JP59"/>
      <c r="JS59"/>
      <c r="JT59"/>
      <c r="JV59"/>
      <c r="JZ59"/>
      <c r="KA59"/>
      <c r="KN59" s="278" t="s">
        <v>36</v>
      </c>
      <c r="MI59">
        <v>0</v>
      </c>
      <c r="MJ59">
        <v>0</v>
      </c>
      <c r="MK59">
        <v>0</v>
      </c>
      <c r="ML59">
        <v>0</v>
      </c>
    </row>
    <row r="60" spans="1:350">
      <c r="B60" s="27">
        <f t="shared" si="25"/>
        <v>0.10282149364341719</v>
      </c>
      <c r="C60" s="27">
        <f t="shared" si="26"/>
        <v>0.12422461973099679</v>
      </c>
      <c r="D60" s="1">
        <f t="shared" si="27"/>
        <v>273333.33333333331</v>
      </c>
      <c r="E60" s="278">
        <v>51</v>
      </c>
      <c r="F60" s="16">
        <v>55698</v>
      </c>
      <c r="G60">
        <v>222</v>
      </c>
      <c r="H60" s="16">
        <v>488470000</v>
      </c>
      <c r="I60" s="16">
        <v>127002200</v>
      </c>
      <c r="J60" s="16">
        <v>34250000</v>
      </c>
      <c r="K60" s="16">
        <v>0</v>
      </c>
      <c r="L60" s="123">
        <v>2025000</v>
      </c>
      <c r="M60" s="16">
        <v>163277200</v>
      </c>
      <c r="N60" s="16">
        <v>50225215</v>
      </c>
      <c r="O60" s="16">
        <v>60680000</v>
      </c>
      <c r="P60" s="16">
        <v>0</v>
      </c>
      <c r="Q60" s="16">
        <v>0</v>
      </c>
      <c r="R60" s="16">
        <v>0</v>
      </c>
      <c r="S60"/>
      <c r="T60" s="12">
        <v>110905215</v>
      </c>
      <c r="U60" s="313">
        <v>54390000</v>
      </c>
      <c r="V60" s="16">
        <v>0</v>
      </c>
      <c r="W60" s="123">
        <v>3825000</v>
      </c>
      <c r="X60" s="123">
        <v>289348.17784946243</v>
      </c>
      <c r="Y60" s="12">
        <v>58504348.177849464</v>
      </c>
      <c r="Z60" s="12">
        <v>-6132363.1778494716</v>
      </c>
      <c r="AA60" s="13">
        <v>-3.755798836487563E-2</v>
      </c>
      <c r="AB60" s="13">
        <v>0.10282149364341719</v>
      </c>
      <c r="AC60" s="16">
        <v>8769.9737872095939</v>
      </c>
      <c r="AD60" s="13">
        <v>0.12422461973099679</v>
      </c>
      <c r="AF60" s="1">
        <f t="shared" si="7"/>
        <v>250.8918918918919</v>
      </c>
      <c r="BC60" s="16"/>
      <c r="BD60" s="16"/>
      <c r="BE60" s="16"/>
      <c r="BF60" s="16"/>
      <c r="BG60" s="16"/>
      <c r="BJ60" s="278">
        <v>92026</v>
      </c>
      <c r="BK60">
        <v>8</v>
      </c>
      <c r="BN60">
        <v>8</v>
      </c>
      <c r="BZ60" s="278" t="s">
        <v>34</v>
      </c>
      <c r="CC60">
        <v>0</v>
      </c>
      <c r="CD60">
        <v>0</v>
      </c>
      <c r="CE60">
        <v>0</v>
      </c>
      <c r="CF60">
        <v>0</v>
      </c>
      <c r="CL60" s="26" t="s">
        <v>170</v>
      </c>
      <c r="CX60">
        <v>6</v>
      </c>
      <c r="CY60">
        <v>7</v>
      </c>
      <c r="EM60">
        <v>0</v>
      </c>
      <c r="EN60">
        <v>0</v>
      </c>
      <c r="EO60">
        <v>0</v>
      </c>
      <c r="EP60">
        <v>7</v>
      </c>
      <c r="EY60" s="337" t="s">
        <v>160</v>
      </c>
      <c r="EZ60" s="16">
        <v>2576</v>
      </c>
      <c r="FA60" s="16">
        <v>22938000</v>
      </c>
      <c r="FB60" s="16">
        <v>6881400</v>
      </c>
      <c r="FC60" s="16">
        <v>2846000</v>
      </c>
      <c r="FD60" s="16">
        <v>0</v>
      </c>
      <c r="FE60" s="16">
        <v>10627400</v>
      </c>
      <c r="FF60" s="313">
        <v>4865000</v>
      </c>
      <c r="FG60" s="16">
        <v>1668800</v>
      </c>
      <c r="FH60" s="16">
        <v>5692000</v>
      </c>
      <c r="FI60" s="16">
        <v>500000</v>
      </c>
      <c r="FJ60" s="16">
        <v>0</v>
      </c>
      <c r="FK60" s="12">
        <v>7860800</v>
      </c>
      <c r="FL60" s="123">
        <v>0</v>
      </c>
      <c r="FM60" s="123">
        <v>0</v>
      </c>
      <c r="FN60" s="12">
        <v>4865000</v>
      </c>
      <c r="FO60" s="12">
        <v>-2098400</v>
      </c>
      <c r="FP60" s="13">
        <v>-0.19745186969531589</v>
      </c>
      <c r="FQ60" s="13">
        <v>7.275263754468568E-2</v>
      </c>
      <c r="FR60" s="16">
        <v>8904.5031055900618</v>
      </c>
      <c r="FS60" s="13">
        <v>0.24814717935303862</v>
      </c>
      <c r="GS60" s="26">
        <v>3</v>
      </c>
      <c r="GT60" s="16">
        <v>6964</v>
      </c>
      <c r="GU60">
        <v>20</v>
      </c>
      <c r="GV60" s="16">
        <v>2466000</v>
      </c>
      <c r="GW60" s="16">
        <v>3017706.5483870967</v>
      </c>
      <c r="GX60" s="35">
        <v>19686666.548387095</v>
      </c>
      <c r="GY60" s="313">
        <v>4562100</v>
      </c>
      <c r="GZ60" s="332">
        <v>11977000</v>
      </c>
      <c r="HA60" s="35">
        <v>5018100</v>
      </c>
      <c r="HB60" s="35">
        <v>2691566.5483870953</v>
      </c>
      <c r="HC60" s="13">
        <v>0.13672027926980926</v>
      </c>
      <c r="HD60" s="13">
        <v>0.11257934965669128</v>
      </c>
      <c r="HE60" s="16">
        <v>8867.3176335439402</v>
      </c>
      <c r="HF60" s="13">
        <v>8.1373882627283331E-2</v>
      </c>
      <c r="HG60" s="13"/>
      <c r="HH60" s="1">
        <f t="shared" si="28"/>
        <v>-2096100</v>
      </c>
      <c r="HI60" s="27">
        <f t="shared" si="1"/>
        <v>-0.85</v>
      </c>
      <c r="HJ60" s="1">
        <f t="shared" si="2"/>
        <v>921606.54838709719</v>
      </c>
      <c r="HK60" s="27">
        <f t="shared" si="3"/>
        <v>0.16806270362117864</v>
      </c>
      <c r="JO60"/>
      <c r="JP60"/>
      <c r="JS60"/>
      <c r="JT60"/>
      <c r="JV60"/>
      <c r="JZ60"/>
      <c r="KA60"/>
      <c r="KN60" s="278" t="s">
        <v>166</v>
      </c>
      <c r="MI60">
        <v>0</v>
      </c>
      <c r="MJ60">
        <v>0</v>
      </c>
      <c r="MK60">
        <v>0</v>
      </c>
      <c r="ML60">
        <v>0</v>
      </c>
    </row>
    <row r="61" spans="1:350">
      <c r="B61" s="27">
        <f t="shared" si="25"/>
        <v>0.11035106945809085</v>
      </c>
      <c r="C61" s="27">
        <f t="shared" si="26"/>
        <v>0.11349608243267074</v>
      </c>
      <c r="D61" s="1">
        <f t="shared" si="27"/>
        <v>279070.79646017699</v>
      </c>
      <c r="E61" s="278">
        <v>52</v>
      </c>
      <c r="F61" s="16">
        <v>63381</v>
      </c>
      <c r="G61">
        <v>226</v>
      </c>
      <c r="H61" s="16">
        <v>555702000</v>
      </c>
      <c r="I61" s="16">
        <v>144482520</v>
      </c>
      <c r="J61" s="16">
        <v>34975000</v>
      </c>
      <c r="K61" s="16">
        <v>0</v>
      </c>
      <c r="L61" s="123">
        <v>2025000</v>
      </c>
      <c r="M61" s="16">
        <v>181482520</v>
      </c>
      <c r="N61" s="16">
        <v>61322310</v>
      </c>
      <c r="O61" s="16">
        <v>63070000</v>
      </c>
      <c r="P61" s="16">
        <v>0</v>
      </c>
      <c r="Q61" s="16">
        <v>2200000</v>
      </c>
      <c r="R61" s="16">
        <v>1200000</v>
      </c>
      <c r="S61">
        <v>424210</v>
      </c>
      <c r="T61" s="12">
        <v>127792310</v>
      </c>
      <c r="U61" s="313">
        <v>55370000</v>
      </c>
      <c r="V61" s="16"/>
      <c r="W61" s="123">
        <v>3625000</v>
      </c>
      <c r="X61" s="123">
        <v>289348.17784946243</v>
      </c>
      <c r="Y61" s="12">
        <v>59284348.177849464</v>
      </c>
      <c r="Z61" s="12">
        <v>-5594138.1778494716</v>
      </c>
      <c r="AA61" s="13">
        <v>-3.0824666628221118E-2</v>
      </c>
      <c r="AB61" s="13">
        <v>0.11035106945809085</v>
      </c>
      <c r="AC61" s="16">
        <v>8767.6433000425986</v>
      </c>
      <c r="AD61" s="13">
        <v>0.11349608243267074</v>
      </c>
      <c r="AF61" s="1">
        <f t="shared" si="7"/>
        <v>280.44690265486724</v>
      </c>
      <c r="BC61" s="16"/>
      <c r="BD61" s="16"/>
      <c r="BE61" s="16"/>
      <c r="BF61" s="16"/>
      <c r="BG61" s="16"/>
      <c r="BJ61" s="278">
        <v>132026</v>
      </c>
      <c r="BL61">
        <v>6</v>
      </c>
      <c r="BN61">
        <v>6</v>
      </c>
      <c r="BZ61" s="278" t="s">
        <v>170</v>
      </c>
      <c r="CC61">
        <v>0</v>
      </c>
      <c r="CD61">
        <v>0</v>
      </c>
      <c r="CE61">
        <v>0</v>
      </c>
      <c r="CF61">
        <v>0</v>
      </c>
      <c r="CL61" s="26" t="s">
        <v>27</v>
      </c>
      <c r="CU61">
        <v>6</v>
      </c>
      <c r="CV61">
        <v>6</v>
      </c>
      <c r="CW61">
        <v>6</v>
      </c>
      <c r="CX61">
        <v>6</v>
      </c>
      <c r="CY61">
        <v>5</v>
      </c>
      <c r="EM61">
        <v>0</v>
      </c>
      <c r="EN61">
        <v>0</v>
      </c>
      <c r="EO61">
        <v>0</v>
      </c>
      <c r="EP61">
        <v>6</v>
      </c>
      <c r="EY61" s="337" t="s">
        <v>161</v>
      </c>
      <c r="EZ61" s="16">
        <v>2006</v>
      </c>
      <c r="FA61" s="16">
        <v>16794000</v>
      </c>
      <c r="FB61" s="16">
        <v>5038200</v>
      </c>
      <c r="FC61" s="16">
        <v>1728000</v>
      </c>
      <c r="FD61" s="16">
        <v>0</v>
      </c>
      <c r="FE61" s="16">
        <v>6766200</v>
      </c>
      <c r="FF61" s="313">
        <v>3430000</v>
      </c>
      <c r="FG61" s="16">
        <v>1805400</v>
      </c>
      <c r="FH61" s="16">
        <v>45000</v>
      </c>
      <c r="FI61" s="16">
        <v>300000</v>
      </c>
      <c r="FJ61" s="16">
        <v>0</v>
      </c>
      <c r="FK61" s="12">
        <v>1710000</v>
      </c>
      <c r="FL61" s="123">
        <v>0</v>
      </c>
      <c r="FM61" s="123">
        <v>0</v>
      </c>
      <c r="FN61" s="12">
        <v>3430000</v>
      </c>
      <c r="FO61" s="12">
        <v>1626200</v>
      </c>
      <c r="FP61" s="13">
        <v>0.24034169844225711</v>
      </c>
      <c r="FQ61" s="13">
        <v>0.10750267952840301</v>
      </c>
      <c r="FR61" s="16">
        <v>8371.8843469591229</v>
      </c>
      <c r="FS61" s="13">
        <v>2.6795284030010718E-3</v>
      </c>
      <c r="GS61" s="26">
        <v>4</v>
      </c>
      <c r="GT61" s="16">
        <v>7717</v>
      </c>
      <c r="GU61">
        <v>28</v>
      </c>
      <c r="GV61" s="16">
        <v>3096000</v>
      </c>
      <c r="GW61" s="16">
        <v>3017706.5483870967</v>
      </c>
      <c r="GX61" s="35">
        <v>21780846.548387095</v>
      </c>
      <c r="GY61" s="313">
        <v>5727600</v>
      </c>
      <c r="GZ61" s="332">
        <v>18967000</v>
      </c>
      <c r="HA61" s="35">
        <v>6183600</v>
      </c>
      <c r="HB61" s="35">
        <v>-3369753.4516129047</v>
      </c>
      <c r="HC61" s="13">
        <v>-0.15471177596916866</v>
      </c>
      <c r="HD61" s="13">
        <v>0.11328870489444787</v>
      </c>
      <c r="HE61" s="16">
        <v>8827.0053129454445</v>
      </c>
      <c r="HF61" s="13">
        <v>9.3587597991720256E-2</v>
      </c>
      <c r="HG61" s="13"/>
      <c r="HH61" s="1">
        <f t="shared" si="28"/>
        <v>-2631600</v>
      </c>
      <c r="HI61" s="27">
        <f t="shared" si="1"/>
        <v>-0.85</v>
      </c>
      <c r="HJ61" s="1">
        <f t="shared" si="2"/>
        <v>386106.54838709719</v>
      </c>
      <c r="HK61" s="27">
        <f t="shared" si="3"/>
        <v>6.3154249444464891E-2</v>
      </c>
      <c r="JO61"/>
      <c r="JP61"/>
      <c r="JS61"/>
      <c r="JT61"/>
      <c r="JV61"/>
      <c r="JZ61"/>
      <c r="KA61"/>
      <c r="KN61" s="26" t="s">
        <v>171</v>
      </c>
      <c r="MI61">
        <v>0</v>
      </c>
      <c r="MJ61">
        <v>0</v>
      </c>
      <c r="MK61">
        <v>0</v>
      </c>
      <c r="ML61">
        <v>0</v>
      </c>
    </row>
    <row r="62" spans="1:350">
      <c r="B62" s="27">
        <f t="shared" si="25"/>
        <v>0.10843200463490814</v>
      </c>
      <c r="C62" s="27">
        <f t="shared" si="26"/>
        <v>0.11262306832404247</v>
      </c>
      <c r="D62" s="1">
        <f t="shared" si="27"/>
        <v>282093.02325581393</v>
      </c>
      <c r="E62" s="278">
        <v>12026</v>
      </c>
      <c r="F62" s="16">
        <v>61405</v>
      </c>
      <c r="G62">
        <v>215</v>
      </c>
      <c r="H62" s="16">
        <v>538522000</v>
      </c>
      <c r="I62" s="16">
        <v>140015720</v>
      </c>
      <c r="J62" s="16">
        <v>34875000</v>
      </c>
      <c r="K62" s="16">
        <v>0</v>
      </c>
      <c r="L62" s="123">
        <v>1725000</v>
      </c>
      <c r="M62" s="16">
        <v>176615720</v>
      </c>
      <c r="N62" s="16">
        <v>58393020</v>
      </c>
      <c r="O62" s="16">
        <v>60650000</v>
      </c>
      <c r="P62" s="16">
        <v>0</v>
      </c>
      <c r="Q62" s="16">
        <v>0</v>
      </c>
      <c r="R62" s="16">
        <v>0</v>
      </c>
      <c r="S62"/>
      <c r="T62" s="12">
        <v>119043020</v>
      </c>
      <c r="U62" s="313">
        <v>54145000</v>
      </c>
      <c r="V62" s="16">
        <v>0</v>
      </c>
      <c r="W62" s="123">
        <v>3625000</v>
      </c>
      <c r="X62" s="123">
        <v>289348.17784946202</v>
      </c>
      <c r="Y62" s="12">
        <v>58059348.177849464</v>
      </c>
      <c r="Z62" s="12">
        <v>-486648.17784947157</v>
      </c>
      <c r="AA62" s="13">
        <v>-2.7554069244202701E-3</v>
      </c>
      <c r="AB62" s="13">
        <v>0.10843200463490814</v>
      </c>
      <c r="AC62" s="16">
        <v>8770.0024427978169</v>
      </c>
      <c r="AD62" s="13">
        <v>0.11262306832404247</v>
      </c>
      <c r="AF62" s="1">
        <f t="shared" si="7"/>
        <v>285.60465116279067</v>
      </c>
      <c r="BC62" s="16"/>
      <c r="BD62" s="16"/>
      <c r="BE62" s="16"/>
      <c r="BF62" s="16"/>
      <c r="BG62" s="16"/>
      <c r="BJ62" s="11" t="s">
        <v>173</v>
      </c>
      <c r="BK62">
        <v>52</v>
      </c>
      <c r="BL62">
        <v>32</v>
      </c>
      <c r="BM62">
        <v>11</v>
      </c>
      <c r="BN62">
        <v>95</v>
      </c>
      <c r="BZ62" s="278" t="s">
        <v>27</v>
      </c>
      <c r="CC62">
        <v>0</v>
      </c>
      <c r="CD62">
        <v>0</v>
      </c>
      <c r="CE62">
        <v>0</v>
      </c>
      <c r="CF62">
        <v>0</v>
      </c>
      <c r="CL62" s="26" t="s">
        <v>33</v>
      </c>
      <c r="EM62">
        <v>0</v>
      </c>
      <c r="EN62">
        <v>0</v>
      </c>
      <c r="EO62">
        <v>0</v>
      </c>
      <c r="EP62">
        <v>0</v>
      </c>
      <c r="EY62" s="337" t="s">
        <v>156</v>
      </c>
      <c r="EZ62" s="16">
        <v>436</v>
      </c>
      <c r="FA62" s="16">
        <v>3791500</v>
      </c>
      <c r="FB62" s="16">
        <v>1137450</v>
      </c>
      <c r="FC62" s="16">
        <v>576000</v>
      </c>
      <c r="FD62" s="16">
        <v>0</v>
      </c>
      <c r="FE62" s="16">
        <v>1713450</v>
      </c>
      <c r="FF62" s="313">
        <v>875000</v>
      </c>
      <c r="FG62" s="16">
        <v>117600</v>
      </c>
      <c r="FH62" s="16">
        <v>176000</v>
      </c>
      <c r="FI62" s="16">
        <v>60000</v>
      </c>
      <c r="FJ62" s="16">
        <v>0</v>
      </c>
      <c r="FK62" s="12">
        <v>353600</v>
      </c>
      <c r="FL62" s="123">
        <v>0</v>
      </c>
      <c r="FM62" s="123">
        <v>0</v>
      </c>
      <c r="FN62" s="12">
        <v>875000</v>
      </c>
      <c r="FO62" s="12">
        <v>484850</v>
      </c>
      <c r="FP62" s="13">
        <v>0.28296711313431966</v>
      </c>
      <c r="FQ62" s="13">
        <v>3.101674798892259E-2</v>
      </c>
      <c r="FR62" s="16">
        <v>8696.100917431193</v>
      </c>
      <c r="FS62" s="13">
        <v>4.6419622840564417E-2</v>
      </c>
      <c r="GS62" s="26">
        <v>5</v>
      </c>
      <c r="GT62" s="16">
        <v>8805</v>
      </c>
      <c r="GU62">
        <v>31</v>
      </c>
      <c r="GV62" s="16">
        <v>3582000</v>
      </c>
      <c r="GW62" s="16">
        <v>3152707.0057603684</v>
      </c>
      <c r="GX62" s="35">
        <v>24639287.005760368</v>
      </c>
      <c r="GY62" s="313">
        <v>6626699.9999999991</v>
      </c>
      <c r="GZ62" s="332">
        <v>15355000</v>
      </c>
      <c r="HA62" s="35">
        <v>7082699.9999999991</v>
      </c>
      <c r="HB62" s="35">
        <v>2201587.0057603689</v>
      </c>
      <c r="HC62" s="13">
        <v>8.9352707537586798E-2</v>
      </c>
      <c r="HD62" s="13">
        <v>0.11021760912570973</v>
      </c>
      <c r="HE62" s="16">
        <v>8841.1130039750151</v>
      </c>
      <c r="HF62" s="13">
        <v>8.7030804408704365E-2</v>
      </c>
      <c r="HG62" s="13"/>
      <c r="HH62" s="1">
        <f t="shared" si="28"/>
        <v>-3044699.9999999991</v>
      </c>
      <c r="HI62" s="27">
        <f t="shared" si="1"/>
        <v>-0.84999999999999976</v>
      </c>
      <c r="HJ62" s="1">
        <f t="shared" si="2"/>
        <v>108007.00576036889</v>
      </c>
      <c r="HK62" s="27">
        <f t="shared" si="3"/>
        <v>1.6037372623335763E-2</v>
      </c>
      <c r="JO62"/>
      <c r="JP62"/>
      <c r="JS62"/>
      <c r="JT62"/>
      <c r="JV62"/>
      <c r="JZ62"/>
      <c r="KA62"/>
      <c r="KN62" s="278" t="s">
        <v>21</v>
      </c>
      <c r="MI62">
        <v>0</v>
      </c>
      <c r="MJ62">
        <v>0</v>
      </c>
      <c r="MK62">
        <v>0</v>
      </c>
      <c r="ML62">
        <v>0</v>
      </c>
    </row>
    <row r="63" spans="1:350">
      <c r="B63" s="27">
        <f t="shared" si="25"/>
        <v>0.10836229861381526</v>
      </c>
      <c r="C63" s="27">
        <f t="shared" si="26"/>
        <v>0.11345316122176408</v>
      </c>
      <c r="D63" s="1">
        <f t="shared" si="27"/>
        <v>274669.60352422908</v>
      </c>
      <c r="E63" s="278">
        <v>22026</v>
      </c>
      <c r="F63" s="16">
        <v>62602</v>
      </c>
      <c r="G63">
        <v>227</v>
      </c>
      <c r="H63" s="16">
        <v>549566000</v>
      </c>
      <c r="I63" s="16">
        <v>142887160</v>
      </c>
      <c r="J63" s="16">
        <v>34475000</v>
      </c>
      <c r="K63" s="16">
        <v>0</v>
      </c>
      <c r="L63" s="123">
        <v>1825000</v>
      </c>
      <c r="M63" s="16">
        <v>179187160</v>
      </c>
      <c r="N63" s="16">
        <v>59552235</v>
      </c>
      <c r="O63" s="16">
        <v>62350000</v>
      </c>
      <c r="P63" s="16">
        <v>0</v>
      </c>
      <c r="Q63" s="16">
        <v>0</v>
      </c>
      <c r="R63" s="16">
        <v>0</v>
      </c>
      <c r="S63"/>
      <c r="T63" s="12">
        <v>121902235</v>
      </c>
      <c r="U63" s="313">
        <v>55615000</v>
      </c>
      <c r="V63" s="16">
        <v>0</v>
      </c>
      <c r="W63" s="123">
        <v>3450000</v>
      </c>
      <c r="X63" s="123">
        <v>289348.17784946243</v>
      </c>
      <c r="Y63" s="12">
        <v>59354348.177849464</v>
      </c>
      <c r="Z63" s="12">
        <v>-2069423.1778494716</v>
      </c>
      <c r="AA63" s="13">
        <v>-1.1548947914847646E-2</v>
      </c>
      <c r="AB63" s="13">
        <v>0.10836229861381526</v>
      </c>
      <c r="AC63" s="16">
        <v>8778.7291140858124</v>
      </c>
      <c r="AD63" s="13">
        <v>0.11345316122176408</v>
      </c>
      <c r="AF63" s="1">
        <f t="shared" si="7"/>
        <v>275.77973568281936</v>
      </c>
      <c r="BC63" s="16"/>
      <c r="BD63" s="16"/>
      <c r="BE63" s="16"/>
      <c r="BF63" s="16"/>
      <c r="BG63" s="16"/>
      <c r="BJ63" s="26" t="s">
        <v>275</v>
      </c>
      <c r="BK63">
        <v>10</v>
      </c>
      <c r="BL63">
        <v>10</v>
      </c>
      <c r="BM63">
        <v>5</v>
      </c>
      <c r="BN63">
        <v>25</v>
      </c>
      <c r="BZ63" s="278" t="s">
        <v>33</v>
      </c>
      <c r="CC63">
        <v>0</v>
      </c>
      <c r="CD63">
        <v>0</v>
      </c>
      <c r="CE63">
        <v>0</v>
      </c>
      <c r="CF63">
        <v>0</v>
      </c>
      <c r="CL63" s="26" t="s">
        <v>171</v>
      </c>
      <c r="CU63">
        <v>5</v>
      </c>
      <c r="CV63">
        <v>7</v>
      </c>
      <c r="CW63">
        <v>7</v>
      </c>
      <c r="CX63">
        <v>3</v>
      </c>
      <c r="CY63">
        <v>7</v>
      </c>
      <c r="EM63">
        <v>0</v>
      </c>
      <c r="EN63">
        <v>0</v>
      </c>
      <c r="EO63">
        <v>0</v>
      </c>
      <c r="EP63">
        <v>7</v>
      </c>
      <c r="EY63" s="11" t="s">
        <v>177</v>
      </c>
      <c r="EZ63" s="16">
        <v>5318</v>
      </c>
      <c r="FA63" s="16">
        <v>58883000</v>
      </c>
      <c r="FB63" s="16">
        <v>17664900</v>
      </c>
      <c r="FC63" s="16">
        <v>7400000</v>
      </c>
      <c r="FD63" s="16">
        <v>0</v>
      </c>
      <c r="FE63" s="16">
        <v>25089900</v>
      </c>
      <c r="FF63" s="313">
        <v>9615000</v>
      </c>
      <c r="FG63" s="16">
        <v>4316570</v>
      </c>
      <c r="FH63" s="16">
        <v>8312500</v>
      </c>
      <c r="FI63" s="16">
        <v>0</v>
      </c>
      <c r="FJ63" s="16">
        <v>0</v>
      </c>
      <c r="FK63" s="35">
        <v>12629070</v>
      </c>
      <c r="FL63" s="123">
        <v>2933333.3333333335</v>
      </c>
      <c r="FM63" s="123">
        <v>0</v>
      </c>
      <c r="FN63" s="35">
        <v>12548333.333333334</v>
      </c>
      <c r="FO63" s="35">
        <v>-87503.333333333489</v>
      </c>
      <c r="FP63" s="13">
        <v>-3.4875919526715514E-3</v>
      </c>
      <c r="FQ63" s="13">
        <v>7.3307576040622935E-2</v>
      </c>
      <c r="FR63" s="16">
        <v>11072.39563745769</v>
      </c>
      <c r="FS63" s="13">
        <v>0.14116977735509401</v>
      </c>
      <c r="GS63" s="26">
        <v>6</v>
      </c>
      <c r="GT63" s="16">
        <v>9742</v>
      </c>
      <c r="GU63">
        <v>32</v>
      </c>
      <c r="GV63" s="16">
        <v>3834000</v>
      </c>
      <c r="GW63" s="16">
        <v>3962709.75</v>
      </c>
      <c r="GX63" s="35">
        <v>27896179.75</v>
      </c>
      <c r="GY63" s="313">
        <v>7840000</v>
      </c>
      <c r="GZ63" s="332">
        <v>16764500</v>
      </c>
      <c r="HA63" s="35">
        <v>8296000</v>
      </c>
      <c r="HB63" s="35">
        <v>2835679.75</v>
      </c>
      <c r="HC63" s="13">
        <v>0.10165118576854595</v>
      </c>
      <c r="HD63" s="13">
        <v>0.11260448822448059</v>
      </c>
      <c r="HE63" s="16">
        <v>8878.3617327037573</v>
      </c>
      <c r="HF63" s="13">
        <v>8.1220445585191869E-2</v>
      </c>
      <c r="HG63" s="13"/>
      <c r="HH63" s="1">
        <f t="shared" si="28"/>
        <v>-4006000</v>
      </c>
      <c r="HI63" s="27">
        <f t="shared" si="1"/>
        <v>-1.0448617631716224</v>
      </c>
      <c r="HJ63" s="1">
        <f t="shared" si="2"/>
        <v>-43290.25</v>
      </c>
      <c r="HK63" s="27">
        <f t="shared" si="3"/>
        <v>-5.5523741922033198E-3</v>
      </c>
      <c r="JO63"/>
      <c r="JP63"/>
      <c r="JS63"/>
      <c r="JT63"/>
      <c r="JV63"/>
      <c r="JZ63"/>
      <c r="KA63"/>
      <c r="KN63" s="278" t="s">
        <v>158</v>
      </c>
      <c r="MI63">
        <v>0</v>
      </c>
      <c r="MJ63">
        <v>0</v>
      </c>
      <c r="MK63">
        <v>0</v>
      </c>
      <c r="ML63">
        <v>0</v>
      </c>
    </row>
    <row r="64" spans="1:350">
      <c r="B64" s="27">
        <f t="shared" si="25"/>
        <v>9.2840194760793193E-2</v>
      </c>
      <c r="C64" s="27">
        <f t="shared" si="26"/>
        <v>0.13468204003678291</v>
      </c>
      <c r="D64" s="1">
        <f t="shared" si="27"/>
        <v>252743.36283185839</v>
      </c>
      <c r="E64" s="278">
        <v>32026</v>
      </c>
      <c r="F64" s="16">
        <v>48356</v>
      </c>
      <c r="G64">
        <v>226</v>
      </c>
      <c r="H64" s="16">
        <v>424110000</v>
      </c>
      <c r="I64" s="16">
        <v>110268600</v>
      </c>
      <c r="J64" s="16">
        <v>35200000</v>
      </c>
      <c r="K64" s="16">
        <v>0</v>
      </c>
      <c r="L64" s="123">
        <v>1625000</v>
      </c>
      <c r="M64" s="16">
        <v>147093600</v>
      </c>
      <c r="N64" s="16">
        <v>39374455</v>
      </c>
      <c r="O64" s="16">
        <v>57120000</v>
      </c>
      <c r="P64" s="16">
        <v>0</v>
      </c>
      <c r="Q64" s="16">
        <v>0</v>
      </c>
      <c r="R64" s="16">
        <v>0</v>
      </c>
      <c r="S64"/>
      <c r="T64" s="12">
        <v>96494455</v>
      </c>
      <c r="U64" s="313">
        <v>55370000</v>
      </c>
      <c r="V64" s="16">
        <v>0</v>
      </c>
      <c r="W64" s="385">
        <v>4425000</v>
      </c>
      <c r="X64" s="123">
        <v>289348.17784946243</v>
      </c>
      <c r="Y64" s="12">
        <v>60084348.177849464</v>
      </c>
      <c r="Z64" s="12">
        <v>-9485203.1778494716</v>
      </c>
      <c r="AA64" s="13">
        <v>-6.4484132401746039E-2</v>
      </c>
      <c r="AB64" s="13">
        <v>9.2840194760793193E-2</v>
      </c>
      <c r="AC64" s="16">
        <v>8770.5765572007604</v>
      </c>
      <c r="AD64" s="13">
        <v>0.13468204003678291</v>
      </c>
      <c r="AF64" s="1">
        <f t="shared" si="7"/>
        <v>213.9646017699115</v>
      </c>
      <c r="BC64" s="16"/>
      <c r="BD64" s="16"/>
      <c r="BE64" s="16"/>
      <c r="BF64" s="16"/>
      <c r="BG64" s="16"/>
      <c r="BJ64" s="278">
        <v>52026</v>
      </c>
      <c r="BK64">
        <v>10</v>
      </c>
      <c r="BN64">
        <v>10</v>
      </c>
      <c r="BZ64" s="278" t="s">
        <v>171</v>
      </c>
      <c r="CC64">
        <v>0</v>
      </c>
      <c r="CD64">
        <v>0</v>
      </c>
      <c r="CE64">
        <v>0</v>
      </c>
      <c r="CF64">
        <v>0</v>
      </c>
      <c r="CL64" s="26" t="s">
        <v>276</v>
      </c>
      <c r="EM64">
        <v>0</v>
      </c>
      <c r="EN64">
        <v>0</v>
      </c>
      <c r="EO64">
        <v>0</v>
      </c>
      <c r="EP64">
        <v>0</v>
      </c>
      <c r="EY64" s="26">
        <v>2025</v>
      </c>
      <c r="EZ64" s="16">
        <v>5318</v>
      </c>
      <c r="FA64" s="16">
        <v>58883000</v>
      </c>
      <c r="FB64" s="16">
        <v>17664900</v>
      </c>
      <c r="FC64" s="16">
        <v>7400000</v>
      </c>
      <c r="FD64" s="16">
        <v>0</v>
      </c>
      <c r="FE64" s="16">
        <v>25089900</v>
      </c>
      <c r="FF64" s="313">
        <v>9615000</v>
      </c>
      <c r="FG64" s="16">
        <v>4316570</v>
      </c>
      <c r="FH64" s="16">
        <v>8312500</v>
      </c>
      <c r="FI64" s="16">
        <v>0</v>
      </c>
      <c r="FJ64" s="16">
        <v>0</v>
      </c>
      <c r="FK64" s="12">
        <v>12629070</v>
      </c>
      <c r="FL64" s="123">
        <v>2933333.3333333335</v>
      </c>
      <c r="FM64" s="123">
        <v>0</v>
      </c>
      <c r="FN64" s="12">
        <v>12548333.333333334</v>
      </c>
      <c r="FO64" s="12">
        <v>-87503.333333333489</v>
      </c>
      <c r="FP64" s="13">
        <v>-3.4875919526715514E-3</v>
      </c>
      <c r="FQ64" s="13">
        <v>7.3307576040622935E-2</v>
      </c>
      <c r="FR64" s="16">
        <v>11072.39563745769</v>
      </c>
      <c r="FS64" s="13">
        <v>0.14116977735509401</v>
      </c>
      <c r="GS64" s="26">
        <v>7</v>
      </c>
      <c r="GT64" s="16">
        <v>10578</v>
      </c>
      <c r="GU64">
        <v>31</v>
      </c>
      <c r="GV64" s="16">
        <v>3852000</v>
      </c>
      <c r="GW64" s="16">
        <v>3962709.75</v>
      </c>
      <c r="GX64" s="35">
        <v>29265199.75</v>
      </c>
      <c r="GY64" s="313">
        <v>7490000</v>
      </c>
      <c r="GZ64" s="332">
        <v>18738500</v>
      </c>
      <c r="HA64" s="35">
        <v>7946000</v>
      </c>
      <c r="HB64" s="35">
        <v>2580699.75</v>
      </c>
      <c r="HC64" s="13">
        <v>8.8183226905874781E-2</v>
      </c>
      <c r="HD64" s="13">
        <v>0.11326571094646323</v>
      </c>
      <c r="HE64" s="16">
        <v>8816.6950274153896</v>
      </c>
      <c r="HF64" s="13">
        <v>8.7655340274278112E-2</v>
      </c>
      <c r="HG64" s="13"/>
      <c r="HH64" s="1">
        <f t="shared" si="28"/>
        <v>-3638000</v>
      </c>
      <c r="HI64" s="27">
        <f t="shared" si="1"/>
        <v>-0.94444444444444442</v>
      </c>
      <c r="HJ64" s="1">
        <f t="shared" si="2"/>
        <v>324709.75</v>
      </c>
      <c r="HK64" s="27">
        <f t="shared" si="3"/>
        <v>4.1551095355780811E-2</v>
      </c>
      <c r="JO64"/>
      <c r="JP64"/>
      <c r="JS64"/>
      <c r="JT64"/>
      <c r="JV64"/>
      <c r="JZ64"/>
      <c r="KA64"/>
      <c r="KN64" s="278" t="s">
        <v>159</v>
      </c>
      <c r="MI64">
        <v>0</v>
      </c>
      <c r="MJ64">
        <v>0</v>
      </c>
      <c r="MK64">
        <v>0</v>
      </c>
      <c r="ML64">
        <v>0</v>
      </c>
    </row>
    <row r="65" spans="2:350">
      <c r="B65" s="27">
        <f t="shared" si="25"/>
        <v>9.0737357144296857E-2</v>
      </c>
      <c r="C65" s="27">
        <f t="shared" si="26"/>
        <v>0.14005905710196925</v>
      </c>
      <c r="D65" s="1">
        <f t="shared" si="27"/>
        <v>257361.11111111112</v>
      </c>
      <c r="E65" s="278">
        <v>42026</v>
      </c>
      <c r="F65" s="16">
        <v>45349</v>
      </c>
      <c r="G65">
        <v>216</v>
      </c>
      <c r="H65" s="16">
        <v>396904000</v>
      </c>
      <c r="I65" s="16">
        <v>103195040</v>
      </c>
      <c r="J65" s="16">
        <v>33750000</v>
      </c>
      <c r="K65" s="16">
        <v>0</v>
      </c>
      <c r="L65" s="123">
        <v>1250000</v>
      </c>
      <c r="M65" s="16">
        <v>138195040</v>
      </c>
      <c r="N65" s="16">
        <v>36014020</v>
      </c>
      <c r="O65" s="16">
        <v>55590000</v>
      </c>
      <c r="P65" s="16">
        <v>0</v>
      </c>
      <c r="Q65" s="16">
        <v>600000</v>
      </c>
      <c r="R65" s="16">
        <v>1200000</v>
      </c>
      <c r="S65"/>
      <c r="T65" s="12">
        <v>93404020</v>
      </c>
      <c r="U65" s="313">
        <v>52920000</v>
      </c>
      <c r="V65" s="16">
        <v>0</v>
      </c>
      <c r="W65" s="123">
        <v>3825000</v>
      </c>
      <c r="X65" s="123">
        <v>289348.17784946243</v>
      </c>
      <c r="Y65" s="12">
        <v>57034348.177849464</v>
      </c>
      <c r="Z65" s="12">
        <v>-12243328.177849472</v>
      </c>
      <c r="AA65" s="13">
        <v>-8.8594555765890523E-2</v>
      </c>
      <c r="AB65" s="13">
        <v>9.0737357144296857E-2</v>
      </c>
      <c r="AC65" s="16">
        <v>8752.2106330900351</v>
      </c>
      <c r="AD65" s="13">
        <v>0.14005905710196925</v>
      </c>
      <c r="AF65" s="1">
        <f t="shared" si="7"/>
        <v>209.94907407407408</v>
      </c>
      <c r="AG65" s="16"/>
      <c r="BC65" s="16"/>
      <c r="BD65" s="16"/>
      <c r="BE65" s="16"/>
      <c r="BF65" s="16"/>
      <c r="BG65" s="16"/>
      <c r="BJ65" s="278">
        <v>92026</v>
      </c>
      <c r="BL65">
        <v>6</v>
      </c>
      <c r="BN65">
        <v>6</v>
      </c>
      <c r="BZ65" s="278" t="s">
        <v>276</v>
      </c>
      <c r="CC65">
        <v>0</v>
      </c>
      <c r="CD65">
        <v>0</v>
      </c>
      <c r="CE65">
        <v>0</v>
      </c>
      <c r="CF65">
        <v>0</v>
      </c>
      <c r="CL65" s="26" t="s">
        <v>277</v>
      </c>
      <c r="EM65">
        <v>0</v>
      </c>
      <c r="EN65">
        <v>0</v>
      </c>
      <c r="EO65">
        <v>0</v>
      </c>
      <c r="EP65">
        <v>0</v>
      </c>
      <c r="EY65" s="278" t="s">
        <v>177</v>
      </c>
      <c r="EZ65" s="16">
        <v>5318</v>
      </c>
      <c r="FA65" s="16">
        <v>58883000</v>
      </c>
      <c r="FB65" s="16">
        <v>17664900</v>
      </c>
      <c r="FC65" s="16">
        <v>7400000</v>
      </c>
      <c r="FD65" s="16">
        <v>0</v>
      </c>
      <c r="FE65" s="16">
        <v>25089900</v>
      </c>
      <c r="FF65" s="313">
        <v>9615000</v>
      </c>
      <c r="FG65" s="16">
        <v>4316570</v>
      </c>
      <c r="FH65" s="16">
        <v>8312500</v>
      </c>
      <c r="FI65" s="16">
        <v>0</v>
      </c>
      <c r="FJ65" s="16">
        <v>0</v>
      </c>
      <c r="FK65" s="12">
        <v>12629070</v>
      </c>
      <c r="FL65" s="123">
        <v>2933333.3333333335</v>
      </c>
      <c r="FM65" s="123">
        <v>0</v>
      </c>
      <c r="FN65" s="12">
        <v>12548333.333333334</v>
      </c>
      <c r="FO65" s="12">
        <v>-87503.333333333489</v>
      </c>
      <c r="FP65" s="13">
        <v>-3.4875919526715514E-3</v>
      </c>
      <c r="FQ65" s="13">
        <v>7.3307576040622935E-2</v>
      </c>
      <c r="FR65" s="16">
        <v>11072.39563745769</v>
      </c>
      <c r="FS65" s="13">
        <v>0.14116977735509401</v>
      </c>
      <c r="GS65" s="26">
        <v>8</v>
      </c>
      <c r="GT65" s="16">
        <v>9954</v>
      </c>
      <c r="GU65">
        <v>34</v>
      </c>
      <c r="GV65" s="16">
        <v>4014000</v>
      </c>
      <c r="GW65" s="16">
        <v>3962709.75</v>
      </c>
      <c r="GX65" s="35">
        <v>28126549.75</v>
      </c>
      <c r="GY65" s="313">
        <v>7805000</v>
      </c>
      <c r="GZ65" s="332">
        <v>25552000</v>
      </c>
      <c r="HA65" s="35">
        <v>8261000</v>
      </c>
      <c r="HB65" s="35">
        <v>-5686450.25</v>
      </c>
      <c r="HC65" s="13">
        <v>-0.20217375755446151</v>
      </c>
      <c r="HD65" s="13">
        <v>0.11359693178705141</v>
      </c>
      <c r="HE65" s="16">
        <v>8801.2859152099663</v>
      </c>
      <c r="HF65" s="13">
        <v>8.6464706419505072E-2</v>
      </c>
      <c r="HG65" s="13"/>
      <c r="HH65" s="1">
        <f t="shared" si="28"/>
        <v>-3791000</v>
      </c>
      <c r="HI65" s="27">
        <f t="shared" si="1"/>
        <v>-0.94444444444444442</v>
      </c>
      <c r="HJ65" s="1">
        <f t="shared" si="2"/>
        <v>171709.75</v>
      </c>
      <c r="HK65" s="27">
        <f t="shared" si="3"/>
        <v>2.1526388120114311E-2</v>
      </c>
      <c r="JO65"/>
      <c r="JP65"/>
      <c r="JS65"/>
      <c r="JT65"/>
      <c r="JV65"/>
      <c r="JZ65"/>
      <c r="KA65"/>
      <c r="KN65" s="278" t="s">
        <v>160</v>
      </c>
      <c r="MI65">
        <v>0</v>
      </c>
      <c r="MJ65">
        <v>0</v>
      </c>
      <c r="MK65">
        <v>0</v>
      </c>
      <c r="ML65">
        <v>0</v>
      </c>
    </row>
    <row r="66" spans="2:350">
      <c r="B66" s="27">
        <f t="shared" si="25"/>
        <v>0.10008490381928582</v>
      </c>
      <c r="C66" s="27">
        <f t="shared" si="26"/>
        <v>0.12405693224105277</v>
      </c>
      <c r="D66" s="1">
        <f t="shared" si="27"/>
        <v>262629.10798122064</v>
      </c>
      <c r="E66" s="382">
        <v>52026</v>
      </c>
      <c r="F66" s="383">
        <v>51527</v>
      </c>
      <c r="G66" s="384">
        <v>213</v>
      </c>
      <c r="H66" s="383">
        <v>450922000</v>
      </c>
      <c r="I66" s="383">
        <v>114953240</v>
      </c>
      <c r="J66" s="383">
        <v>32999999.999999996</v>
      </c>
      <c r="K66" s="383">
        <v>0</v>
      </c>
      <c r="L66" s="385">
        <v>1225000</v>
      </c>
      <c r="M66" s="383">
        <v>149178240</v>
      </c>
      <c r="N66" s="383">
        <v>45130485</v>
      </c>
      <c r="O66" s="383">
        <v>55940000</v>
      </c>
      <c r="P66" s="383">
        <v>0</v>
      </c>
      <c r="Q66" s="383">
        <v>0</v>
      </c>
      <c r="R66" s="383">
        <v>0</v>
      </c>
      <c r="S66" s="384"/>
      <c r="T66" s="386">
        <v>101070485</v>
      </c>
      <c r="U66" s="387">
        <v>52185000</v>
      </c>
      <c r="V66" s="383">
        <v>0</v>
      </c>
      <c r="W66" s="385">
        <v>3850000</v>
      </c>
      <c r="X66" s="385">
        <v>293776.97649001546</v>
      </c>
      <c r="Y66" s="386">
        <v>56328776.976490021</v>
      </c>
      <c r="Z66" s="386">
        <v>-8221021.9764900282</v>
      </c>
      <c r="AA66" s="388">
        <v>-5.5108720792590313E-2</v>
      </c>
      <c r="AB66" s="388">
        <v>0.10008490381928582</v>
      </c>
      <c r="AC66" s="383">
        <v>8751.178993537369</v>
      </c>
      <c r="AD66" s="388">
        <v>0.12405693224105277</v>
      </c>
      <c r="AF66" s="1">
        <f t="shared" si="7"/>
        <v>241.91079812206573</v>
      </c>
      <c r="AG66" s="16"/>
      <c r="BC66" s="16"/>
      <c r="BD66" s="16"/>
      <c r="BE66" s="16"/>
      <c r="BF66" s="16"/>
      <c r="BG66" s="16"/>
      <c r="BJ66" s="278">
        <v>142026</v>
      </c>
      <c r="BL66">
        <v>4</v>
      </c>
      <c r="BM66">
        <v>5</v>
      </c>
      <c r="BN66">
        <v>9</v>
      </c>
      <c r="BZ66" s="278" t="s">
        <v>277</v>
      </c>
      <c r="CC66">
        <v>0</v>
      </c>
      <c r="CD66">
        <v>0</v>
      </c>
      <c r="CE66">
        <v>0</v>
      </c>
      <c r="CF66">
        <v>0</v>
      </c>
      <c r="CL66" s="26" t="s">
        <v>199</v>
      </c>
      <c r="CW66">
        <v>1</v>
      </c>
      <c r="CX66">
        <v>1</v>
      </c>
      <c r="CY66">
        <v>1</v>
      </c>
      <c r="EM66">
        <v>0</v>
      </c>
      <c r="EN66">
        <v>0</v>
      </c>
      <c r="EO66">
        <v>0</v>
      </c>
      <c r="EP66">
        <v>1</v>
      </c>
      <c r="EY66" s="337" t="s">
        <v>162</v>
      </c>
      <c r="EZ66" s="16">
        <v>101</v>
      </c>
      <c r="FA66" s="16">
        <v>1196000</v>
      </c>
      <c r="FB66" s="16">
        <v>358800</v>
      </c>
      <c r="FC66" s="16">
        <v>100000</v>
      </c>
      <c r="FD66" s="16">
        <v>0</v>
      </c>
      <c r="FE66" s="16">
        <v>458800</v>
      </c>
      <c r="FF66" s="313">
        <v>140000</v>
      </c>
      <c r="FG66" s="16">
        <v>59800</v>
      </c>
      <c r="FH66" s="16">
        <v>100000</v>
      </c>
      <c r="FI66" s="16">
        <v>0</v>
      </c>
      <c r="FJ66" s="16">
        <v>0</v>
      </c>
      <c r="FK66" s="12">
        <v>159800</v>
      </c>
      <c r="FL66" s="123">
        <v>0</v>
      </c>
      <c r="FM66" s="123">
        <v>0</v>
      </c>
      <c r="FN66" s="12">
        <v>140000</v>
      </c>
      <c r="FO66" s="12">
        <v>159000</v>
      </c>
      <c r="FP66" s="13">
        <v>0.34655623365300786</v>
      </c>
      <c r="FQ66" s="13">
        <v>0.05</v>
      </c>
      <c r="FR66" s="16">
        <v>11841.584158415842</v>
      </c>
      <c r="FS66" s="13">
        <v>8.3612040133779264E-2</v>
      </c>
      <c r="GS66" s="26">
        <v>9</v>
      </c>
      <c r="GT66" s="16">
        <v>8576</v>
      </c>
      <c r="GU66">
        <v>33</v>
      </c>
      <c r="GV66" s="16">
        <v>4158000</v>
      </c>
      <c r="GW66" s="16">
        <v>3815272.2603686634</v>
      </c>
      <c r="GX66" s="35">
        <v>25387262.260368664</v>
      </c>
      <c r="GY66" s="313">
        <v>4752000</v>
      </c>
      <c r="GZ66" s="332">
        <v>15175500</v>
      </c>
      <c r="HA66" s="35">
        <v>5208000</v>
      </c>
      <c r="HB66" s="35">
        <v>5003762.2603686638</v>
      </c>
      <c r="HC66" s="13">
        <v>0.19709735571526732</v>
      </c>
      <c r="HD66" s="13">
        <v>0.11326324409282422</v>
      </c>
      <c r="HE66" s="16">
        <v>8828.4748134328365</v>
      </c>
      <c r="HF66" s="13">
        <v>8.7171291587970365E-2</v>
      </c>
      <c r="HG66" s="13"/>
      <c r="HH66" s="1">
        <f t="shared" si="28"/>
        <v>-594000</v>
      </c>
      <c r="HI66" s="27">
        <f t="shared" si="1"/>
        <v>-0.14285714285714285</v>
      </c>
      <c r="HJ66" s="1">
        <f t="shared" si="2"/>
        <v>3221272.2603686638</v>
      </c>
      <c r="HK66" s="27">
        <f t="shared" si="3"/>
        <v>0.40400881284088003</v>
      </c>
      <c r="JO66"/>
      <c r="JP66"/>
      <c r="JS66"/>
      <c r="JT66"/>
      <c r="JV66"/>
      <c r="JZ66"/>
      <c r="KA66"/>
      <c r="KN66" s="278" t="s">
        <v>161</v>
      </c>
      <c r="MI66">
        <v>0</v>
      </c>
      <c r="MJ66">
        <v>0</v>
      </c>
      <c r="MK66">
        <v>0</v>
      </c>
      <c r="ML66">
        <v>0</v>
      </c>
    </row>
    <row r="67" spans="2:350">
      <c r="B67" s="27">
        <f t="shared" si="25"/>
        <v>0.10447868466152528</v>
      </c>
      <c r="C67" s="27">
        <f t="shared" si="26"/>
        <v>0.12065124250214225</v>
      </c>
      <c r="D67" s="1">
        <f t="shared" si="27"/>
        <v>280199.00497512438</v>
      </c>
      <c r="E67" s="278">
        <v>62026</v>
      </c>
      <c r="F67" s="16">
        <v>53186</v>
      </c>
      <c r="G67">
        <v>201</v>
      </c>
      <c r="H67" s="16">
        <v>466800000</v>
      </c>
      <c r="I67" s="16">
        <v>121368000</v>
      </c>
      <c r="J67" s="16">
        <v>31875000</v>
      </c>
      <c r="K67" s="16">
        <v>0</v>
      </c>
      <c r="L67" s="123">
        <v>825000</v>
      </c>
      <c r="M67" s="16">
        <v>154068000</v>
      </c>
      <c r="N67" s="16">
        <v>48770650</v>
      </c>
      <c r="O67" s="16">
        <v>56320000</v>
      </c>
      <c r="P67" s="16">
        <v>0</v>
      </c>
      <c r="Q67" s="16">
        <v>0</v>
      </c>
      <c r="R67" s="16">
        <v>0</v>
      </c>
      <c r="S67">
        <v>0</v>
      </c>
      <c r="T67" s="12">
        <v>105090650</v>
      </c>
      <c r="U67" s="313">
        <v>49245000</v>
      </c>
      <c r="V67" s="16"/>
      <c r="W67" s="123">
        <v>3450000</v>
      </c>
      <c r="X67" s="123">
        <v>320349.76833333337</v>
      </c>
      <c r="Y67" s="12">
        <v>53015349.768333331</v>
      </c>
      <c r="Z67" s="12">
        <v>-4037999.7683333158</v>
      </c>
      <c r="AA67" s="13">
        <v>-2.6209204820814937E-2</v>
      </c>
      <c r="AB67" s="13">
        <v>0.10447868466152528</v>
      </c>
      <c r="AC67" s="16">
        <v>8776.7457601624483</v>
      </c>
      <c r="AD67" s="13">
        <v>0.12065124250214225</v>
      </c>
      <c r="AF67" s="1">
        <f t="shared" si="7"/>
        <v>264.60696517412936</v>
      </c>
      <c r="AG67" s="16"/>
      <c r="BC67" s="81"/>
      <c r="BD67" s="81"/>
      <c r="BE67" s="81"/>
      <c r="BF67" s="81"/>
      <c r="BG67" s="81"/>
      <c r="BJ67" s="26" t="s">
        <v>256</v>
      </c>
      <c r="BK67">
        <v>11</v>
      </c>
      <c r="BL67">
        <v>7</v>
      </c>
      <c r="BM67">
        <v>6</v>
      </c>
      <c r="BN67">
        <v>24</v>
      </c>
      <c r="BZ67" s="278" t="s">
        <v>199</v>
      </c>
      <c r="CC67">
        <v>0</v>
      </c>
      <c r="CD67">
        <v>0</v>
      </c>
      <c r="CE67">
        <v>0</v>
      </c>
      <c r="CF67">
        <v>0</v>
      </c>
      <c r="CL67" s="26" t="s">
        <v>196</v>
      </c>
      <c r="EM67">
        <v>0</v>
      </c>
      <c r="EN67">
        <v>0</v>
      </c>
      <c r="EO67">
        <v>0</v>
      </c>
      <c r="EP67">
        <v>0</v>
      </c>
      <c r="EY67" s="337" t="s">
        <v>163</v>
      </c>
      <c r="EZ67" s="16">
        <v>1226</v>
      </c>
      <c r="FA67" s="16">
        <v>13876000</v>
      </c>
      <c r="FB67" s="16">
        <v>4162800</v>
      </c>
      <c r="FC67" s="16">
        <v>1250000</v>
      </c>
      <c r="FD67" s="16">
        <v>0</v>
      </c>
      <c r="FE67" s="16">
        <v>5412800</v>
      </c>
      <c r="FF67" s="313">
        <v>1715000</v>
      </c>
      <c r="FG67" s="16">
        <v>1275110</v>
      </c>
      <c r="FH67" s="16">
        <v>1785000</v>
      </c>
      <c r="FI67" s="16">
        <v>0</v>
      </c>
      <c r="FJ67" s="16">
        <v>0</v>
      </c>
      <c r="FK67" s="12">
        <v>3060110</v>
      </c>
      <c r="FL67" s="123">
        <v>0</v>
      </c>
      <c r="FM67" s="123">
        <v>0</v>
      </c>
      <c r="FN67" s="12">
        <v>1715000</v>
      </c>
      <c r="FO67" s="12">
        <v>637690</v>
      </c>
      <c r="FP67" s="13">
        <v>0.11781148389003843</v>
      </c>
      <c r="FQ67" s="13">
        <v>9.1893196886710868E-2</v>
      </c>
      <c r="FR67" s="16">
        <v>11318.107667210441</v>
      </c>
      <c r="FS67" s="13">
        <v>0.12863937734217354</v>
      </c>
      <c r="GS67" s="26">
        <v>10</v>
      </c>
      <c r="GT67" s="16">
        <v>3550</v>
      </c>
      <c r="GU67">
        <v>29</v>
      </c>
      <c r="GV67" s="16">
        <v>3312000</v>
      </c>
      <c r="GW67" s="16">
        <v>2930647.3225806449</v>
      </c>
      <c r="GX67" s="35">
        <v>13465567.322580645</v>
      </c>
      <c r="GY67" s="313">
        <v>6440000</v>
      </c>
      <c r="GZ67" s="332">
        <v>7200000</v>
      </c>
      <c r="HA67" s="35">
        <v>6851871</v>
      </c>
      <c r="HB67" s="35">
        <v>-586303.67741935514</v>
      </c>
      <c r="HC67" s="13">
        <v>-4.3540956231095607E-2</v>
      </c>
      <c r="HD67" s="13">
        <v>0.1130429244682206</v>
      </c>
      <c r="HE67" s="16">
        <v>8846.1971830985913</v>
      </c>
      <c r="HF67" s="13">
        <v>0.11622723219971978</v>
      </c>
      <c r="HG67" s="13"/>
      <c r="HH67" s="1">
        <f t="shared" si="28"/>
        <v>-3128000</v>
      </c>
      <c r="HI67" s="27">
        <f t="shared" si="1"/>
        <v>-0.94444444444444442</v>
      </c>
      <c r="HJ67" s="1">
        <f t="shared" si="2"/>
        <v>-197352.67741935514</v>
      </c>
      <c r="HK67" s="27">
        <f t="shared" si="3"/>
        <v>-3.1613619546550266E-2</v>
      </c>
      <c r="JO67"/>
      <c r="JP67"/>
      <c r="JS67"/>
      <c r="JT67"/>
      <c r="JV67"/>
      <c r="JZ67"/>
      <c r="KA67"/>
      <c r="KN67" s="278" t="s">
        <v>156</v>
      </c>
      <c r="MI67">
        <v>0</v>
      </c>
      <c r="MJ67">
        <v>0</v>
      </c>
      <c r="MK67">
        <v>0</v>
      </c>
      <c r="ML67">
        <v>0</v>
      </c>
    </row>
    <row r="68" spans="2:350">
      <c r="B68" s="27">
        <f t="shared" si="25"/>
        <v>0.10533004911470427</v>
      </c>
      <c r="C68" s="27">
        <f t="shared" si="26"/>
        <v>0.100383748424042</v>
      </c>
      <c r="D68" s="1">
        <f t="shared" si="27"/>
        <v>240076.14213197969</v>
      </c>
      <c r="E68" s="278">
        <v>72026</v>
      </c>
      <c r="F68" s="16">
        <v>53593</v>
      </c>
      <c r="G68">
        <v>197</v>
      </c>
      <c r="H68" s="16">
        <v>471142000</v>
      </c>
      <c r="I68" s="16">
        <v>122496920</v>
      </c>
      <c r="J68" s="16">
        <v>31725000</v>
      </c>
      <c r="K68" s="16">
        <v>0</v>
      </c>
      <c r="L68" s="123">
        <v>725000</v>
      </c>
      <c r="M68" s="16">
        <v>154946920</v>
      </c>
      <c r="N68" s="16">
        <v>49625410</v>
      </c>
      <c r="O68" s="16">
        <v>47295000</v>
      </c>
      <c r="P68" s="16">
        <v>0</v>
      </c>
      <c r="Q68" s="16">
        <v>0</v>
      </c>
      <c r="R68" s="16">
        <v>0</v>
      </c>
      <c r="S68">
        <v>0</v>
      </c>
      <c r="T68" s="12">
        <v>96920410</v>
      </c>
      <c r="U68" s="313">
        <v>48265000</v>
      </c>
      <c r="V68" s="16">
        <v>0</v>
      </c>
      <c r="W68" s="123">
        <v>3150000</v>
      </c>
      <c r="X68" s="123">
        <v>320349.76833333337</v>
      </c>
      <c r="Y68" s="12">
        <v>51735349.768333331</v>
      </c>
      <c r="Z68" s="12">
        <v>6291160.2316666842</v>
      </c>
      <c r="AA68" s="13">
        <v>4.0602034759172262E-2</v>
      </c>
      <c r="AB68" s="13">
        <v>0.10533004911470427</v>
      </c>
      <c r="AC68" s="16">
        <v>8791.1107793928313</v>
      </c>
      <c r="AD68" s="13">
        <v>0.100383748424042</v>
      </c>
      <c r="AF68" s="1">
        <f t="shared" si="7"/>
        <v>272.04568527918781</v>
      </c>
      <c r="AG68" s="16"/>
      <c r="BC68" s="16"/>
      <c r="BD68" s="16"/>
      <c r="BE68" s="16"/>
      <c r="BF68" s="16"/>
      <c r="BG68" s="16"/>
      <c r="BJ68" s="278">
        <v>62026</v>
      </c>
      <c r="BK68">
        <v>11</v>
      </c>
      <c r="BN68">
        <v>11</v>
      </c>
      <c r="BZ68" s="278" t="s">
        <v>196</v>
      </c>
      <c r="CC68">
        <v>0</v>
      </c>
      <c r="CD68">
        <v>0</v>
      </c>
      <c r="CE68">
        <v>0</v>
      </c>
      <c r="CF68">
        <v>0</v>
      </c>
      <c r="CL68" s="26" t="s">
        <v>29</v>
      </c>
      <c r="CU68">
        <v>7</v>
      </c>
      <c r="CV68">
        <v>7</v>
      </c>
      <c r="CW68">
        <v>3</v>
      </c>
      <c r="CX68">
        <v>1</v>
      </c>
      <c r="CY68">
        <v>2</v>
      </c>
      <c r="EM68">
        <v>0</v>
      </c>
      <c r="EN68">
        <v>0</v>
      </c>
      <c r="EO68">
        <v>0</v>
      </c>
      <c r="EP68">
        <v>7</v>
      </c>
      <c r="EY68" s="337" t="s">
        <v>164</v>
      </c>
      <c r="EZ68" s="16">
        <v>1362</v>
      </c>
      <c r="FA68" s="16">
        <v>15750000</v>
      </c>
      <c r="FB68" s="16">
        <v>4725000</v>
      </c>
      <c r="FC68" s="16">
        <v>1450000</v>
      </c>
      <c r="FD68" s="16">
        <v>0</v>
      </c>
      <c r="FE68" s="16">
        <v>6175000</v>
      </c>
      <c r="FF68" s="313">
        <v>1960000</v>
      </c>
      <c r="FG68" s="16">
        <v>1367000</v>
      </c>
      <c r="FH68" s="16">
        <v>1932500</v>
      </c>
      <c r="FI68" s="16">
        <v>0</v>
      </c>
      <c r="FJ68" s="16">
        <v>0</v>
      </c>
      <c r="FK68" s="12">
        <v>3299500</v>
      </c>
      <c r="FL68" s="123">
        <v>0</v>
      </c>
      <c r="FM68" s="123">
        <v>0</v>
      </c>
      <c r="FN68" s="12">
        <v>1960000</v>
      </c>
      <c r="FO68" s="12">
        <v>915500</v>
      </c>
      <c r="FP68" s="13">
        <v>0.14825910931174088</v>
      </c>
      <c r="FQ68" s="13">
        <v>8.6793650793650798E-2</v>
      </c>
      <c r="FR68" s="16">
        <v>11563.876651982378</v>
      </c>
      <c r="FS68" s="13">
        <v>0.1226984126984127</v>
      </c>
      <c r="GS68" s="26">
        <v>11</v>
      </c>
      <c r="GT68" s="16">
        <v>3569</v>
      </c>
      <c r="GU68">
        <v>21</v>
      </c>
      <c r="GV68" s="16">
        <v>2250000</v>
      </c>
      <c r="GW68" s="16">
        <v>2930647.3225806449</v>
      </c>
      <c r="GX68" s="35">
        <v>12493727.322580645</v>
      </c>
      <c r="GY68" s="313">
        <v>4375000</v>
      </c>
      <c r="GZ68" s="332">
        <v>6769000</v>
      </c>
      <c r="HA68" s="35">
        <v>4786871</v>
      </c>
      <c r="HB68" s="35">
        <v>937856.32258064486</v>
      </c>
      <c r="HC68" s="13">
        <v>7.5066175078561406E-2</v>
      </c>
      <c r="HD68" s="13">
        <v>0.1122468234998113</v>
      </c>
      <c r="HE68" s="16">
        <v>8908.9380778929681</v>
      </c>
      <c r="HF68" s="13">
        <v>0.10064159013712416</v>
      </c>
      <c r="HG68" s="13"/>
      <c r="HH68" s="1">
        <f t="shared" si="28"/>
        <v>-2125000</v>
      </c>
      <c r="HI68" s="27">
        <f t="shared" si="1"/>
        <v>-0.94444444444444442</v>
      </c>
      <c r="HJ68" s="1">
        <f t="shared" si="2"/>
        <v>805647.32258064486</v>
      </c>
      <c r="HK68" s="27">
        <f t="shared" si="3"/>
        <v>0.15551093761374329</v>
      </c>
      <c r="JO68"/>
      <c r="JP68"/>
      <c r="JS68"/>
      <c r="JT68"/>
      <c r="JV68"/>
      <c r="JZ68"/>
      <c r="KA68"/>
      <c r="KN68" s="278" t="s">
        <v>162</v>
      </c>
      <c r="MI68">
        <v>0</v>
      </c>
      <c r="MJ68">
        <v>0</v>
      </c>
      <c r="MK68">
        <v>0</v>
      </c>
      <c r="ML68">
        <v>0</v>
      </c>
    </row>
    <row r="69" spans="2:350">
      <c r="B69" s="27">
        <f t="shared" si="25"/>
        <v>7.740156965336821E-2</v>
      </c>
      <c r="C69" s="27">
        <f t="shared" si="26"/>
        <v>0.11751144538914324</v>
      </c>
      <c r="D69" s="1">
        <f t="shared" si="27"/>
        <v>186191.70984455958</v>
      </c>
      <c r="E69" s="278">
        <v>82026</v>
      </c>
      <c r="F69" s="16">
        <v>34756</v>
      </c>
      <c r="G69">
        <v>193</v>
      </c>
      <c r="H69" s="16">
        <v>305800000</v>
      </c>
      <c r="I69" s="16">
        <v>79508000</v>
      </c>
      <c r="J69" s="16">
        <v>32000000</v>
      </c>
      <c r="K69" s="16">
        <v>0</v>
      </c>
      <c r="L69" s="123">
        <v>775000</v>
      </c>
      <c r="M69" s="16">
        <v>112283000</v>
      </c>
      <c r="N69" s="16">
        <v>23669400</v>
      </c>
      <c r="O69" s="16">
        <v>35935000</v>
      </c>
      <c r="P69" s="16">
        <v>0</v>
      </c>
      <c r="Q69" s="16">
        <v>0</v>
      </c>
      <c r="R69" s="16">
        <v>0</v>
      </c>
      <c r="S69">
        <v>0</v>
      </c>
      <c r="T69" s="12">
        <v>59604400</v>
      </c>
      <c r="U69" s="313">
        <v>47285000</v>
      </c>
      <c r="V69" s="16">
        <v>0</v>
      </c>
      <c r="W69" s="123">
        <v>3450000</v>
      </c>
      <c r="X69" s="123">
        <v>320349.76833333337</v>
      </c>
      <c r="Y69" s="12">
        <v>51055349.768333331</v>
      </c>
      <c r="Z69" s="12">
        <v>1623250.2316666692</v>
      </c>
      <c r="AA69" s="13">
        <v>1.4456776463638034E-2</v>
      </c>
      <c r="AB69" s="13">
        <v>7.740156965336821E-2</v>
      </c>
      <c r="AC69" s="16">
        <v>8798.4808378409489</v>
      </c>
      <c r="AD69" s="13">
        <v>0.11751144538914324</v>
      </c>
      <c r="AF69" s="1">
        <f t="shared" si="7"/>
        <v>180.08290155440415</v>
      </c>
      <c r="AG69" s="16"/>
      <c r="BC69" s="16"/>
      <c r="BD69" s="16"/>
      <c r="BE69" s="16"/>
      <c r="BF69" s="16"/>
      <c r="BG69" s="16"/>
      <c r="BJ69" s="278">
        <v>102026</v>
      </c>
      <c r="BL69">
        <v>7</v>
      </c>
      <c r="BN69">
        <v>7</v>
      </c>
      <c r="BZ69" s="278" t="s">
        <v>29</v>
      </c>
      <c r="CC69">
        <v>0</v>
      </c>
      <c r="CD69">
        <v>0</v>
      </c>
      <c r="CE69">
        <v>0</v>
      </c>
      <c r="CF69">
        <v>0</v>
      </c>
      <c r="CL69" s="26" t="s">
        <v>23</v>
      </c>
      <c r="CU69">
        <v>239</v>
      </c>
      <c r="CV69">
        <v>293</v>
      </c>
      <c r="CW69">
        <v>279</v>
      </c>
      <c r="CX69">
        <v>278</v>
      </c>
      <c r="CY69">
        <v>262</v>
      </c>
      <c r="CZ69">
        <v>253</v>
      </c>
      <c r="EM69">
        <v>0</v>
      </c>
      <c r="EN69">
        <v>0</v>
      </c>
      <c r="EO69">
        <v>0</v>
      </c>
      <c r="EP69">
        <v>293</v>
      </c>
      <c r="EY69" s="337" t="s">
        <v>165</v>
      </c>
      <c r="EZ69" s="16">
        <v>1684</v>
      </c>
      <c r="FA69" s="16">
        <v>17896000</v>
      </c>
      <c r="FB69" s="16">
        <v>5368800</v>
      </c>
      <c r="FC69" s="16">
        <v>2650000</v>
      </c>
      <c r="FD69" s="16">
        <v>0</v>
      </c>
      <c r="FE69" s="16">
        <v>8043800</v>
      </c>
      <c r="FF69" s="313">
        <v>3280000</v>
      </c>
      <c r="FG69" s="16">
        <v>1044640</v>
      </c>
      <c r="FH69" s="16">
        <v>2625000</v>
      </c>
      <c r="FI69" s="16">
        <v>0</v>
      </c>
      <c r="FJ69" s="16">
        <v>0</v>
      </c>
      <c r="FK69" s="12">
        <v>3669640</v>
      </c>
      <c r="FL69" s="123">
        <v>850000</v>
      </c>
      <c r="FM69" s="123">
        <v>0</v>
      </c>
      <c r="FN69" s="12">
        <v>4130000</v>
      </c>
      <c r="FO69" s="12">
        <v>244160</v>
      </c>
      <c r="FP69" s="13">
        <v>3.0353812874512047E-2</v>
      </c>
      <c r="FQ69" s="13">
        <v>5.8372820742065269E-2</v>
      </c>
      <c r="FR69" s="16">
        <v>10627.0783847981</v>
      </c>
      <c r="FS69" s="13">
        <v>0.14668082253017434</v>
      </c>
      <c r="GS69" s="26">
        <v>12</v>
      </c>
      <c r="GT69" s="16">
        <v>5156</v>
      </c>
      <c r="GU69">
        <v>20</v>
      </c>
      <c r="GV69" s="16">
        <v>2376000</v>
      </c>
      <c r="GW69" s="16">
        <v>2930647.3225806449</v>
      </c>
      <c r="GX69" s="35">
        <v>15958867.322580645</v>
      </c>
      <c r="GY69" s="313">
        <v>4620000</v>
      </c>
      <c r="GZ69" s="332">
        <v>9306000</v>
      </c>
      <c r="HA69" s="35">
        <v>5031871</v>
      </c>
      <c r="HB69" s="35">
        <v>1620996.3225806449</v>
      </c>
      <c r="HC69" s="13">
        <v>0.10157339426508372</v>
      </c>
      <c r="HD69" s="13">
        <v>0.11132702854428467</v>
      </c>
      <c r="HE69" s="16">
        <v>8982.5446082234284</v>
      </c>
      <c r="HF69" s="13">
        <v>8.9605734767025089E-2</v>
      </c>
      <c r="HG69" s="13"/>
      <c r="HH69" s="1">
        <f t="shared" si="28"/>
        <v>-2244000</v>
      </c>
      <c r="HI69" s="27">
        <f t="shared" si="1"/>
        <v>-0.94444444444444442</v>
      </c>
      <c r="HJ69" s="1">
        <f t="shared" si="2"/>
        <v>686647.32258064486</v>
      </c>
      <c r="HK69" s="27">
        <f t="shared" si="3"/>
        <v>0.12939381135408209</v>
      </c>
      <c r="JO69"/>
      <c r="JP69"/>
      <c r="JS69"/>
      <c r="JT69"/>
      <c r="JV69"/>
      <c r="JZ69"/>
      <c r="KA69"/>
      <c r="KN69" s="278" t="s">
        <v>163</v>
      </c>
      <c r="LV69" s="379"/>
      <c r="MI69">
        <v>0</v>
      </c>
      <c r="MJ69">
        <v>0</v>
      </c>
      <c r="MK69">
        <v>0</v>
      </c>
      <c r="ML69">
        <v>0</v>
      </c>
    </row>
    <row r="70" spans="2:350">
      <c r="B70" s="27">
        <f t="shared" ref="B70:B103" si="29">N70/H70</f>
        <v>6.6584370139968901E-2</v>
      </c>
      <c r="C70" s="27">
        <f t="shared" ref="C70:C103" si="30">O70/H70</f>
        <v>0.12895282529808189</v>
      </c>
      <c r="D70" s="1">
        <f t="shared" ref="D70:D103" si="31">O70/G70</f>
        <v>160483.87096774191</v>
      </c>
      <c r="E70" s="278">
        <v>92026</v>
      </c>
      <c r="F70" s="16">
        <v>26209</v>
      </c>
      <c r="G70">
        <v>186</v>
      </c>
      <c r="H70" s="16">
        <v>231480000</v>
      </c>
      <c r="I70" s="16">
        <v>60184800</v>
      </c>
      <c r="J70" s="16">
        <v>27025000</v>
      </c>
      <c r="K70" s="16">
        <v>0</v>
      </c>
      <c r="L70" s="123">
        <v>350000</v>
      </c>
      <c r="M70" s="16">
        <v>87559800</v>
      </c>
      <c r="N70" s="16">
        <v>15412950</v>
      </c>
      <c r="O70" s="16">
        <v>29849999.999999996</v>
      </c>
      <c r="P70" s="16">
        <v>0</v>
      </c>
      <c r="Q70" s="16">
        <v>757142.85714285704</v>
      </c>
      <c r="R70" s="16">
        <v>600000</v>
      </c>
      <c r="S70">
        <v>0</v>
      </c>
      <c r="T70" s="12">
        <v>46620092.857142851</v>
      </c>
      <c r="U70" s="313">
        <v>45570000</v>
      </c>
      <c r="V70" s="16">
        <v>0</v>
      </c>
      <c r="W70" s="123">
        <v>3750000</v>
      </c>
      <c r="X70" s="123">
        <v>315920.96969278035</v>
      </c>
      <c r="Y70" s="12">
        <v>49635920.969692782</v>
      </c>
      <c r="Z70" s="12">
        <v>-8696213.8268356379</v>
      </c>
      <c r="AA70" s="13">
        <v>-9.9317424512568989E-2</v>
      </c>
      <c r="AB70" s="13">
        <v>6.6584370139968901E-2</v>
      </c>
      <c r="AC70" s="16">
        <v>8832.080583005838</v>
      </c>
      <c r="AD70" s="13">
        <v>0.12895282529808189</v>
      </c>
      <c r="AF70" s="1">
        <f t="shared" ref="AF70:AF133" si="32">F70/G70</f>
        <v>140.90860215053763</v>
      </c>
      <c r="AG70" s="16"/>
      <c r="BC70" s="16"/>
      <c r="BD70" s="16"/>
      <c r="BE70" s="16"/>
      <c r="BF70" s="16"/>
      <c r="BG70" s="16"/>
      <c r="BJ70" s="278">
        <v>152026</v>
      </c>
      <c r="BM70">
        <v>6</v>
      </c>
      <c r="BN70">
        <v>6</v>
      </c>
      <c r="BZ70" s="278" t="s">
        <v>23</v>
      </c>
      <c r="CC70">
        <v>0</v>
      </c>
      <c r="CD70">
        <v>0</v>
      </c>
      <c r="CE70">
        <v>0</v>
      </c>
      <c r="CF70">
        <v>0</v>
      </c>
      <c r="CL70" s="26" t="s">
        <v>172</v>
      </c>
      <c r="CU70">
        <v>25</v>
      </c>
      <c r="CV70">
        <v>29</v>
      </c>
      <c r="CW70">
        <v>21</v>
      </c>
      <c r="CX70">
        <v>20</v>
      </c>
      <c r="CY70">
        <v>20</v>
      </c>
      <c r="CZ70">
        <v>19</v>
      </c>
      <c r="EM70">
        <v>0</v>
      </c>
      <c r="EN70">
        <v>0</v>
      </c>
      <c r="EO70">
        <v>0</v>
      </c>
      <c r="EP70">
        <v>29</v>
      </c>
      <c r="EY70" s="338" t="s">
        <v>36</v>
      </c>
      <c r="EZ70" s="81">
        <v>557</v>
      </c>
      <c r="FA70" s="81">
        <v>6040000</v>
      </c>
      <c r="FB70" s="81">
        <v>1812000</v>
      </c>
      <c r="FC70" s="81">
        <v>1225000</v>
      </c>
      <c r="FD70" s="81">
        <v>0</v>
      </c>
      <c r="FE70" s="81">
        <v>3037000</v>
      </c>
      <c r="FF70" s="322">
        <v>1505000</v>
      </c>
      <c r="FG70" s="81">
        <v>330150</v>
      </c>
      <c r="FH70" s="81">
        <v>1110000</v>
      </c>
      <c r="FI70" s="81">
        <v>0</v>
      </c>
      <c r="FJ70" s="81">
        <v>0</v>
      </c>
      <c r="FK70" s="246">
        <v>1440150</v>
      </c>
      <c r="FL70" s="310">
        <v>1150000</v>
      </c>
      <c r="FM70" s="310">
        <v>0</v>
      </c>
      <c r="FN70" s="246">
        <v>2655000</v>
      </c>
      <c r="FO70" s="246">
        <v>-1058150</v>
      </c>
      <c r="FP70" s="244">
        <v>-0.34841949292064539</v>
      </c>
      <c r="FQ70" s="244">
        <v>5.4660596026490066E-2</v>
      </c>
      <c r="FR70" s="81">
        <v>10843.806104129264</v>
      </c>
      <c r="FS70" s="244">
        <v>0.18377483443708609</v>
      </c>
      <c r="GS70" s="26">
        <v>13</v>
      </c>
      <c r="GT70" s="16">
        <v>2303</v>
      </c>
      <c r="GU70">
        <v>20</v>
      </c>
      <c r="GV70" s="16">
        <v>1080000</v>
      </c>
      <c r="GW70" s="16">
        <v>1255991.7096774194</v>
      </c>
      <c r="GX70" s="35">
        <v>7148971.7096774196</v>
      </c>
      <c r="GY70" s="313">
        <v>2100000</v>
      </c>
      <c r="GZ70" s="332">
        <v>6978000</v>
      </c>
      <c r="HA70" s="35">
        <v>2276516.1428571427</v>
      </c>
      <c r="HB70" s="35">
        <v>-2105544.4331797222</v>
      </c>
      <c r="HC70" s="13">
        <v>-0.29452409642767069</v>
      </c>
      <c r="HD70" s="13">
        <v>0.11005447768326483</v>
      </c>
      <c r="HE70" s="16">
        <v>9086.4090316977854</v>
      </c>
      <c r="HF70" s="13">
        <v>8.0043964446143548E-2</v>
      </c>
      <c r="HG70" s="13"/>
      <c r="HH70" s="1">
        <f t="shared" si="28"/>
        <v>-1020000</v>
      </c>
      <c r="HI70" s="27">
        <f t="shared" si="1"/>
        <v>-0.94444444444444442</v>
      </c>
      <c r="HJ70" s="1">
        <f t="shared" si="2"/>
        <v>235991.70967741963</v>
      </c>
      <c r="HK70" s="27">
        <f t="shared" si="3"/>
        <v>0.10102420684960738</v>
      </c>
      <c r="JO70"/>
      <c r="JP70"/>
      <c r="JS70"/>
      <c r="JT70"/>
      <c r="JV70"/>
      <c r="JZ70"/>
      <c r="KA70"/>
      <c r="KN70" s="278" t="s">
        <v>164</v>
      </c>
      <c r="MI70">
        <v>0</v>
      </c>
      <c r="MJ70">
        <v>0</v>
      </c>
      <c r="MK70">
        <v>0</v>
      </c>
      <c r="ML70">
        <v>0</v>
      </c>
    </row>
    <row r="71" spans="2:350">
      <c r="B71" s="27">
        <f t="shared" si="29"/>
        <v>6.7478459652289408E-2</v>
      </c>
      <c r="C71" s="27">
        <f t="shared" si="30"/>
        <v>0.13217940640591211</v>
      </c>
      <c r="D71" s="1">
        <f t="shared" si="31"/>
        <v>165159.57446808511</v>
      </c>
      <c r="E71" s="278">
        <v>102026</v>
      </c>
      <c r="F71" s="16">
        <v>26578</v>
      </c>
      <c r="G71">
        <v>188</v>
      </c>
      <c r="H71" s="16">
        <v>234908000</v>
      </c>
      <c r="I71" s="16">
        <v>61076080</v>
      </c>
      <c r="J71" s="16">
        <v>26950000</v>
      </c>
      <c r="K71" s="16">
        <v>0</v>
      </c>
      <c r="L71" s="123">
        <v>900000</v>
      </c>
      <c r="M71" s="16">
        <v>88926080</v>
      </c>
      <c r="N71" s="16">
        <v>15851230</v>
      </c>
      <c r="O71" s="16">
        <v>31050000</v>
      </c>
      <c r="P71" s="16">
        <v>0</v>
      </c>
      <c r="Q71" s="16">
        <v>0</v>
      </c>
      <c r="R71" s="16">
        <v>0</v>
      </c>
      <c r="S71">
        <v>0</v>
      </c>
      <c r="T71" s="12">
        <v>46901230</v>
      </c>
      <c r="U71" s="313">
        <v>46060000</v>
      </c>
      <c r="V71" s="16">
        <v>0</v>
      </c>
      <c r="W71" s="123">
        <v>3450000</v>
      </c>
      <c r="X71" s="123">
        <v>289348.17784946243</v>
      </c>
      <c r="Y71" s="12">
        <v>49799348.177849464</v>
      </c>
      <c r="Z71" s="12">
        <v>-7774498.1778494716</v>
      </c>
      <c r="AA71" s="13">
        <v>-8.7426525242645034E-2</v>
      </c>
      <c r="AB71" s="13">
        <v>6.7478459652289408E-2</v>
      </c>
      <c r="AC71" s="16">
        <v>8838.4378057039648</v>
      </c>
      <c r="AD71" s="13">
        <v>0.13217940640591211</v>
      </c>
      <c r="AF71" s="1">
        <f t="shared" si="32"/>
        <v>141.37234042553192</v>
      </c>
      <c r="AG71" s="16"/>
      <c r="BC71" s="16"/>
      <c r="BD71" s="16"/>
      <c r="BE71" s="16"/>
      <c r="BF71" s="16"/>
      <c r="BG71" s="16"/>
      <c r="BJ71" s="26" t="s">
        <v>278</v>
      </c>
      <c r="BK71">
        <v>12</v>
      </c>
      <c r="BL71">
        <v>6</v>
      </c>
      <c r="BN71">
        <v>18</v>
      </c>
      <c r="BZ71" s="278" t="s">
        <v>172</v>
      </c>
      <c r="CC71">
        <v>0</v>
      </c>
      <c r="CD71">
        <v>0</v>
      </c>
      <c r="CE71">
        <v>0</v>
      </c>
      <c r="CF71">
        <v>0</v>
      </c>
      <c r="CL71" s="26" t="s">
        <v>205</v>
      </c>
      <c r="EM71">
        <v>0</v>
      </c>
      <c r="EN71">
        <v>0</v>
      </c>
      <c r="EO71">
        <v>0</v>
      </c>
      <c r="EP71">
        <v>0</v>
      </c>
      <c r="EY71" s="337" t="s">
        <v>166</v>
      </c>
      <c r="EZ71" s="16">
        <v>388</v>
      </c>
      <c r="FA71" s="16">
        <v>4125000</v>
      </c>
      <c r="FB71" s="16">
        <v>1237500</v>
      </c>
      <c r="FC71" s="16">
        <v>725000</v>
      </c>
      <c r="FD71" s="16">
        <v>0</v>
      </c>
      <c r="FE71" s="16">
        <v>1962500</v>
      </c>
      <c r="FF71" s="313">
        <v>1015000</v>
      </c>
      <c r="FG71" s="16">
        <v>239870</v>
      </c>
      <c r="FH71" s="16">
        <v>760000</v>
      </c>
      <c r="FI71" s="16">
        <v>0</v>
      </c>
      <c r="FJ71" s="16">
        <v>0</v>
      </c>
      <c r="FK71" s="12">
        <v>999870</v>
      </c>
      <c r="FL71" s="123">
        <v>933333.33333333337</v>
      </c>
      <c r="FM71" s="123">
        <v>0</v>
      </c>
      <c r="FN71" s="12">
        <v>1948333.3333333335</v>
      </c>
      <c r="FO71" s="12">
        <v>-985703.33333333349</v>
      </c>
      <c r="FP71" s="13">
        <v>-0.50226921443736738</v>
      </c>
      <c r="FQ71" s="13">
        <v>5.8150303030303031E-2</v>
      </c>
      <c r="FR71" s="16">
        <v>10631.443298969072</v>
      </c>
      <c r="FS71" s="13">
        <v>0.18424242424242424</v>
      </c>
      <c r="GS71" s="26">
        <v>14</v>
      </c>
      <c r="GT71" s="16">
        <v>4780</v>
      </c>
      <c r="GU71">
        <v>19</v>
      </c>
      <c r="GV71" s="16">
        <v>3941999.9999999995</v>
      </c>
      <c r="GW71" s="16">
        <v>4372886.5860215053</v>
      </c>
      <c r="GX71" s="35">
        <v>26133446.586021505</v>
      </c>
      <c r="GY71" s="313">
        <v>7105000</v>
      </c>
      <c r="GZ71" s="332">
        <v>14175000</v>
      </c>
      <c r="HA71" s="35">
        <v>7516871</v>
      </c>
      <c r="HB71" s="35">
        <v>4441575.5860215053</v>
      </c>
      <c r="HC71" s="13">
        <v>0.16995751292893971</v>
      </c>
      <c r="HD71" s="13">
        <v>0.11100784799669558</v>
      </c>
      <c r="HE71" s="16">
        <v>16207.531380753138</v>
      </c>
      <c r="HF71" s="13">
        <v>7.1961482858323003E-2</v>
      </c>
      <c r="HG71" s="13"/>
      <c r="HH71" s="1">
        <f t="shared" si="28"/>
        <v>-3163000.0000000005</v>
      </c>
      <c r="HI71" s="27">
        <f t="shared" si="1"/>
        <v>-0.8023845763571793</v>
      </c>
      <c r="HJ71" s="1">
        <f t="shared" si="2"/>
        <v>1209886.5860215053</v>
      </c>
      <c r="HK71" s="27">
        <f t="shared" si="3"/>
        <v>0.14550848932269203</v>
      </c>
      <c r="JO71"/>
      <c r="JP71"/>
      <c r="JS71"/>
      <c r="JT71"/>
      <c r="JV71"/>
      <c r="JZ71"/>
      <c r="KA71"/>
      <c r="KN71" s="278" t="s">
        <v>165</v>
      </c>
      <c r="MI71">
        <v>0</v>
      </c>
      <c r="MJ71">
        <v>0</v>
      </c>
      <c r="MK71">
        <v>0</v>
      </c>
      <c r="ML71">
        <v>0</v>
      </c>
    </row>
    <row r="72" spans="2:350">
      <c r="B72" s="27">
        <f t="shared" si="29"/>
        <v>9.04813303622512E-2</v>
      </c>
      <c r="C72" s="27">
        <f t="shared" si="30"/>
        <v>0.11466771056039025</v>
      </c>
      <c r="D72" s="1">
        <f t="shared" si="31"/>
        <v>201481.48148148149</v>
      </c>
      <c r="E72" s="278">
        <v>112026</v>
      </c>
      <c r="F72" s="16">
        <v>37478</v>
      </c>
      <c r="G72">
        <v>189</v>
      </c>
      <c r="H72" s="16">
        <v>332090000</v>
      </c>
      <c r="I72" s="16">
        <v>86343400</v>
      </c>
      <c r="J72" s="16">
        <v>27925000</v>
      </c>
      <c r="K72" s="16">
        <v>0</v>
      </c>
      <c r="L72" s="123">
        <v>1075000</v>
      </c>
      <c r="M72" s="16">
        <v>115343400</v>
      </c>
      <c r="N72" s="16">
        <v>30047945</v>
      </c>
      <c r="O72" s="16">
        <v>38080000</v>
      </c>
      <c r="P72" s="16">
        <v>0</v>
      </c>
      <c r="Q72" s="16">
        <v>0</v>
      </c>
      <c r="R72" s="16">
        <v>0</v>
      </c>
      <c r="S72">
        <v>0</v>
      </c>
      <c r="T72" s="12">
        <v>68127945</v>
      </c>
      <c r="U72" s="313">
        <v>46305000</v>
      </c>
      <c r="V72" s="16">
        <v>0</v>
      </c>
      <c r="W72" s="123">
        <v>4350000</v>
      </c>
      <c r="X72" s="123">
        <v>289348.17784946243</v>
      </c>
      <c r="Y72" s="12">
        <v>50944348.177849464</v>
      </c>
      <c r="Z72" s="12">
        <v>-3728893.1778494716</v>
      </c>
      <c r="AA72" s="13">
        <v>-3.2328621991804224E-2</v>
      </c>
      <c r="AB72" s="13">
        <v>9.04813303622512E-2</v>
      </c>
      <c r="AC72" s="16">
        <v>8860.9317466246866</v>
      </c>
      <c r="AD72" s="13">
        <v>0.11466771056039025</v>
      </c>
      <c r="AF72" s="1">
        <f t="shared" si="32"/>
        <v>198.2962962962963</v>
      </c>
      <c r="AG72" s="16"/>
      <c r="BC72" s="16"/>
      <c r="BD72" s="16"/>
      <c r="BE72" s="16"/>
      <c r="BF72" s="16"/>
      <c r="BG72" s="16"/>
      <c r="BJ72" s="278">
        <v>72026</v>
      </c>
      <c r="BK72">
        <v>12</v>
      </c>
      <c r="BN72">
        <v>12</v>
      </c>
      <c r="BZ72" s="278" t="s">
        <v>205</v>
      </c>
      <c r="CC72">
        <v>0</v>
      </c>
      <c r="CD72">
        <v>0</v>
      </c>
      <c r="CE72">
        <v>0</v>
      </c>
      <c r="CF72">
        <v>0</v>
      </c>
      <c r="CL72" s="26" t="s">
        <v>173</v>
      </c>
      <c r="CU72">
        <v>7</v>
      </c>
      <c r="CV72">
        <v>12</v>
      </c>
      <c r="CW72">
        <v>12</v>
      </c>
      <c r="CX72">
        <v>16</v>
      </c>
      <c r="CY72">
        <v>16</v>
      </c>
      <c r="CZ72">
        <v>3</v>
      </c>
      <c r="EM72">
        <v>0</v>
      </c>
      <c r="EN72">
        <v>0</v>
      </c>
      <c r="EO72">
        <v>0</v>
      </c>
      <c r="EP72">
        <v>16</v>
      </c>
      <c r="EY72" s="11" t="s">
        <v>202</v>
      </c>
      <c r="EZ72" s="16">
        <v>1417</v>
      </c>
      <c r="FA72" s="16">
        <v>13577000</v>
      </c>
      <c r="FB72" s="16">
        <v>1357700</v>
      </c>
      <c r="FC72" s="16">
        <v>0</v>
      </c>
      <c r="FD72" s="16">
        <v>0</v>
      </c>
      <c r="FE72" s="16">
        <v>1357700</v>
      </c>
      <c r="FF72" s="313">
        <v>0</v>
      </c>
      <c r="FG72" s="16">
        <v>0</v>
      </c>
      <c r="FH72" s="16">
        <v>0</v>
      </c>
      <c r="FI72" s="16">
        <v>0</v>
      </c>
      <c r="FJ72" s="16">
        <v>0</v>
      </c>
      <c r="FK72" s="35">
        <v>0</v>
      </c>
      <c r="FL72" s="123">
        <v>3383333.3333333335</v>
      </c>
      <c r="FM72" s="123">
        <v>0</v>
      </c>
      <c r="FN72" s="35">
        <v>3383333.3333333335</v>
      </c>
      <c r="FO72" s="35">
        <v>-2025633.3333333335</v>
      </c>
      <c r="FP72" s="13">
        <v>-1.4919594412118535</v>
      </c>
      <c r="FQ72" s="13">
        <v>0</v>
      </c>
      <c r="FR72" s="16">
        <v>9581.5102328863795</v>
      </c>
      <c r="FS72" s="13">
        <v>0</v>
      </c>
      <c r="GS72" s="26">
        <v>15</v>
      </c>
      <c r="GT72" s="16">
        <v>5793</v>
      </c>
      <c r="GU72">
        <v>21</v>
      </c>
      <c r="GV72" s="16">
        <v>2178000</v>
      </c>
      <c r="GW72" s="16">
        <v>2605264.4333333336</v>
      </c>
      <c r="GX72" s="35">
        <v>16539024.433333334</v>
      </c>
      <c r="GY72" s="313">
        <v>4235000</v>
      </c>
      <c r="GZ72" s="332">
        <v>10118000</v>
      </c>
      <c r="HA72" s="35">
        <v>4646871</v>
      </c>
      <c r="HB72" s="35">
        <v>1774153.4333333336</v>
      </c>
      <c r="HC72" s="13">
        <v>0.10727074262963432</v>
      </c>
      <c r="HD72" s="13">
        <v>0.11333933322898732</v>
      </c>
      <c r="HE72" s="16">
        <v>8823.0623165889865</v>
      </c>
      <c r="HF72" s="13">
        <v>8.4618093598372204E-2</v>
      </c>
      <c r="HG72" s="13"/>
      <c r="HH72" s="1">
        <f t="shared" si="28"/>
        <v>-2057000</v>
      </c>
      <c r="HI72" s="27">
        <f t="shared" si="1"/>
        <v>-0.94444444444444442</v>
      </c>
      <c r="HJ72" s="1">
        <f t="shared" si="2"/>
        <v>548264.43333333358</v>
      </c>
      <c r="HK72" s="27">
        <f t="shared" si="3"/>
        <v>0.1146213931875939</v>
      </c>
      <c r="JO72"/>
      <c r="JP72"/>
      <c r="JS72"/>
      <c r="JT72"/>
      <c r="JV72"/>
      <c r="JZ72"/>
      <c r="KA72"/>
      <c r="KN72" s="278" t="s">
        <v>36</v>
      </c>
      <c r="MI72">
        <v>0</v>
      </c>
      <c r="MJ72">
        <v>0</v>
      </c>
      <c r="MK72">
        <v>0</v>
      </c>
      <c r="ML72">
        <v>0</v>
      </c>
    </row>
    <row r="73" spans="2:350">
      <c r="B73" s="27">
        <f t="shared" si="29"/>
        <v>0.10972186907788856</v>
      </c>
      <c r="C73" s="27">
        <f t="shared" si="30"/>
        <v>9.1706425163557412E-2</v>
      </c>
      <c r="D73" s="1">
        <f t="shared" si="31"/>
        <v>221379.31034482759</v>
      </c>
      <c r="E73" s="278">
        <v>122026</v>
      </c>
      <c r="F73" s="16">
        <v>47318</v>
      </c>
      <c r="G73">
        <v>174</v>
      </c>
      <c r="H73" s="16">
        <v>420036000</v>
      </c>
      <c r="I73" s="16">
        <v>109209360</v>
      </c>
      <c r="J73" s="16">
        <v>25575000</v>
      </c>
      <c r="K73" s="16">
        <v>0</v>
      </c>
      <c r="L73" s="123">
        <v>850000</v>
      </c>
      <c r="M73" s="16">
        <v>135634360</v>
      </c>
      <c r="N73" s="16">
        <v>46087135</v>
      </c>
      <c r="O73" s="16">
        <v>38520000</v>
      </c>
      <c r="P73" s="16">
        <v>0</v>
      </c>
      <c r="Q73" s="16">
        <v>0</v>
      </c>
      <c r="R73" s="16">
        <v>0</v>
      </c>
      <c r="S73">
        <v>0</v>
      </c>
      <c r="T73" s="12">
        <v>84607135</v>
      </c>
      <c r="U73" s="313">
        <v>42630000</v>
      </c>
      <c r="V73" s="16">
        <v>0</v>
      </c>
      <c r="W73" s="123">
        <v>2875000</v>
      </c>
      <c r="X73" s="123">
        <v>289348.17784946243</v>
      </c>
      <c r="Y73" s="12">
        <v>45794348.177849464</v>
      </c>
      <c r="Z73" s="12">
        <v>5232876.8221505284</v>
      </c>
      <c r="AA73" s="13">
        <v>3.858076096757878E-2</v>
      </c>
      <c r="AB73" s="13">
        <v>0.10972186907788856</v>
      </c>
      <c r="AC73" s="16">
        <v>8876.8756075911915</v>
      </c>
      <c r="AD73" s="13">
        <v>9.1706425163557412E-2</v>
      </c>
      <c r="AF73" s="1">
        <f>F73/G73</f>
        <v>271.94252873563221</v>
      </c>
      <c r="AG73" s="16"/>
      <c r="BC73" s="16"/>
      <c r="BD73" s="16"/>
      <c r="BE73" s="16"/>
      <c r="BF73" s="16"/>
      <c r="BG73" s="16"/>
      <c r="BJ73" s="278">
        <v>112026</v>
      </c>
      <c r="BL73">
        <v>6</v>
      </c>
      <c r="BN73">
        <v>6</v>
      </c>
      <c r="BZ73" s="278" t="s">
        <v>173</v>
      </c>
      <c r="CC73">
        <v>0</v>
      </c>
      <c r="CD73">
        <v>0</v>
      </c>
      <c r="CE73">
        <v>0</v>
      </c>
      <c r="CF73">
        <v>0</v>
      </c>
      <c r="CL73" s="26" t="s">
        <v>174</v>
      </c>
      <c r="CU73">
        <v>51</v>
      </c>
      <c r="CV73">
        <v>63</v>
      </c>
      <c r="CW73">
        <v>64</v>
      </c>
      <c r="CX73">
        <v>65</v>
      </c>
      <c r="CY73">
        <v>61</v>
      </c>
      <c r="CZ73">
        <v>33</v>
      </c>
      <c r="EM73">
        <v>0</v>
      </c>
      <c r="EN73">
        <v>0</v>
      </c>
      <c r="EO73">
        <v>0</v>
      </c>
      <c r="EP73">
        <v>65</v>
      </c>
      <c r="EY73" s="26">
        <v>2025</v>
      </c>
      <c r="EZ73" s="16">
        <v>905</v>
      </c>
      <c r="FA73" s="16">
        <v>8722000</v>
      </c>
      <c r="FB73" s="16">
        <v>872200</v>
      </c>
      <c r="FC73" s="16">
        <v>0</v>
      </c>
      <c r="FD73" s="16">
        <v>0</v>
      </c>
      <c r="FE73" s="16">
        <v>872200</v>
      </c>
      <c r="FF73" s="313">
        <v>0</v>
      </c>
      <c r="FG73" s="16">
        <v>0</v>
      </c>
      <c r="FH73" s="16">
        <v>0</v>
      </c>
      <c r="FI73" s="16">
        <v>0</v>
      </c>
      <c r="FJ73" s="16">
        <v>0</v>
      </c>
      <c r="FK73" s="12">
        <v>0</v>
      </c>
      <c r="FL73" s="123">
        <v>1783333.3333333335</v>
      </c>
      <c r="FM73" s="123">
        <v>0</v>
      </c>
      <c r="FN73" s="12">
        <v>1783333.3333333335</v>
      </c>
      <c r="FO73" s="12">
        <v>-911133.33333333337</v>
      </c>
      <c r="FP73" s="13">
        <v>-1.0446380799510817</v>
      </c>
      <c r="FQ73" s="13">
        <v>0</v>
      </c>
      <c r="FR73" s="16">
        <v>9637.5690607734814</v>
      </c>
      <c r="FS73" s="13">
        <v>0</v>
      </c>
      <c r="GS73" s="26">
        <v>16</v>
      </c>
      <c r="GT73" s="16">
        <v>6367</v>
      </c>
      <c r="GU73">
        <v>21</v>
      </c>
      <c r="GV73" s="16">
        <v>2502000</v>
      </c>
      <c r="GW73" s="16">
        <v>2605264.4333333336</v>
      </c>
      <c r="GX73" s="35">
        <v>18035564.433333334</v>
      </c>
      <c r="GY73" s="313">
        <v>4865000</v>
      </c>
      <c r="GZ73" s="332">
        <v>11092000</v>
      </c>
      <c r="HA73" s="35">
        <v>5276871</v>
      </c>
      <c r="HB73" s="35">
        <v>1666693.4333333336</v>
      </c>
      <c r="HC73" s="13">
        <v>9.2411492830961839E-2</v>
      </c>
      <c r="HD73" s="13">
        <v>0.11327165984700231</v>
      </c>
      <c r="HE73" s="16">
        <v>8828.3335950997334</v>
      </c>
      <c r="HF73" s="13">
        <v>8.4059775840597761E-2</v>
      </c>
      <c r="HG73" s="13"/>
      <c r="HH73" s="1">
        <f t="shared" si="28"/>
        <v>-2363000</v>
      </c>
      <c r="HI73" s="27">
        <f t="shared" si="1"/>
        <v>-0.94444444444444442</v>
      </c>
      <c r="HJ73" s="1">
        <f t="shared" si="2"/>
        <v>242264.43333333358</v>
      </c>
      <c r="HK73" s="27">
        <f t="shared" si="3"/>
        <v>4.7435263338267378E-2</v>
      </c>
      <c r="JO73"/>
      <c r="JP73"/>
      <c r="JS73"/>
      <c r="JT73"/>
      <c r="JV73"/>
      <c r="JZ73"/>
      <c r="KA73"/>
      <c r="KN73" s="278" t="s">
        <v>166</v>
      </c>
      <c r="MI73">
        <v>0</v>
      </c>
      <c r="MJ73">
        <v>0</v>
      </c>
      <c r="MK73">
        <v>0</v>
      </c>
      <c r="ML73">
        <v>0</v>
      </c>
    </row>
    <row r="74" spans="2:350">
      <c r="B74" s="27">
        <f t="shared" si="29"/>
        <v>0.1209864828429511</v>
      </c>
      <c r="C74" s="27">
        <f t="shared" si="30"/>
        <v>8.6373855057493967E-2</v>
      </c>
      <c r="D74" s="1">
        <f t="shared" si="31"/>
        <v>257005.64971751411</v>
      </c>
      <c r="E74" s="278">
        <v>132026</v>
      </c>
      <c r="F74" s="16">
        <v>59517</v>
      </c>
      <c r="G74">
        <v>177</v>
      </c>
      <c r="H74" s="16">
        <v>526664000</v>
      </c>
      <c r="I74" s="16">
        <v>136932640</v>
      </c>
      <c r="J74" s="16">
        <v>25850000</v>
      </c>
      <c r="K74" s="16">
        <v>0</v>
      </c>
      <c r="L74" s="123">
        <v>1225000</v>
      </c>
      <c r="M74" s="16">
        <v>164007640</v>
      </c>
      <c r="N74" s="16">
        <v>63719225</v>
      </c>
      <c r="O74" s="16">
        <v>45490000</v>
      </c>
      <c r="P74" s="16">
        <v>0</v>
      </c>
      <c r="Q74" s="16">
        <v>200000</v>
      </c>
      <c r="R74" s="16">
        <v>200000</v>
      </c>
      <c r="S74">
        <v>0</v>
      </c>
      <c r="T74" s="12">
        <v>109609225</v>
      </c>
      <c r="U74" s="313">
        <v>43365000</v>
      </c>
      <c r="V74" s="16">
        <v>0</v>
      </c>
      <c r="W74" s="123">
        <v>3450000</v>
      </c>
      <c r="X74" s="123">
        <v>289348.17784946243</v>
      </c>
      <c r="Y74" s="12">
        <v>47104348.177849464</v>
      </c>
      <c r="Z74" s="12">
        <v>7294066.8221505284</v>
      </c>
      <c r="AA74" s="13">
        <v>4.4473945373218762E-2</v>
      </c>
      <c r="AB74" s="13">
        <v>0.1209864828429511</v>
      </c>
      <c r="AC74" s="16">
        <v>8848.9675218845041</v>
      </c>
      <c r="AD74" s="13">
        <v>8.6373855057493967E-2</v>
      </c>
      <c r="AF74" s="1">
        <f>F74/G74</f>
        <v>336.25423728813558</v>
      </c>
      <c r="AG74" s="16"/>
      <c r="BC74" s="16"/>
      <c r="BD74" s="16"/>
      <c r="BE74" s="16"/>
      <c r="BF74" s="16"/>
      <c r="BG74" s="16"/>
      <c r="BJ74" s="26" t="s">
        <v>279</v>
      </c>
      <c r="BK74">
        <v>11</v>
      </c>
      <c r="BL74">
        <v>5</v>
      </c>
      <c r="BN74">
        <v>16</v>
      </c>
      <c r="BZ74" s="278" t="s">
        <v>174</v>
      </c>
      <c r="CC74">
        <v>0</v>
      </c>
      <c r="CD74">
        <v>0</v>
      </c>
      <c r="CE74">
        <v>0</v>
      </c>
      <c r="CF74">
        <v>0</v>
      </c>
      <c r="CL74" s="26" t="s">
        <v>203</v>
      </c>
      <c r="EM74">
        <v>0</v>
      </c>
      <c r="EN74">
        <v>0</v>
      </c>
      <c r="EO74">
        <v>0</v>
      </c>
      <c r="EP74">
        <v>0</v>
      </c>
      <c r="EY74" s="278" t="s">
        <v>202</v>
      </c>
      <c r="EZ74" s="16">
        <v>905</v>
      </c>
      <c r="FA74" s="16">
        <v>8722000</v>
      </c>
      <c r="FB74" s="16">
        <v>872200</v>
      </c>
      <c r="FC74" s="16">
        <v>0</v>
      </c>
      <c r="FD74" s="16">
        <v>0</v>
      </c>
      <c r="FE74" s="16">
        <v>872200</v>
      </c>
      <c r="FF74" s="313">
        <v>0</v>
      </c>
      <c r="FG74" s="16">
        <v>0</v>
      </c>
      <c r="FH74" s="16">
        <v>0</v>
      </c>
      <c r="FI74" s="16">
        <v>0</v>
      </c>
      <c r="FJ74" s="16">
        <v>0</v>
      </c>
      <c r="FK74" s="12">
        <v>0</v>
      </c>
      <c r="FL74" s="123">
        <v>1783333.3333333335</v>
      </c>
      <c r="FM74" s="123">
        <v>0</v>
      </c>
      <c r="FN74" s="12">
        <v>1783333.3333333335</v>
      </c>
      <c r="FO74" s="12">
        <v>-911133.33333333337</v>
      </c>
      <c r="FP74" s="13">
        <v>-1.0446380799510817</v>
      </c>
      <c r="FQ74" s="13">
        <v>0</v>
      </c>
      <c r="FR74" s="16">
        <v>9637.5690607734814</v>
      </c>
      <c r="FS74" s="13">
        <v>0</v>
      </c>
      <c r="GS74" s="26">
        <v>17</v>
      </c>
      <c r="GT74" s="16">
        <v>7428</v>
      </c>
      <c r="GU74">
        <v>25</v>
      </c>
      <c r="GV74" s="16">
        <v>3498000</v>
      </c>
      <c r="GW74" s="16">
        <v>2605264.4333333336</v>
      </c>
      <c r="GX74" s="35">
        <v>21187124.433333334</v>
      </c>
      <c r="GY74" s="313">
        <v>5495000</v>
      </c>
      <c r="GZ74" s="332">
        <v>16672000</v>
      </c>
      <c r="HA74" s="35">
        <v>5906871</v>
      </c>
      <c r="HB74" s="35">
        <v>-1391746.5666666664</v>
      </c>
      <c r="HC74" s="13">
        <v>-6.5688317970939741E-2</v>
      </c>
      <c r="HD74" s="13">
        <v>0.11317129700222622</v>
      </c>
      <c r="HE74" s="16">
        <v>8829.0253096392025</v>
      </c>
      <c r="HF74" s="13">
        <v>8.6151687963160625E-2</v>
      </c>
      <c r="HG74" s="13"/>
      <c r="HH74" s="1">
        <f t="shared" si="28"/>
        <v>-1997000</v>
      </c>
      <c r="HI74" s="27">
        <f t="shared" ref="HI74:HI83" si="33">HH74/GV74</f>
        <v>-0.5708976558033162</v>
      </c>
      <c r="HJ74" s="1">
        <f t="shared" ref="HJ74:HJ83" si="34">GV74+GW74-GY74</f>
        <v>608264.43333333358</v>
      </c>
      <c r="HK74" s="27">
        <f t="shared" ref="HK74:HK83" si="35">HJ74/(GV74+GW74)</f>
        <v>9.9662146377152205E-2</v>
      </c>
      <c r="JO74"/>
      <c r="JP74"/>
      <c r="JS74"/>
      <c r="JT74"/>
      <c r="JV74"/>
      <c r="JZ74"/>
      <c r="KA74"/>
      <c r="KN74" s="26" t="s">
        <v>276</v>
      </c>
      <c r="MI74">
        <v>0</v>
      </c>
      <c r="MJ74">
        <v>0</v>
      </c>
      <c r="MK74">
        <v>0</v>
      </c>
      <c r="ML74">
        <v>0</v>
      </c>
    </row>
    <row r="75" spans="2:350">
      <c r="B75" s="27">
        <f t="shared" si="29"/>
        <v>0.11823441818671257</v>
      </c>
      <c r="C75" s="27">
        <f t="shared" si="30"/>
        <v>9.1837817958468723E-2</v>
      </c>
      <c r="D75" s="1">
        <f t="shared" si="31"/>
        <v>267651.93370165746</v>
      </c>
      <c r="E75" s="341">
        <v>142026</v>
      </c>
      <c r="F75" s="81">
        <v>59889</v>
      </c>
      <c r="G75" s="91">
        <v>181</v>
      </c>
      <c r="H75" s="81">
        <v>527506000</v>
      </c>
      <c r="I75" s="81">
        <v>137151560</v>
      </c>
      <c r="J75" s="81">
        <v>27175000</v>
      </c>
      <c r="K75" s="81">
        <v>0</v>
      </c>
      <c r="L75" s="310">
        <v>1175000</v>
      </c>
      <c r="M75" s="81">
        <v>165501560</v>
      </c>
      <c r="N75" s="81">
        <v>62369365</v>
      </c>
      <c r="O75" s="81">
        <v>48445000</v>
      </c>
      <c r="P75" s="81">
        <v>0</v>
      </c>
      <c r="Q75" s="81">
        <v>0</v>
      </c>
      <c r="R75" s="81">
        <v>0</v>
      </c>
      <c r="S75" s="91">
        <v>0</v>
      </c>
      <c r="T75" s="246">
        <v>110814365</v>
      </c>
      <c r="U75" s="322">
        <v>45080000</v>
      </c>
      <c r="V75" s="81">
        <v>0</v>
      </c>
      <c r="W75" s="310">
        <v>3450000</v>
      </c>
      <c r="X75" s="310">
        <v>295287</v>
      </c>
      <c r="Y75" s="246">
        <v>48825287</v>
      </c>
      <c r="Z75" s="246">
        <v>5861907.9999999925</v>
      </c>
      <c r="AA75" s="244">
        <v>3.5419049826478935E-2</v>
      </c>
      <c r="AB75" s="244">
        <v>0.11823441818671257</v>
      </c>
      <c r="AC75" s="81">
        <v>8808.0615805907601</v>
      </c>
      <c r="AD75" s="244">
        <v>9.1837817958468723E-2</v>
      </c>
      <c r="AF75" s="1">
        <f>F75/G75</f>
        <v>330.87845303867402</v>
      </c>
      <c r="AG75" s="16"/>
      <c r="BC75" s="16"/>
      <c r="BD75" s="16"/>
      <c r="BE75" s="16"/>
      <c r="BF75" s="16"/>
      <c r="BG75" s="16"/>
      <c r="BJ75" s="278">
        <v>82026</v>
      </c>
      <c r="BK75">
        <v>11</v>
      </c>
      <c r="BN75">
        <v>11</v>
      </c>
      <c r="BZ75" s="278" t="s">
        <v>203</v>
      </c>
      <c r="CC75">
        <v>0</v>
      </c>
      <c r="CD75">
        <v>0</v>
      </c>
      <c r="CE75">
        <v>0</v>
      </c>
      <c r="CF75">
        <v>0</v>
      </c>
      <c r="CL75" s="26" t="s">
        <v>175</v>
      </c>
      <c r="CX75">
        <v>3</v>
      </c>
      <c r="CY75">
        <v>3</v>
      </c>
      <c r="EM75">
        <v>0</v>
      </c>
      <c r="EN75">
        <v>0</v>
      </c>
      <c r="EO75">
        <v>0</v>
      </c>
      <c r="EP75">
        <v>3</v>
      </c>
      <c r="EY75" s="338" t="s">
        <v>36</v>
      </c>
      <c r="EZ75" s="81">
        <v>250</v>
      </c>
      <c r="FA75" s="81">
        <v>2410000</v>
      </c>
      <c r="FB75" s="81">
        <v>241000</v>
      </c>
      <c r="FC75" s="81">
        <v>0</v>
      </c>
      <c r="FD75" s="81">
        <v>0</v>
      </c>
      <c r="FE75" s="81">
        <v>241000</v>
      </c>
      <c r="FF75" s="322">
        <v>0</v>
      </c>
      <c r="FG75" s="81">
        <v>0</v>
      </c>
      <c r="FH75" s="81">
        <v>0</v>
      </c>
      <c r="FI75" s="81">
        <v>0</v>
      </c>
      <c r="FJ75" s="81">
        <v>0</v>
      </c>
      <c r="FK75" s="246">
        <v>0</v>
      </c>
      <c r="FL75" s="310">
        <v>700000</v>
      </c>
      <c r="FM75" s="310">
        <v>0</v>
      </c>
      <c r="FN75" s="246">
        <v>700000</v>
      </c>
      <c r="FO75" s="246">
        <v>-459000</v>
      </c>
      <c r="FP75" s="244">
        <v>-1.904564315352697</v>
      </c>
      <c r="FQ75" s="244">
        <v>0</v>
      </c>
      <c r="FR75" s="81">
        <v>9640</v>
      </c>
      <c r="FS75" s="244">
        <v>0</v>
      </c>
      <c r="GS75" s="26">
        <v>18</v>
      </c>
      <c r="GT75" s="16">
        <v>9886</v>
      </c>
      <c r="GU75">
        <v>23</v>
      </c>
      <c r="GV75" s="16">
        <v>2952000</v>
      </c>
      <c r="GW75" s="16">
        <v>3180888.4688172042</v>
      </c>
      <c r="GX75" s="35">
        <v>26236958.468817204</v>
      </c>
      <c r="GY75" s="313">
        <v>5740000</v>
      </c>
      <c r="GZ75" s="332">
        <v>13976500</v>
      </c>
      <c r="HA75" s="35">
        <v>6151871</v>
      </c>
      <c r="HB75" s="35">
        <v>6108587.4688172042</v>
      </c>
      <c r="HC75" s="13">
        <v>0.23282376560824686</v>
      </c>
      <c r="HD75" s="13">
        <v>9.3829010742600874E-2</v>
      </c>
      <c r="HE75" s="16">
        <v>8841.6953267246608</v>
      </c>
      <c r="HF75" s="13">
        <v>6.6068711459918314E-2</v>
      </c>
      <c r="HG75" s="13"/>
      <c r="HH75" s="1">
        <f t="shared" si="28"/>
        <v>-2788000</v>
      </c>
      <c r="HI75" s="27">
        <f t="shared" si="33"/>
        <v>-0.94444444444444442</v>
      </c>
      <c r="HJ75" s="1">
        <f t="shared" si="34"/>
        <v>392888.46881720424</v>
      </c>
      <c r="HK75" s="27">
        <f t="shared" si="35"/>
        <v>6.4062549125889642E-2</v>
      </c>
      <c r="JO75"/>
      <c r="JP75"/>
      <c r="JS75"/>
      <c r="JT75"/>
      <c r="JV75"/>
      <c r="JZ75"/>
      <c r="KA75"/>
      <c r="KN75" s="278" t="s">
        <v>21</v>
      </c>
      <c r="MI75">
        <v>0</v>
      </c>
      <c r="MJ75">
        <v>0</v>
      </c>
      <c r="MK75">
        <v>0</v>
      </c>
      <c r="ML75">
        <v>0</v>
      </c>
    </row>
    <row r="76" spans="2:350">
      <c r="B76" s="27">
        <f t="shared" si="29"/>
        <v>-13.250729397383376</v>
      </c>
      <c r="C76" s="27">
        <f t="shared" si="30"/>
        <v>40.631521949696342</v>
      </c>
      <c r="D76" s="1">
        <f t="shared" si="31"/>
        <v>2.8744504286656412</v>
      </c>
      <c r="E76" s="371" t="s">
        <v>181</v>
      </c>
      <c r="F76" s="85">
        <v>6.2503150360401234E-3</v>
      </c>
      <c r="G76" s="85">
        <v>2.2598870056497175E-2</v>
      </c>
      <c r="H76" s="85">
        <v>1.5987422721127703E-3</v>
      </c>
      <c r="I76" s="85">
        <v>1.5987422721127703E-3</v>
      </c>
      <c r="J76" s="85">
        <v>5.1257253384912958E-2</v>
      </c>
      <c r="K76" s="85">
        <v>0</v>
      </c>
      <c r="L76" s="85">
        <v>-4.0816326530612242E-2</v>
      </c>
      <c r="M76" s="85">
        <v>9.1088439538548321E-3</v>
      </c>
      <c r="N76" s="85">
        <v>-2.1184501223924176E-2</v>
      </c>
      <c r="O76" s="85">
        <v>6.4959331721257424E-2</v>
      </c>
      <c r="P76" s="85">
        <v>0</v>
      </c>
      <c r="Q76" s="85">
        <v>-1</v>
      </c>
      <c r="R76" s="85">
        <v>-1</v>
      </c>
      <c r="S76" s="85">
        <v>0</v>
      </c>
      <c r="T76" s="85">
        <v>1.0994877484080377E-2</v>
      </c>
      <c r="U76" s="372">
        <v>3.954802259887006E-2</v>
      </c>
      <c r="V76" s="85">
        <v>0</v>
      </c>
      <c r="W76" s="85">
        <v>0</v>
      </c>
      <c r="X76" s="85">
        <v>2.0524829963253916E-2</v>
      </c>
      <c r="Y76" s="85">
        <v>3.6534606437029458E-2</v>
      </c>
      <c r="Z76" s="85">
        <v>-0.19634572277311393</v>
      </c>
      <c r="AA76" s="85">
        <v>-21.555504053840014</v>
      </c>
      <c r="AB76" s="85">
        <v>-13.250729397383376</v>
      </c>
      <c r="AC76" s="85">
        <v>0.25578587045520362</v>
      </c>
      <c r="AD76" s="85">
        <v>40.631521949696342</v>
      </c>
      <c r="AF76" s="1">
        <f>F76/G76</f>
        <v>0.27657644034477546</v>
      </c>
      <c r="AG76" s="16"/>
      <c r="BC76" s="16"/>
      <c r="BD76" s="16"/>
      <c r="BE76" s="16"/>
      <c r="BF76" s="16"/>
      <c r="BG76" s="16"/>
      <c r="BJ76" s="278">
        <v>122026</v>
      </c>
      <c r="BL76">
        <v>5</v>
      </c>
      <c r="BN76">
        <v>5</v>
      </c>
      <c r="BZ76" s="278" t="s">
        <v>175</v>
      </c>
      <c r="CC76">
        <v>0</v>
      </c>
      <c r="CD76">
        <v>0</v>
      </c>
      <c r="CE76">
        <v>0</v>
      </c>
      <c r="CF76">
        <v>0</v>
      </c>
      <c r="CL76" s="26" t="s">
        <v>200</v>
      </c>
      <c r="CU76">
        <v>1</v>
      </c>
      <c r="CV76">
        <v>1</v>
      </c>
      <c r="CW76">
        <v>1</v>
      </c>
      <c r="CX76">
        <v>2</v>
      </c>
      <c r="CY76">
        <v>1</v>
      </c>
      <c r="EM76">
        <v>0</v>
      </c>
      <c r="EN76">
        <v>0</v>
      </c>
      <c r="EO76">
        <v>0</v>
      </c>
      <c r="EP76">
        <v>2</v>
      </c>
      <c r="EY76" s="337" t="s">
        <v>166</v>
      </c>
      <c r="EZ76" s="16">
        <v>655</v>
      </c>
      <c r="FA76" s="16">
        <v>6312000</v>
      </c>
      <c r="FB76" s="16">
        <v>631200</v>
      </c>
      <c r="FC76" s="16">
        <v>0</v>
      </c>
      <c r="FD76" s="16">
        <v>0</v>
      </c>
      <c r="FE76" s="16">
        <v>631200</v>
      </c>
      <c r="FF76" s="313">
        <v>0</v>
      </c>
      <c r="FG76" s="16">
        <v>0</v>
      </c>
      <c r="FH76" s="16">
        <v>0</v>
      </c>
      <c r="FI76" s="16">
        <v>0</v>
      </c>
      <c r="FJ76" s="16">
        <v>0</v>
      </c>
      <c r="FK76" s="12">
        <v>0</v>
      </c>
      <c r="FL76" s="123">
        <v>1083333.3333333335</v>
      </c>
      <c r="FM76" s="123">
        <v>0</v>
      </c>
      <c r="FN76" s="12">
        <v>1083333.3333333335</v>
      </c>
      <c r="FO76" s="12">
        <v>-452133.33333333337</v>
      </c>
      <c r="FP76" s="13">
        <v>-0.7163075623151669</v>
      </c>
      <c r="FQ76" s="13">
        <v>0</v>
      </c>
      <c r="FR76" s="16">
        <v>9636.6412213740459</v>
      </c>
      <c r="FS76" s="13">
        <v>0</v>
      </c>
      <c r="GS76" s="26">
        <v>19</v>
      </c>
      <c r="GT76" s="16">
        <v>7783</v>
      </c>
      <c r="GU76">
        <v>25</v>
      </c>
      <c r="GV76" s="16">
        <v>2862000</v>
      </c>
      <c r="GW76" s="16">
        <v>2961290.3870967743</v>
      </c>
      <c r="GX76" s="35">
        <v>21560350.387096774</v>
      </c>
      <c r="GY76" s="313">
        <v>5565000</v>
      </c>
      <c r="GZ76" s="332">
        <v>13003000</v>
      </c>
      <c r="HA76" s="35">
        <v>6551871</v>
      </c>
      <c r="HB76" s="35">
        <v>2005479.3870967738</v>
      </c>
      <c r="HC76" s="13">
        <v>9.3017012761397108E-2</v>
      </c>
      <c r="HD76" s="13">
        <v>0.11367688755078775</v>
      </c>
      <c r="HE76" s="16">
        <v>8791.2116150584607</v>
      </c>
      <c r="HF76" s="13">
        <v>7.6364327263160975E-2</v>
      </c>
      <c r="HG76" s="13"/>
      <c r="HH76" s="1">
        <f t="shared" si="28"/>
        <v>-2703000</v>
      </c>
      <c r="HI76" s="27">
        <f t="shared" si="33"/>
        <v>-0.94444444444444442</v>
      </c>
      <c r="HJ76" s="1">
        <f t="shared" si="34"/>
        <v>258290.38709677383</v>
      </c>
      <c r="HK76" s="27">
        <f t="shared" si="35"/>
        <v>4.4354715277310018E-2</v>
      </c>
      <c r="JO76"/>
      <c r="JP76"/>
      <c r="JS76"/>
      <c r="JT76"/>
      <c r="JV76"/>
      <c r="JZ76"/>
      <c r="KA76"/>
      <c r="KN76" s="278" t="s">
        <v>158</v>
      </c>
      <c r="MI76">
        <v>0</v>
      </c>
      <c r="MJ76">
        <v>0</v>
      </c>
      <c r="MK76">
        <v>0</v>
      </c>
      <c r="ML76">
        <v>0</v>
      </c>
    </row>
    <row r="77" spans="2:350">
      <c r="B77" s="27">
        <f t="shared" si="29"/>
        <v>0.11899509666153286</v>
      </c>
      <c r="C77" s="27">
        <f t="shared" si="30"/>
        <v>9.045038765790174E-2</v>
      </c>
      <c r="D77" s="1">
        <f t="shared" si="31"/>
        <v>263797.81420765026</v>
      </c>
      <c r="E77" s="341">
        <v>152026</v>
      </c>
      <c r="F77" s="81">
        <v>60723</v>
      </c>
      <c r="G77" s="91">
        <v>183</v>
      </c>
      <c r="H77" s="81">
        <v>533718000</v>
      </c>
      <c r="I77" s="81">
        <v>138766680</v>
      </c>
      <c r="J77" s="81">
        <v>26875000</v>
      </c>
      <c r="K77" s="81">
        <v>0</v>
      </c>
      <c r="L77" s="310">
        <v>1075000</v>
      </c>
      <c r="M77" s="81">
        <v>166716680</v>
      </c>
      <c r="N77" s="81">
        <v>63509825</v>
      </c>
      <c r="O77" s="81">
        <v>48275000</v>
      </c>
      <c r="P77" s="81">
        <v>0</v>
      </c>
      <c r="Q77" s="81">
        <v>0</v>
      </c>
      <c r="R77" s="81">
        <v>0</v>
      </c>
      <c r="S77" s="91">
        <v>0</v>
      </c>
      <c r="T77" s="246">
        <v>111784825</v>
      </c>
      <c r="U77" s="322">
        <v>44835000</v>
      </c>
      <c r="V77" s="81">
        <v>0</v>
      </c>
      <c r="W77" s="310">
        <v>3450000</v>
      </c>
      <c r="X77" s="310">
        <v>289348.17784946243</v>
      </c>
      <c r="Y77" s="246">
        <v>48574348.177849464</v>
      </c>
      <c r="Z77" s="246">
        <v>6357506.8221505284</v>
      </c>
      <c r="AA77" s="244">
        <v>3.8133597802874487E-2</v>
      </c>
      <c r="AB77" s="244">
        <v>0.11899509666153286</v>
      </c>
      <c r="AC77" s="81">
        <v>8789.3878760930784</v>
      </c>
      <c r="AD77" s="244">
        <v>9.045038765790174E-2</v>
      </c>
      <c r="AF77" s="1">
        <f>F77/G77</f>
        <v>331.81967213114751</v>
      </c>
      <c r="AG77" s="16"/>
      <c r="BC77" s="16"/>
      <c r="BD77" s="16"/>
      <c r="BE77" s="16"/>
      <c r="BF77" s="16"/>
      <c r="BG77" s="16"/>
      <c r="BJ77" s="26" t="s">
        <v>280</v>
      </c>
      <c r="BK77">
        <v>8</v>
      </c>
      <c r="BL77">
        <v>4</v>
      </c>
      <c r="BN77">
        <v>12</v>
      </c>
      <c r="BZ77" s="278" t="s">
        <v>200</v>
      </c>
      <c r="CC77">
        <v>0</v>
      </c>
      <c r="CD77">
        <v>0</v>
      </c>
      <c r="CE77">
        <v>0</v>
      </c>
      <c r="CF77">
        <v>0</v>
      </c>
      <c r="CL77" s="26" t="s">
        <v>176</v>
      </c>
      <c r="EM77">
        <v>0</v>
      </c>
      <c r="EN77">
        <v>0</v>
      </c>
      <c r="EO77">
        <v>0</v>
      </c>
      <c r="EP77">
        <v>0</v>
      </c>
      <c r="EY77" s="26">
        <v>2026</v>
      </c>
      <c r="EZ77" s="16">
        <v>512</v>
      </c>
      <c r="FA77" s="16">
        <v>4855000</v>
      </c>
      <c r="FB77" s="16">
        <v>485500</v>
      </c>
      <c r="FC77" s="16">
        <v>0</v>
      </c>
      <c r="FD77" s="16">
        <v>0</v>
      </c>
      <c r="FE77" s="16">
        <v>485500</v>
      </c>
      <c r="FF77" s="313">
        <v>0</v>
      </c>
      <c r="FG77" s="16">
        <v>0</v>
      </c>
      <c r="FH77" s="16">
        <v>0</v>
      </c>
      <c r="FI77" s="16">
        <v>0</v>
      </c>
      <c r="FJ77" s="16">
        <v>0</v>
      </c>
      <c r="FK77" s="12">
        <v>0</v>
      </c>
      <c r="FL77" s="123">
        <v>1600000</v>
      </c>
      <c r="FM77" s="123">
        <v>0</v>
      </c>
      <c r="FN77" s="12">
        <v>1600000</v>
      </c>
      <c r="FO77" s="12">
        <v>-1114500</v>
      </c>
      <c r="FP77" s="13">
        <v>-2.2955715756951598</v>
      </c>
      <c r="FQ77" s="13">
        <v>0</v>
      </c>
      <c r="FR77" s="16">
        <v>9482.421875</v>
      </c>
      <c r="FS77" s="13">
        <v>0</v>
      </c>
      <c r="GS77" s="26">
        <v>20</v>
      </c>
      <c r="GT77" s="16">
        <v>6838</v>
      </c>
      <c r="GU77">
        <v>22</v>
      </c>
      <c r="GV77" s="16">
        <v>2610000</v>
      </c>
      <c r="GW77" s="16">
        <v>2961290.3870967743</v>
      </c>
      <c r="GX77" s="35">
        <v>19395440.387096774</v>
      </c>
      <c r="GY77" s="313">
        <v>5075000</v>
      </c>
      <c r="GZ77" s="332">
        <v>12035500</v>
      </c>
      <c r="HA77" s="35">
        <v>5786871</v>
      </c>
      <c r="HB77" s="35">
        <v>1573069.3870967738</v>
      </c>
      <c r="HC77" s="13">
        <v>8.1105113145215901E-2</v>
      </c>
      <c r="HD77" s="13">
        <v>0.11372597953581233</v>
      </c>
      <c r="HE77" s="16">
        <v>8789.8508335770694</v>
      </c>
      <c r="HF77" s="13">
        <v>8.6515264952998924E-2</v>
      </c>
      <c r="HG77" s="13"/>
      <c r="HH77" s="1">
        <f t="shared" si="28"/>
        <v>-2465000</v>
      </c>
      <c r="HI77" s="27">
        <f t="shared" si="33"/>
        <v>-0.94444444444444442</v>
      </c>
      <c r="HJ77" s="1">
        <f t="shared" si="34"/>
        <v>496290.38709677383</v>
      </c>
      <c r="HK77" s="27">
        <f t="shared" si="35"/>
        <v>8.9079971176191583E-2</v>
      </c>
      <c r="JO77"/>
      <c r="JP77"/>
      <c r="JS77"/>
      <c r="JT77"/>
      <c r="JV77"/>
      <c r="JZ77"/>
      <c r="KA77"/>
      <c r="KN77" s="278" t="s">
        <v>159</v>
      </c>
      <c r="MI77">
        <v>0</v>
      </c>
      <c r="MJ77">
        <v>0</v>
      </c>
      <c r="MK77">
        <v>0</v>
      </c>
      <c r="ML77">
        <v>0</v>
      </c>
    </row>
    <row r="78" spans="2:350">
      <c r="B78" s="27">
        <f t="shared" si="29"/>
        <v>1.5527612767800749</v>
      </c>
      <c r="C78" s="27">
        <f t="shared" si="30"/>
        <v>-0.29798603935916335</v>
      </c>
      <c r="D78" s="1">
        <f t="shared" si="31"/>
        <v>-0.31757663329548974</v>
      </c>
      <c r="E78" s="390" t="s">
        <v>182</v>
      </c>
      <c r="F78" s="349">
        <v>1.3925762660922707E-2</v>
      </c>
      <c r="G78" s="349">
        <v>1.1049723756906077E-2</v>
      </c>
      <c r="H78" s="349">
        <v>1.1776169370585359E-2</v>
      </c>
      <c r="I78" s="349">
        <v>1.1776169370585359E-2</v>
      </c>
      <c r="J78" s="349">
        <v>-1.1039558417663294E-2</v>
      </c>
      <c r="K78" s="349">
        <v>0</v>
      </c>
      <c r="L78" s="349">
        <v>-8.5106382978723402E-2</v>
      </c>
      <c r="M78" s="349">
        <v>7.3420455976366625E-3</v>
      </c>
      <c r="N78" s="349">
        <v>1.8285579787448533E-2</v>
      </c>
      <c r="O78" s="349">
        <v>-3.5091340695634224E-3</v>
      </c>
      <c r="P78" s="349">
        <v>0</v>
      </c>
      <c r="Q78" s="349">
        <v>0</v>
      </c>
      <c r="R78" s="349">
        <v>0</v>
      </c>
      <c r="S78" s="349">
        <v>0</v>
      </c>
      <c r="T78" s="349">
        <v>8.7575288636992151E-3</v>
      </c>
      <c r="U78" s="391">
        <v>-5.434782608695652E-3</v>
      </c>
      <c r="V78" s="349">
        <v>0</v>
      </c>
      <c r="W78" s="349">
        <v>0</v>
      </c>
      <c r="X78" s="349">
        <v>-2.0112033887497823E-2</v>
      </c>
      <c r="Y78" s="349">
        <v>-5.1395257983949151E-3</v>
      </c>
      <c r="Z78" s="349">
        <v>8.4545650008587048E-2</v>
      </c>
      <c r="AA78" s="349">
        <v>11.51527171607345</v>
      </c>
      <c r="AB78" s="349">
        <v>1.5527612767800749</v>
      </c>
      <c r="AC78" s="349">
        <v>0.8456390976438688</v>
      </c>
      <c r="AD78" s="349">
        <v>-0.29798603935916335</v>
      </c>
      <c r="AF78" s="1">
        <f t="shared" si="32"/>
        <v>1.260281520813505</v>
      </c>
      <c r="AG78" s="16"/>
      <c r="BC78" s="16"/>
      <c r="BD78" s="16"/>
      <c r="BE78" s="16"/>
      <c r="BF78" s="16"/>
      <c r="BG78" s="16"/>
      <c r="BJ78" s="278">
        <v>92026</v>
      </c>
      <c r="BK78">
        <v>8</v>
      </c>
      <c r="BN78">
        <v>8</v>
      </c>
      <c r="BZ78" s="278" t="s">
        <v>176</v>
      </c>
      <c r="CC78">
        <v>0</v>
      </c>
      <c r="CD78">
        <v>0</v>
      </c>
      <c r="CE78">
        <v>0</v>
      </c>
      <c r="CF78">
        <v>0</v>
      </c>
      <c r="CL78" s="26" t="s">
        <v>201</v>
      </c>
      <c r="CU78">
        <v>5</v>
      </c>
      <c r="CV78">
        <v>3</v>
      </c>
      <c r="CW78">
        <v>3</v>
      </c>
      <c r="CX78">
        <v>1</v>
      </c>
      <c r="CY78">
        <v>1</v>
      </c>
      <c r="EM78">
        <v>0</v>
      </c>
      <c r="EN78">
        <v>0</v>
      </c>
      <c r="EO78">
        <v>0</v>
      </c>
      <c r="EP78">
        <v>5</v>
      </c>
      <c r="EY78" s="278" t="s">
        <v>202</v>
      </c>
      <c r="EZ78" s="16">
        <v>512</v>
      </c>
      <c r="FA78" s="16">
        <v>4855000</v>
      </c>
      <c r="FB78" s="16">
        <v>485500</v>
      </c>
      <c r="FC78" s="16">
        <v>0</v>
      </c>
      <c r="FD78" s="16">
        <v>0</v>
      </c>
      <c r="FE78" s="16">
        <v>485500</v>
      </c>
      <c r="FF78" s="313">
        <v>0</v>
      </c>
      <c r="FG78" s="16">
        <v>0</v>
      </c>
      <c r="FH78" s="16">
        <v>0</v>
      </c>
      <c r="FI78" s="16">
        <v>0</v>
      </c>
      <c r="FJ78" s="16">
        <v>0</v>
      </c>
      <c r="FK78" s="12">
        <v>0</v>
      </c>
      <c r="FL78" s="123">
        <v>1600000</v>
      </c>
      <c r="FM78" s="123">
        <v>0</v>
      </c>
      <c r="FN78" s="12">
        <v>1600000</v>
      </c>
      <c r="FO78" s="12">
        <v>-1114500</v>
      </c>
      <c r="FP78" s="13">
        <v>-2.2955715756951598</v>
      </c>
      <c r="FQ78" s="13">
        <v>0</v>
      </c>
      <c r="FR78" s="16">
        <v>9482.421875</v>
      </c>
      <c r="FS78" s="13">
        <v>0</v>
      </c>
      <c r="GS78" s="26">
        <v>21</v>
      </c>
      <c r="GT78" s="16">
        <v>6454</v>
      </c>
      <c r="GU78">
        <v>21</v>
      </c>
      <c r="GV78" s="16">
        <v>3198000</v>
      </c>
      <c r="GW78" s="16">
        <v>2961290.3870967743</v>
      </c>
      <c r="GX78" s="35">
        <v>19246060.387096774</v>
      </c>
      <c r="GY78" s="313">
        <v>5145000</v>
      </c>
      <c r="GZ78" s="332">
        <v>16304500</v>
      </c>
      <c r="HA78" s="35">
        <v>6006870.9677419355</v>
      </c>
      <c r="HB78" s="35">
        <v>-3065310.5806451626</v>
      </c>
      <c r="HC78" s="13">
        <v>-0.15926950861591668</v>
      </c>
      <c r="HD78" s="13">
        <v>0.11343784600783845</v>
      </c>
      <c r="HE78" s="16">
        <v>8816.0830492717687</v>
      </c>
      <c r="HF78" s="13">
        <v>9.0071881755391131E-2</v>
      </c>
      <c r="HG78" s="13"/>
      <c r="HH78" s="1">
        <f t="shared" si="28"/>
        <v>-1947000</v>
      </c>
      <c r="HI78" s="27">
        <f t="shared" si="33"/>
        <v>-0.60881801125703561</v>
      </c>
      <c r="HJ78" s="1">
        <f t="shared" si="34"/>
        <v>1014290.3870967738</v>
      </c>
      <c r="HK78" s="27">
        <f t="shared" si="35"/>
        <v>0.16467650059520361</v>
      </c>
      <c r="JO78"/>
      <c r="JP78"/>
      <c r="JS78"/>
      <c r="JT78"/>
      <c r="JV78"/>
      <c r="JZ78"/>
      <c r="KA78"/>
      <c r="KN78" s="278" t="s">
        <v>160</v>
      </c>
      <c r="MI78">
        <v>0</v>
      </c>
      <c r="MJ78">
        <v>0</v>
      </c>
      <c r="MK78">
        <v>0</v>
      </c>
      <c r="ML78">
        <v>0</v>
      </c>
    </row>
    <row r="79" spans="2:350">
      <c r="B79" s="27">
        <f t="shared" si="29"/>
        <v>0.10831461617652584</v>
      </c>
      <c r="C79" s="27">
        <f t="shared" si="30"/>
        <v>0.10395444540293328</v>
      </c>
      <c r="D79" s="1">
        <f t="shared" si="31"/>
        <v>12109002.100586595</v>
      </c>
      <c r="E79" s="26" t="s">
        <v>172</v>
      </c>
      <c r="F79" s="16">
        <v>445672.88477378158</v>
      </c>
      <c r="G79">
        <v>34</v>
      </c>
      <c r="H79" s="16">
        <v>3960446999.8771901</v>
      </c>
      <c r="I79" s="16">
        <v>986423379.87718999</v>
      </c>
      <c r="J79" s="16">
        <v>229863428.55560732</v>
      </c>
      <c r="K79" s="16">
        <v>70038968.000000015</v>
      </c>
      <c r="L79" s="123">
        <v>6869999.7999999998</v>
      </c>
      <c r="M79" s="16">
        <v>1293195776.4640572</v>
      </c>
      <c r="N79" s="16">
        <v>428974296.67917114</v>
      </c>
      <c r="O79" s="16">
        <v>411706071.41994423</v>
      </c>
      <c r="P79" s="16">
        <v>24631000</v>
      </c>
      <c r="Q79" s="16">
        <v>1442857.1428571427</v>
      </c>
      <c r="R79" s="16">
        <v>4899999</v>
      </c>
      <c r="S79">
        <v>0</v>
      </c>
      <c r="T79" s="12">
        <v>871654225.31525874</v>
      </c>
      <c r="U79" s="313">
        <v>391508442.82488477</v>
      </c>
      <c r="V79" s="16">
        <v>623158.49636355985</v>
      </c>
      <c r="W79" s="123">
        <v>32025000</v>
      </c>
      <c r="X79" s="123">
        <v>23982122.706853002</v>
      </c>
      <c r="Y79" s="12">
        <v>448138723.7176252</v>
      </c>
      <c r="Z79" s="12">
        <v>-26597185.676124096</v>
      </c>
      <c r="AA79" s="13">
        <v>-2.0567021761274156E-2</v>
      </c>
      <c r="AB79" s="13">
        <v>0.10831461617652584</v>
      </c>
      <c r="AC79" s="16">
        <v>8886.4437016119282</v>
      </c>
      <c r="AD79" s="13">
        <v>0.10395444540293328</v>
      </c>
      <c r="AF79" s="1">
        <f t="shared" si="32"/>
        <v>13108.026022758282</v>
      </c>
      <c r="AG79" s="16"/>
      <c r="BC79" s="16"/>
      <c r="BD79" s="16"/>
      <c r="BE79" s="16"/>
      <c r="BF79" s="16"/>
      <c r="BG79" s="16"/>
      <c r="BJ79" s="278">
        <v>132026</v>
      </c>
      <c r="BL79">
        <v>4</v>
      </c>
      <c r="BN79">
        <v>4</v>
      </c>
      <c r="BZ79" s="278" t="s">
        <v>201</v>
      </c>
      <c r="CC79">
        <v>0</v>
      </c>
      <c r="CD79">
        <v>0</v>
      </c>
      <c r="CE79">
        <v>0</v>
      </c>
      <c r="CF79">
        <v>0</v>
      </c>
      <c r="CL79" s="26" t="s">
        <v>178</v>
      </c>
      <c r="EM79">
        <v>0</v>
      </c>
      <c r="EN79">
        <v>0</v>
      </c>
      <c r="EO79">
        <v>0</v>
      </c>
      <c r="EP79">
        <v>0</v>
      </c>
      <c r="EY79" s="337" t="s">
        <v>21</v>
      </c>
      <c r="EZ79" s="16">
        <v>446</v>
      </c>
      <c r="FA79" s="16">
        <v>4228000</v>
      </c>
      <c r="FB79" s="16">
        <v>422800</v>
      </c>
      <c r="FC79" s="16">
        <v>0</v>
      </c>
      <c r="FD79" s="16">
        <v>0</v>
      </c>
      <c r="FE79" s="16">
        <v>422800</v>
      </c>
      <c r="FF79" s="313">
        <v>0</v>
      </c>
      <c r="FG79" s="16">
        <v>0</v>
      </c>
      <c r="FH79" s="16">
        <v>0</v>
      </c>
      <c r="FI79" s="16">
        <v>0</v>
      </c>
      <c r="FJ79" s="16">
        <v>0</v>
      </c>
      <c r="FK79" s="12">
        <v>0</v>
      </c>
      <c r="FL79" s="123">
        <v>1600000</v>
      </c>
      <c r="FM79" s="123">
        <v>0</v>
      </c>
      <c r="FN79" s="12">
        <v>1600000</v>
      </c>
      <c r="FO79" s="12">
        <v>-1177200</v>
      </c>
      <c r="FP79" s="13">
        <v>-2.7842951750236518</v>
      </c>
      <c r="FQ79" s="13">
        <v>0</v>
      </c>
      <c r="FR79" s="16">
        <v>9479.8206278026901</v>
      </c>
      <c r="FS79" s="13">
        <v>0</v>
      </c>
      <c r="GS79" s="26">
        <v>22</v>
      </c>
      <c r="GT79" s="16">
        <v>7382</v>
      </c>
      <c r="GU79">
        <v>22</v>
      </c>
      <c r="GV79" s="16">
        <v>2591999.9999999995</v>
      </c>
      <c r="GW79" s="16">
        <v>2983963.1532258065</v>
      </c>
      <c r="GX79" s="35">
        <v>20561613.153225806</v>
      </c>
      <c r="GY79" s="313">
        <v>5040000</v>
      </c>
      <c r="GZ79" s="332">
        <v>13305499.999999998</v>
      </c>
      <c r="HA79" s="35">
        <v>5826870.9677419364</v>
      </c>
      <c r="HB79" s="35">
        <v>1429242.1854838729</v>
      </c>
      <c r="HC79" s="13">
        <v>6.9510216675759531E-2</v>
      </c>
      <c r="HD79" s="13">
        <v>0.11327603407259611</v>
      </c>
      <c r="HE79" s="16">
        <v>8826.1988620969933</v>
      </c>
      <c r="HF79" s="13">
        <v>9.0936996393216174E-2</v>
      </c>
      <c r="HG79" s="13"/>
      <c r="HH79" s="1">
        <f t="shared" si="28"/>
        <v>-2448000.0000000005</v>
      </c>
      <c r="HI79" s="27">
        <f t="shared" si="33"/>
        <v>-0.94444444444444475</v>
      </c>
      <c r="HJ79" s="1">
        <f t="shared" si="34"/>
        <v>535963.15322580561</v>
      </c>
      <c r="HK79" s="27">
        <f t="shared" si="35"/>
        <v>9.6120282451246167E-2</v>
      </c>
      <c r="JO79"/>
      <c r="JP79"/>
      <c r="JS79"/>
      <c r="JT79"/>
      <c r="JV79"/>
      <c r="JZ79"/>
      <c r="KA79"/>
      <c r="KN79" s="278" t="s">
        <v>161</v>
      </c>
      <c r="MI79">
        <v>0</v>
      </c>
      <c r="MJ79">
        <v>0</v>
      </c>
      <c r="MK79">
        <v>0</v>
      </c>
      <c r="ML79">
        <v>0</v>
      </c>
    </row>
    <row r="80" spans="2:350">
      <c r="B80" s="27">
        <f t="shared" si="29"/>
        <v>0.11270490248879247</v>
      </c>
      <c r="C80" s="27">
        <f t="shared" si="30"/>
        <v>7.775106006933119E-2</v>
      </c>
      <c r="D80" s="1">
        <f t="shared" si="31"/>
        <v>154135.33834586467</v>
      </c>
      <c r="E80" s="278">
        <v>1</v>
      </c>
      <c r="F80" s="16">
        <v>4246</v>
      </c>
      <c r="G80">
        <v>19</v>
      </c>
      <c r="H80" s="16">
        <v>37666000</v>
      </c>
      <c r="I80" s="16">
        <v>8663180</v>
      </c>
      <c r="J80" s="16">
        <v>1347428.5714285714</v>
      </c>
      <c r="K80" s="16">
        <v>1724403.7419354839</v>
      </c>
      <c r="M80" s="16">
        <v>11735012.313364055</v>
      </c>
      <c r="N80" s="16">
        <v>4245142.8571428573</v>
      </c>
      <c r="O80" s="16">
        <v>2928571.4285714286</v>
      </c>
      <c r="P80" s="16"/>
      <c r="Q80" s="16"/>
      <c r="R80" s="16"/>
      <c r="S80"/>
      <c r="T80" s="12">
        <v>7173714.2857142854</v>
      </c>
      <c r="U80" s="313">
        <v>2492742.8571428568</v>
      </c>
      <c r="V80" s="16"/>
      <c r="W80" s="123"/>
      <c r="X80" s="123">
        <v>260571.42857142855</v>
      </c>
      <c r="Y80" s="12">
        <v>2753314.2857142854</v>
      </c>
      <c r="Z80" s="12">
        <v>1807983.7419354841</v>
      </c>
      <c r="AA80" s="13">
        <v>0.15406747719186609</v>
      </c>
      <c r="AB80" s="13">
        <v>0.11270490248879247</v>
      </c>
      <c r="AC80" s="16">
        <v>8870.9373528026372</v>
      </c>
      <c r="AD80" s="13">
        <v>7.775106006933119E-2</v>
      </c>
      <c r="AF80" s="1">
        <f t="shared" si="32"/>
        <v>223.47368421052633</v>
      </c>
      <c r="AG80" s="16"/>
      <c r="BC80" s="16"/>
      <c r="BD80" s="16"/>
      <c r="BE80" s="16"/>
      <c r="BF80" s="16"/>
      <c r="BG80" s="16"/>
      <c r="BJ80" s="11" t="s">
        <v>174</v>
      </c>
      <c r="BK80">
        <v>90</v>
      </c>
      <c r="BL80">
        <v>75</v>
      </c>
      <c r="BM80">
        <v>21</v>
      </c>
      <c r="BN80">
        <v>186</v>
      </c>
      <c r="BZ80" s="278" t="s">
        <v>178</v>
      </c>
      <c r="CC80">
        <v>0</v>
      </c>
      <c r="CD80">
        <v>0</v>
      </c>
      <c r="CE80">
        <v>0</v>
      </c>
      <c r="CF80">
        <v>0</v>
      </c>
      <c r="CL80" s="26" t="s">
        <v>177</v>
      </c>
      <c r="EM80">
        <v>0</v>
      </c>
      <c r="EN80">
        <v>0</v>
      </c>
      <c r="EO80">
        <v>0</v>
      </c>
      <c r="EP80">
        <v>0</v>
      </c>
      <c r="EY80" s="337" t="s">
        <v>158</v>
      </c>
      <c r="EZ80" s="16">
        <v>66</v>
      </c>
      <c r="FA80" s="16">
        <v>627000</v>
      </c>
      <c r="FB80" s="16">
        <v>62700</v>
      </c>
      <c r="FC80" s="16">
        <v>0</v>
      </c>
      <c r="FD80" s="16">
        <v>0</v>
      </c>
      <c r="FE80" s="16">
        <v>62700</v>
      </c>
      <c r="FF80" s="313">
        <v>0</v>
      </c>
      <c r="FG80" s="16">
        <v>0</v>
      </c>
      <c r="FH80" s="16">
        <v>0</v>
      </c>
      <c r="FI80" s="16">
        <v>0</v>
      </c>
      <c r="FJ80" s="16">
        <v>0</v>
      </c>
      <c r="FK80" s="12">
        <v>0</v>
      </c>
      <c r="FL80" s="123">
        <v>0</v>
      </c>
      <c r="FM80" s="123">
        <v>0</v>
      </c>
      <c r="FN80" s="12">
        <v>0</v>
      </c>
      <c r="FO80" s="12">
        <v>62700</v>
      </c>
      <c r="FP80" s="13">
        <v>1</v>
      </c>
      <c r="FQ80" s="13">
        <v>0</v>
      </c>
      <c r="FR80" s="16">
        <v>9500</v>
      </c>
      <c r="FS80" s="13">
        <v>0</v>
      </c>
      <c r="GS80" s="26">
        <v>23</v>
      </c>
      <c r="GT80" s="16">
        <v>7686</v>
      </c>
      <c r="GU80">
        <v>23</v>
      </c>
      <c r="GV80" s="16">
        <v>2844000</v>
      </c>
      <c r="GW80" s="16">
        <v>3119999.75</v>
      </c>
      <c r="GX80" s="35">
        <v>21517979.75</v>
      </c>
      <c r="GY80" s="313">
        <v>5530000</v>
      </c>
      <c r="GZ80" s="332">
        <v>13010000</v>
      </c>
      <c r="HA80" s="35">
        <v>6166870.9677419355</v>
      </c>
      <c r="HB80" s="35">
        <v>2341108.7822580636</v>
      </c>
      <c r="HC80" s="13">
        <v>0.1087977965151707</v>
      </c>
      <c r="HD80" s="13">
        <v>0.11363972436636796</v>
      </c>
      <c r="HE80" s="16">
        <v>8798.5948477751754</v>
      </c>
      <c r="HF80" s="13">
        <v>7.8741904001419574E-2</v>
      </c>
      <c r="HG80" s="13"/>
      <c r="HH80" s="1">
        <f t="shared" si="28"/>
        <v>-2686000</v>
      </c>
      <c r="HI80" s="27">
        <f t="shared" si="33"/>
        <v>-0.94444444444444442</v>
      </c>
      <c r="HJ80" s="1">
        <f t="shared" si="34"/>
        <v>433999.75</v>
      </c>
      <c r="HK80" s="27">
        <f t="shared" si="35"/>
        <v>7.2769914183849524E-2</v>
      </c>
      <c r="JO80"/>
      <c r="JP80"/>
      <c r="JS80"/>
      <c r="JT80"/>
      <c r="JV80"/>
      <c r="JZ80"/>
      <c r="KA80"/>
      <c r="KN80" s="278" t="s">
        <v>156</v>
      </c>
      <c r="MI80">
        <v>0</v>
      </c>
      <c r="MJ80">
        <v>0</v>
      </c>
      <c r="MK80">
        <v>0</v>
      </c>
      <c r="ML80">
        <v>0</v>
      </c>
    </row>
    <row r="81" spans="1:350">
      <c r="B81" s="27">
        <f t="shared" si="29"/>
        <v>0.11306579416644699</v>
      </c>
      <c r="C81" s="27">
        <f t="shared" si="30"/>
        <v>7.5981950410147464E-2</v>
      </c>
      <c r="D81" s="1">
        <f t="shared" si="31"/>
        <v>257894.73684210525</v>
      </c>
      <c r="E81" s="278">
        <v>2</v>
      </c>
      <c r="F81" s="16">
        <v>7309</v>
      </c>
      <c r="G81">
        <v>19</v>
      </c>
      <c r="H81" s="16">
        <v>64489000</v>
      </c>
      <c r="I81" s="16">
        <v>14832470</v>
      </c>
      <c r="J81" s="16">
        <v>2358000</v>
      </c>
      <c r="K81" s="16">
        <v>3017706.5483870967</v>
      </c>
      <c r="M81" s="16">
        <v>20208176.548387095</v>
      </c>
      <c r="N81" s="16">
        <v>7291500</v>
      </c>
      <c r="O81" s="16">
        <v>4900000</v>
      </c>
      <c r="P81" s="16"/>
      <c r="Q81" s="16"/>
      <c r="R81" s="16"/>
      <c r="S81"/>
      <c r="T81" s="12">
        <v>12191500</v>
      </c>
      <c r="U81" s="313">
        <v>4362300</v>
      </c>
      <c r="V81" s="16"/>
      <c r="W81" s="123"/>
      <c r="X81" s="123">
        <v>456000</v>
      </c>
      <c r="Y81" s="12">
        <v>4818300</v>
      </c>
      <c r="Z81" s="12">
        <v>3198376.5483870953</v>
      </c>
      <c r="AA81" s="13">
        <v>0.15827140765168998</v>
      </c>
      <c r="AB81" s="13">
        <v>0.11306579416644699</v>
      </c>
      <c r="AC81" s="16">
        <v>8823.2316322342322</v>
      </c>
      <c r="AD81" s="13">
        <v>7.5981950410147464E-2</v>
      </c>
      <c r="AF81" s="1">
        <f t="shared" si="32"/>
        <v>384.68421052631578</v>
      </c>
      <c r="AG81" s="16"/>
      <c r="BC81" s="16"/>
      <c r="BD81" s="16"/>
      <c r="BE81" s="16"/>
      <c r="BF81" s="16"/>
      <c r="BG81" s="16"/>
      <c r="BJ81" s="26" t="s">
        <v>275</v>
      </c>
      <c r="BK81">
        <v>20</v>
      </c>
      <c r="BL81">
        <v>20</v>
      </c>
      <c r="BM81">
        <v>11</v>
      </c>
      <c r="BN81">
        <v>51</v>
      </c>
      <c r="BZ81" s="278" t="s">
        <v>177</v>
      </c>
      <c r="CC81">
        <v>0</v>
      </c>
      <c r="CD81">
        <v>0</v>
      </c>
      <c r="CE81">
        <v>0</v>
      </c>
      <c r="CF81">
        <v>0</v>
      </c>
      <c r="CL81" s="26" t="s">
        <v>202</v>
      </c>
      <c r="EM81">
        <v>0</v>
      </c>
      <c r="EN81">
        <v>0</v>
      </c>
      <c r="EO81">
        <v>0</v>
      </c>
      <c r="EP81">
        <v>0</v>
      </c>
      <c r="EY81" s="11" t="s">
        <v>171</v>
      </c>
      <c r="EZ81" s="16">
        <v>1073</v>
      </c>
      <c r="FA81" s="16">
        <v>5349000</v>
      </c>
      <c r="FB81" s="16">
        <v>4299250</v>
      </c>
      <c r="FC81" s="16">
        <v>425000</v>
      </c>
      <c r="FD81" s="16">
        <v>0</v>
      </c>
      <c r="FE81" s="16">
        <v>4724250</v>
      </c>
      <c r="FF81" s="313">
        <v>595000</v>
      </c>
      <c r="FG81" s="16">
        <v>784600</v>
      </c>
      <c r="FH81" s="16">
        <v>3070000</v>
      </c>
      <c r="FI81" s="16">
        <v>60000</v>
      </c>
      <c r="FJ81" s="16">
        <v>0</v>
      </c>
      <c r="FK81" s="35">
        <v>3914600</v>
      </c>
      <c r="FL81" s="123">
        <v>4400000</v>
      </c>
      <c r="FM81" s="123">
        <v>1395000</v>
      </c>
      <c r="FN81" s="35">
        <v>6390000</v>
      </c>
      <c r="FO81" s="35">
        <v>-5580350</v>
      </c>
      <c r="FP81" s="13">
        <v>-1.1812139493041223</v>
      </c>
      <c r="FQ81" s="13">
        <v>0.14668162273322116</v>
      </c>
      <c r="FR81" s="16">
        <v>4985.0885368126746</v>
      </c>
      <c r="FS81" s="13">
        <v>0.57393905402879042</v>
      </c>
      <c r="GS81" s="26">
        <v>24</v>
      </c>
      <c r="GT81" s="16">
        <v>8082</v>
      </c>
      <c r="GU81">
        <v>23</v>
      </c>
      <c r="GV81" s="16">
        <v>4025000</v>
      </c>
      <c r="GW81" s="16">
        <v>0</v>
      </c>
      <c r="GX81" s="35">
        <v>22435080</v>
      </c>
      <c r="GY81" s="313">
        <v>5635000</v>
      </c>
      <c r="GZ81" s="332">
        <v>14788954</v>
      </c>
      <c r="HA81" s="35">
        <v>6496870.9677419355</v>
      </c>
      <c r="HB81" s="35">
        <v>1149255.0322580636</v>
      </c>
      <c r="HC81" s="13">
        <v>5.1225804956258836E-2</v>
      </c>
      <c r="HD81" s="13">
        <v>0.11872181109479155</v>
      </c>
      <c r="HE81" s="16">
        <v>8761.1977233358084</v>
      </c>
      <c r="HF81" s="13">
        <v>9.0138119986442208E-2</v>
      </c>
      <c r="HG81" s="13"/>
      <c r="HH81" s="1">
        <f t="shared" si="28"/>
        <v>-1610000</v>
      </c>
      <c r="HI81" s="27">
        <f t="shared" si="33"/>
        <v>-0.4</v>
      </c>
      <c r="HJ81" s="1">
        <f t="shared" si="34"/>
        <v>-1610000</v>
      </c>
      <c r="HK81" s="27">
        <f t="shared" si="35"/>
        <v>-0.4</v>
      </c>
      <c r="JO81"/>
      <c r="JP81"/>
      <c r="JS81"/>
      <c r="JT81"/>
      <c r="JV81"/>
      <c r="JZ81"/>
      <c r="KA81"/>
      <c r="KN81" s="278" t="s">
        <v>162</v>
      </c>
      <c r="MI81">
        <v>0</v>
      </c>
      <c r="MJ81">
        <v>0</v>
      </c>
      <c r="MK81">
        <v>0</v>
      </c>
      <c r="ML81">
        <v>0</v>
      </c>
    </row>
    <row r="82" spans="1:350">
      <c r="B82" s="27">
        <f t="shared" si="29"/>
        <v>0.11257934965669128</v>
      </c>
      <c r="C82" s="27">
        <f t="shared" si="30"/>
        <v>8.1373882627283331E-2</v>
      </c>
      <c r="D82" s="1">
        <f t="shared" si="31"/>
        <v>251250</v>
      </c>
      <c r="E82" s="278">
        <v>3</v>
      </c>
      <c r="F82" s="16">
        <v>6964</v>
      </c>
      <c r="G82">
        <v>20</v>
      </c>
      <c r="H82" s="16">
        <v>61752000</v>
      </c>
      <c r="I82" s="16">
        <v>14202960</v>
      </c>
      <c r="J82" s="16">
        <v>2466000</v>
      </c>
      <c r="K82" s="16">
        <v>3017706.5483870967</v>
      </c>
      <c r="M82" s="16">
        <v>19686666.548387095</v>
      </c>
      <c r="N82" s="16">
        <v>6952000</v>
      </c>
      <c r="O82" s="16">
        <v>5025000</v>
      </c>
      <c r="P82" s="16"/>
      <c r="Q82" s="16"/>
      <c r="R82" s="16"/>
      <c r="S82"/>
      <c r="T82" s="12">
        <v>11977000</v>
      </c>
      <c r="U82" s="313">
        <v>4562100</v>
      </c>
      <c r="V82" s="16"/>
      <c r="W82" s="123">
        <v>0</v>
      </c>
      <c r="X82" s="123">
        <v>456000</v>
      </c>
      <c r="Y82" s="12">
        <v>5018100</v>
      </c>
      <c r="Z82" s="12">
        <v>2691566.5483870953</v>
      </c>
      <c r="AA82" s="13">
        <v>0.13672027926980926</v>
      </c>
      <c r="AB82" s="13">
        <v>0.11257934965669128</v>
      </c>
      <c r="AC82" s="16">
        <v>8867.3176335439402</v>
      </c>
      <c r="AD82" s="13">
        <v>8.1373882627283331E-2</v>
      </c>
      <c r="AF82" s="1">
        <f t="shared" si="32"/>
        <v>348.2</v>
      </c>
      <c r="AG82" s="16"/>
      <c r="BC82" s="16"/>
      <c r="BD82" s="16"/>
      <c r="BE82" s="16"/>
      <c r="BF82" s="16"/>
      <c r="BG82" s="16"/>
      <c r="BJ82" s="278">
        <v>52026</v>
      </c>
      <c r="BK82">
        <v>20</v>
      </c>
      <c r="BN82">
        <v>20</v>
      </c>
      <c r="BZ82" s="278" t="s">
        <v>202</v>
      </c>
      <c r="CC82">
        <v>0</v>
      </c>
      <c r="CD82">
        <v>0</v>
      </c>
      <c r="CE82">
        <v>0</v>
      </c>
      <c r="CF82">
        <v>0</v>
      </c>
      <c r="CL82" s="26" t="s">
        <v>204</v>
      </c>
      <c r="EM82">
        <v>0</v>
      </c>
      <c r="EN82">
        <v>0</v>
      </c>
      <c r="EO82">
        <v>0</v>
      </c>
      <c r="EP82">
        <v>0</v>
      </c>
      <c r="EY82" s="26">
        <v>2025</v>
      </c>
      <c r="EZ82" s="16">
        <v>1073</v>
      </c>
      <c r="FA82" s="16">
        <v>5349000</v>
      </c>
      <c r="FB82" s="16">
        <v>4299250</v>
      </c>
      <c r="FC82" s="16">
        <v>425000</v>
      </c>
      <c r="FD82" s="16">
        <v>0</v>
      </c>
      <c r="FE82" s="16">
        <v>4724250</v>
      </c>
      <c r="FF82" s="313">
        <v>595000</v>
      </c>
      <c r="FG82" s="16">
        <v>784600</v>
      </c>
      <c r="FH82" s="16">
        <v>3070000</v>
      </c>
      <c r="FI82" s="16">
        <v>60000</v>
      </c>
      <c r="FJ82" s="16">
        <v>0</v>
      </c>
      <c r="FK82" s="12">
        <v>3914600</v>
      </c>
      <c r="FL82" s="123">
        <v>4400000</v>
      </c>
      <c r="FM82" s="123">
        <v>1395000</v>
      </c>
      <c r="FN82" s="12">
        <v>6390000</v>
      </c>
      <c r="FO82" s="12">
        <v>-5580350</v>
      </c>
      <c r="FP82" s="13">
        <v>-1.1812139493041223</v>
      </c>
      <c r="FQ82" s="13">
        <v>0.14668162273322116</v>
      </c>
      <c r="FR82" s="16">
        <v>4985.0885368126746</v>
      </c>
      <c r="FS82" s="13">
        <v>0.57393905402879042</v>
      </c>
      <c r="GS82" s="26">
        <v>25</v>
      </c>
      <c r="GT82" s="16">
        <v>6354</v>
      </c>
      <c r="GU82">
        <v>22</v>
      </c>
      <c r="GV82" s="16">
        <v>2700000</v>
      </c>
      <c r="GW82" s="16">
        <v>0</v>
      </c>
      <c r="GX82" s="35">
        <v>17263380</v>
      </c>
      <c r="GY82" s="313">
        <v>5390000</v>
      </c>
      <c r="GZ82" s="332">
        <v>11406490</v>
      </c>
      <c r="HA82" s="35">
        <v>5815600</v>
      </c>
      <c r="HB82" s="35">
        <v>41290</v>
      </c>
      <c r="HC82" s="13">
        <v>2.3917680083506243E-3</v>
      </c>
      <c r="HD82" s="13">
        <v>0.11290218342170567</v>
      </c>
      <c r="HE82" s="16">
        <v>8815.3918791312553</v>
      </c>
      <c r="HF82" s="13">
        <v>9.0737864424330072E-2</v>
      </c>
      <c r="HG82" s="13"/>
      <c r="HH82" s="1">
        <f t="shared" si="28"/>
        <v>-2690000</v>
      </c>
      <c r="HI82" s="27">
        <f t="shared" si="33"/>
        <v>-0.99629629629629635</v>
      </c>
      <c r="HJ82" s="1">
        <f t="shared" si="34"/>
        <v>-2690000</v>
      </c>
      <c r="HK82" s="27">
        <f t="shared" si="35"/>
        <v>-0.99629629629629635</v>
      </c>
      <c r="JO82"/>
      <c r="JP82"/>
      <c r="JS82"/>
      <c r="JT82"/>
      <c r="JV82"/>
      <c r="JZ82"/>
      <c r="KA82"/>
      <c r="KN82" s="278" t="s">
        <v>163</v>
      </c>
      <c r="LV82" s="379"/>
      <c r="MI82">
        <v>0</v>
      </c>
      <c r="MJ82">
        <v>0</v>
      </c>
      <c r="MK82">
        <v>0</v>
      </c>
      <c r="ML82">
        <v>0</v>
      </c>
    </row>
    <row r="83" spans="1:350">
      <c r="B83" s="27">
        <f t="shared" si="29"/>
        <v>0.11328870489444787</v>
      </c>
      <c r="C83" s="27">
        <f t="shared" si="30"/>
        <v>9.3587597991720256E-2</v>
      </c>
      <c r="D83" s="1">
        <f t="shared" si="31"/>
        <v>227678.57142857142</v>
      </c>
      <c r="E83" s="278">
        <v>4</v>
      </c>
      <c r="F83" s="16">
        <v>7717</v>
      </c>
      <c r="G83">
        <v>28</v>
      </c>
      <c r="H83" s="16">
        <v>68118000</v>
      </c>
      <c r="I83" s="16">
        <v>15667140</v>
      </c>
      <c r="J83" s="16">
        <v>3096000</v>
      </c>
      <c r="K83" s="16">
        <v>3017706.5483870967</v>
      </c>
      <c r="M83" s="16">
        <v>21780846.548387095</v>
      </c>
      <c r="N83" s="16">
        <v>7717000</v>
      </c>
      <c r="O83" s="16">
        <v>6375000</v>
      </c>
      <c r="P83" s="16">
        <v>4875000</v>
      </c>
      <c r="Q83" s="16"/>
      <c r="R83" s="16"/>
      <c r="S83"/>
      <c r="T83" s="12">
        <v>18967000</v>
      </c>
      <c r="U83" s="313">
        <v>5727600</v>
      </c>
      <c r="V83" s="16"/>
      <c r="W83" s="123">
        <v>0</v>
      </c>
      <c r="X83" s="123">
        <v>456000</v>
      </c>
      <c r="Y83" s="12">
        <v>6183600</v>
      </c>
      <c r="Z83" s="12">
        <v>-3369753.4516129047</v>
      </c>
      <c r="AA83" s="13">
        <v>-0.15471177596916866</v>
      </c>
      <c r="AB83" s="13">
        <v>0.11328870489444787</v>
      </c>
      <c r="AC83" s="16">
        <v>8827.0053129454445</v>
      </c>
      <c r="AD83" s="13">
        <v>9.3587597991720256E-2</v>
      </c>
      <c r="AF83" s="1">
        <f t="shared" si="32"/>
        <v>275.60714285714283</v>
      </c>
      <c r="AG83" s="16"/>
      <c r="BC83" s="16"/>
      <c r="BD83" s="16"/>
      <c r="BE83" s="16"/>
      <c r="BF83" s="16"/>
      <c r="BG83" s="16"/>
      <c r="BJ83" s="278">
        <v>92026</v>
      </c>
      <c r="BL83">
        <v>9</v>
      </c>
      <c r="BN83">
        <v>9</v>
      </c>
      <c r="BZ83" s="278" t="s">
        <v>204</v>
      </c>
      <c r="CC83">
        <v>0</v>
      </c>
      <c r="CD83">
        <v>0</v>
      </c>
      <c r="CE83">
        <v>0</v>
      </c>
      <c r="CF83">
        <v>0</v>
      </c>
      <c r="CL83" s="11" t="s">
        <v>160</v>
      </c>
      <c r="CZ83">
        <v>228</v>
      </c>
      <c r="DA83">
        <v>242</v>
      </c>
      <c r="DB83">
        <v>244</v>
      </c>
      <c r="DC83">
        <v>253</v>
      </c>
      <c r="DD83">
        <v>245</v>
      </c>
      <c r="EM83">
        <v>0</v>
      </c>
      <c r="EN83">
        <v>0</v>
      </c>
      <c r="EO83">
        <v>0</v>
      </c>
      <c r="EP83">
        <v>253</v>
      </c>
      <c r="EY83" s="278" t="s">
        <v>171</v>
      </c>
      <c r="EZ83" s="16">
        <v>207</v>
      </c>
      <c r="FA83" s="16">
        <v>1615000</v>
      </c>
      <c r="FB83" s="16">
        <v>565250</v>
      </c>
      <c r="FC83" s="16">
        <v>375000</v>
      </c>
      <c r="FD83" s="16">
        <v>0</v>
      </c>
      <c r="FE83" s="16">
        <v>940250</v>
      </c>
      <c r="FF83" s="313">
        <v>525000</v>
      </c>
      <c r="FG83" s="16">
        <v>36000</v>
      </c>
      <c r="FH83" s="16">
        <v>100000</v>
      </c>
      <c r="FI83" s="16">
        <v>60000</v>
      </c>
      <c r="FJ83" s="16">
        <v>0</v>
      </c>
      <c r="FK83" s="12">
        <v>196000</v>
      </c>
      <c r="FL83" s="123">
        <v>0</v>
      </c>
      <c r="FM83" s="123">
        <v>0</v>
      </c>
      <c r="FN83" s="12">
        <v>525000</v>
      </c>
      <c r="FO83" s="12">
        <v>219250</v>
      </c>
      <c r="FP83" s="13">
        <v>0.23318266418505718</v>
      </c>
      <c r="FQ83" s="13">
        <v>2.2291021671826627E-2</v>
      </c>
      <c r="FR83" s="16">
        <v>7801.9323671497586</v>
      </c>
      <c r="FS83" s="13">
        <v>6.1919504643962849E-2</v>
      </c>
      <c r="GS83" s="26">
        <v>26</v>
      </c>
      <c r="GT83" s="16">
        <v>6188</v>
      </c>
      <c r="GU83">
        <v>20</v>
      </c>
      <c r="GV83" s="16">
        <v>2975000</v>
      </c>
      <c r="GW83" s="16">
        <v>0</v>
      </c>
      <c r="GX83" s="35">
        <v>17021760</v>
      </c>
      <c r="GY83" s="313">
        <v>4900000</v>
      </c>
      <c r="GZ83" s="332">
        <v>14117800</v>
      </c>
      <c r="HA83" s="35">
        <v>5700600</v>
      </c>
      <c r="HB83" s="35">
        <v>-2796640</v>
      </c>
      <c r="HC83" s="13">
        <v>-0.16429793393867614</v>
      </c>
      <c r="HD83" s="13">
        <v>0.1172916743790027</v>
      </c>
      <c r="HE83" s="16">
        <v>8730.7692307692305</v>
      </c>
      <c r="HF83" s="13">
        <v>8.6532410320956571E-2</v>
      </c>
      <c r="HG83" s="13"/>
      <c r="HH83" s="1">
        <f t="shared" si="28"/>
        <v>-1925000</v>
      </c>
      <c r="HI83" s="27">
        <f t="shared" si="33"/>
        <v>-0.6470588235294118</v>
      </c>
      <c r="HJ83" s="1">
        <f t="shared" si="34"/>
        <v>-1925000</v>
      </c>
      <c r="HK83" s="27">
        <f t="shared" si="35"/>
        <v>-0.6470588235294118</v>
      </c>
      <c r="JO83"/>
      <c r="JP83"/>
      <c r="JS83"/>
      <c r="JT83"/>
      <c r="JV83"/>
      <c r="JZ83"/>
      <c r="KA83"/>
      <c r="KN83" s="278" t="s">
        <v>164</v>
      </c>
      <c r="MI83">
        <v>0</v>
      </c>
      <c r="MJ83">
        <v>0</v>
      </c>
      <c r="MK83">
        <v>0</v>
      </c>
      <c r="ML83">
        <v>0</v>
      </c>
    </row>
    <row r="84" spans="1:350">
      <c r="A84" s="109"/>
      <c r="B84" s="27">
        <f t="shared" si="29"/>
        <v>0.11021760912570973</v>
      </c>
      <c r="C84" s="27">
        <f t="shared" si="30"/>
        <v>8.7030804408704365E-2</v>
      </c>
      <c r="D84" s="1">
        <f t="shared" si="31"/>
        <v>218548.38709677418</v>
      </c>
      <c r="E84" s="278">
        <v>5</v>
      </c>
      <c r="F84" s="16">
        <v>8805</v>
      </c>
      <c r="G84">
        <v>31</v>
      </c>
      <c r="H84" s="16">
        <v>77846000</v>
      </c>
      <c r="I84" s="16">
        <v>17904580</v>
      </c>
      <c r="J84" s="16">
        <v>3582000</v>
      </c>
      <c r="K84" s="16">
        <v>3152707.0057603684</v>
      </c>
      <c r="M84" s="16">
        <v>24639287.005760368</v>
      </c>
      <c r="N84" s="16">
        <v>8580000</v>
      </c>
      <c r="O84" s="16">
        <v>6775000</v>
      </c>
      <c r="P84" s="16"/>
      <c r="Q84" s="16"/>
      <c r="R84" s="16"/>
      <c r="S84"/>
      <c r="T84" s="12">
        <v>15355000</v>
      </c>
      <c r="U84" s="313">
        <v>6626699.9999999991</v>
      </c>
      <c r="V84" s="16"/>
      <c r="W84" s="123">
        <v>0</v>
      </c>
      <c r="X84" s="123">
        <v>456000</v>
      </c>
      <c r="Y84" s="12">
        <v>7082699.9999999991</v>
      </c>
      <c r="Z84" s="12">
        <v>2201587.0057603689</v>
      </c>
      <c r="AA84" s="13">
        <v>8.9352707537586798E-2</v>
      </c>
      <c r="AB84" s="13">
        <v>0.11021760912570973</v>
      </c>
      <c r="AC84" s="16">
        <v>8841.1130039750151</v>
      </c>
      <c r="AD84" s="13">
        <v>8.7030804408704365E-2</v>
      </c>
      <c r="AF84" s="1">
        <f t="shared" si="32"/>
        <v>284.03225806451616</v>
      </c>
      <c r="AG84" s="16"/>
      <c r="BC84" s="16"/>
      <c r="BD84" s="16"/>
      <c r="BE84" s="16"/>
      <c r="BF84" s="16"/>
      <c r="BG84" s="16"/>
      <c r="BJ84" s="278">
        <v>142026</v>
      </c>
      <c r="BL84">
        <v>11</v>
      </c>
      <c r="BM84">
        <v>11</v>
      </c>
      <c r="BN84">
        <v>22</v>
      </c>
      <c r="BZ84" s="26" t="s">
        <v>171</v>
      </c>
      <c r="CC84">
        <v>0</v>
      </c>
      <c r="CD84">
        <v>0</v>
      </c>
      <c r="CE84">
        <v>0</v>
      </c>
      <c r="CF84">
        <v>0</v>
      </c>
      <c r="CL84" s="26" t="s">
        <v>34</v>
      </c>
      <c r="EM84">
        <v>0</v>
      </c>
      <c r="EN84">
        <v>0</v>
      </c>
      <c r="EO84">
        <v>0</v>
      </c>
      <c r="EP84">
        <v>0</v>
      </c>
      <c r="EY84" s="337" t="s">
        <v>156</v>
      </c>
      <c r="EZ84" s="16">
        <v>207</v>
      </c>
      <c r="FA84" s="16">
        <v>1615000</v>
      </c>
      <c r="FB84" s="16">
        <v>565250</v>
      </c>
      <c r="FC84" s="16">
        <v>375000</v>
      </c>
      <c r="FD84" s="16">
        <v>0</v>
      </c>
      <c r="FE84" s="16">
        <v>940250</v>
      </c>
      <c r="FF84" s="313">
        <v>525000</v>
      </c>
      <c r="FG84" s="16">
        <v>36000</v>
      </c>
      <c r="FH84" s="16">
        <v>100000</v>
      </c>
      <c r="FI84" s="16">
        <v>60000</v>
      </c>
      <c r="FJ84" s="16">
        <v>0</v>
      </c>
      <c r="FK84" s="12">
        <v>196000</v>
      </c>
      <c r="FL84" s="123">
        <v>0</v>
      </c>
      <c r="FM84" s="123">
        <v>0</v>
      </c>
      <c r="FN84" s="12">
        <v>525000</v>
      </c>
      <c r="FO84" s="12">
        <v>219250</v>
      </c>
      <c r="FP84" s="13">
        <v>0.23318266418505718</v>
      </c>
      <c r="FQ84" s="13">
        <v>2.2291021671826627E-2</v>
      </c>
      <c r="FR84" s="16">
        <v>7801.9323671497586</v>
      </c>
      <c r="FS84" s="13">
        <v>6.1919504643962849E-2</v>
      </c>
      <c r="GS84" s="26">
        <v>27</v>
      </c>
      <c r="GT84" s="16">
        <v>5188</v>
      </c>
      <c r="GU84">
        <v>20</v>
      </c>
      <c r="GV84" s="16">
        <v>2924999.9999999995</v>
      </c>
      <c r="GW84" s="16">
        <v>0</v>
      </c>
      <c r="GX84" s="35">
        <v>14793480</v>
      </c>
      <c r="GY84" s="313">
        <v>4900000</v>
      </c>
      <c r="GZ84" s="332">
        <v>9335600</v>
      </c>
      <c r="HA84" s="35">
        <v>5475600</v>
      </c>
      <c r="HB84" s="35">
        <v>-17719.999999998603</v>
      </c>
      <c r="HC84" s="13">
        <v>-1.1978249877647859E-3</v>
      </c>
      <c r="HD84" s="13">
        <v>0.1099851033999299</v>
      </c>
      <c r="HE84" s="16">
        <v>8798.7663839629913</v>
      </c>
      <c r="HF84" s="13">
        <v>9.4527690150718546E-2</v>
      </c>
      <c r="HG84" s="13"/>
      <c r="HH84" s="1">
        <f>GV84-GY84</f>
        <v>-1975000.0000000005</v>
      </c>
      <c r="HI84" s="27">
        <f>HH84/GV84</f>
        <v>-0.67521367521367548</v>
      </c>
      <c r="HJ84" s="1">
        <f>GV84+GW84-GY84</f>
        <v>-1975000.0000000005</v>
      </c>
      <c r="HK84" s="27">
        <f>HJ84/(GV84+GW84)</f>
        <v>-0.67521367521367548</v>
      </c>
      <c r="JO84"/>
      <c r="JP84"/>
      <c r="JS84"/>
      <c r="JT84"/>
      <c r="JV84"/>
      <c r="JZ84"/>
      <c r="KA84"/>
      <c r="KN84" s="278" t="s">
        <v>165</v>
      </c>
      <c r="MI84">
        <v>0</v>
      </c>
      <c r="MJ84">
        <v>0</v>
      </c>
      <c r="MK84">
        <v>0</v>
      </c>
      <c r="ML84">
        <v>0</v>
      </c>
    </row>
    <row r="85" spans="1:350">
      <c r="A85" s="109"/>
      <c r="B85" s="27">
        <f t="shared" si="29"/>
        <v>0.11260448822448059</v>
      </c>
      <c r="C85" s="27">
        <f t="shared" si="30"/>
        <v>8.1220445585191869E-2</v>
      </c>
      <c r="D85" s="1">
        <f t="shared" si="31"/>
        <v>219531.25</v>
      </c>
      <c r="E85" s="278">
        <v>6</v>
      </c>
      <c r="F85" s="16">
        <v>9742</v>
      </c>
      <c r="G85">
        <v>32</v>
      </c>
      <c r="H85" s="16">
        <v>86493000</v>
      </c>
      <c r="I85" s="16">
        <v>20099470</v>
      </c>
      <c r="J85" s="16">
        <v>3834000</v>
      </c>
      <c r="K85" s="16">
        <v>3962709.75</v>
      </c>
      <c r="M85" s="16">
        <v>27896179.75</v>
      </c>
      <c r="N85" s="16">
        <v>9739500</v>
      </c>
      <c r="O85" s="16">
        <v>7025000</v>
      </c>
      <c r="P85" s="16"/>
      <c r="Q85" s="16"/>
      <c r="R85" s="16"/>
      <c r="S85"/>
      <c r="T85" s="12">
        <v>16764500</v>
      </c>
      <c r="U85" s="313">
        <v>7840000</v>
      </c>
      <c r="V85" s="16"/>
      <c r="W85" s="123">
        <v>0</v>
      </c>
      <c r="X85" s="123">
        <v>456000</v>
      </c>
      <c r="Y85" s="12">
        <v>8296000</v>
      </c>
      <c r="Z85" s="12">
        <v>2835679.75</v>
      </c>
      <c r="AA85" s="13">
        <v>0.10165118576854595</v>
      </c>
      <c r="AB85" s="13">
        <v>0.11260448822448059</v>
      </c>
      <c r="AC85" s="16">
        <v>8878.3617327037573</v>
      </c>
      <c r="AD85" s="13">
        <v>8.1220445585191869E-2</v>
      </c>
      <c r="AF85" s="1">
        <f t="shared" si="32"/>
        <v>304.4375</v>
      </c>
      <c r="AG85" s="16"/>
      <c r="BC85" s="16"/>
      <c r="BD85" s="16"/>
      <c r="BE85" s="16"/>
      <c r="BF85" s="16"/>
      <c r="BG85" s="16"/>
      <c r="BJ85" s="26" t="s">
        <v>256</v>
      </c>
      <c r="BK85">
        <v>20</v>
      </c>
      <c r="BL85">
        <v>14</v>
      </c>
      <c r="BM85">
        <v>10</v>
      </c>
      <c r="BN85">
        <v>44</v>
      </c>
      <c r="BZ85" s="278" t="s">
        <v>34</v>
      </c>
      <c r="CC85">
        <v>0</v>
      </c>
      <c r="CD85">
        <v>0</v>
      </c>
      <c r="CE85">
        <v>0</v>
      </c>
      <c r="CF85">
        <v>0</v>
      </c>
      <c r="CL85" s="26" t="s">
        <v>170</v>
      </c>
      <c r="CZ85">
        <v>7</v>
      </c>
      <c r="DA85">
        <v>7</v>
      </c>
      <c r="DB85">
        <v>9</v>
      </c>
      <c r="DC85">
        <v>6</v>
      </c>
      <c r="EM85">
        <v>0</v>
      </c>
      <c r="EN85">
        <v>0</v>
      </c>
      <c r="EO85">
        <v>0</v>
      </c>
      <c r="EP85">
        <v>9</v>
      </c>
      <c r="EY85" s="278" t="s">
        <v>276</v>
      </c>
      <c r="EZ85" s="16">
        <v>755</v>
      </c>
      <c r="FA85" s="16">
        <v>3464000</v>
      </c>
      <c r="FB85" s="16">
        <v>3464000</v>
      </c>
      <c r="FC85" s="16">
        <v>0</v>
      </c>
      <c r="FD85" s="16">
        <v>0</v>
      </c>
      <c r="FE85" s="16">
        <v>3464000</v>
      </c>
      <c r="FF85" s="313">
        <v>0</v>
      </c>
      <c r="FG85" s="16">
        <v>692800</v>
      </c>
      <c r="FH85" s="16">
        <v>2880000</v>
      </c>
      <c r="FI85" s="16">
        <v>0</v>
      </c>
      <c r="FJ85" s="16">
        <v>0</v>
      </c>
      <c r="FK85" s="12">
        <v>3572800</v>
      </c>
      <c r="FL85" s="123">
        <v>4400000</v>
      </c>
      <c r="FM85" s="123">
        <v>1165000</v>
      </c>
      <c r="FN85" s="12">
        <v>5565000</v>
      </c>
      <c r="FO85" s="12">
        <v>-5673800</v>
      </c>
      <c r="FP85" s="13">
        <v>-1.6379330254041571</v>
      </c>
      <c r="FQ85" s="13">
        <v>0.2</v>
      </c>
      <c r="FR85" s="16">
        <v>4588.0794701986752</v>
      </c>
      <c r="FS85" s="13">
        <v>0.8314087759815243</v>
      </c>
      <c r="GS85" s="26">
        <v>28</v>
      </c>
      <c r="GT85" s="16">
        <v>6268</v>
      </c>
      <c r="GU85">
        <v>19</v>
      </c>
      <c r="GV85" s="16">
        <v>2850000</v>
      </c>
      <c r="GW85" s="16">
        <v>0</v>
      </c>
      <c r="GX85" s="35">
        <v>17185880</v>
      </c>
      <c r="GY85" s="313">
        <v>4655000</v>
      </c>
      <c r="GZ85" s="332">
        <v>11479085</v>
      </c>
      <c r="HA85" s="35">
        <v>5230600</v>
      </c>
      <c r="HB85" s="35">
        <v>476195</v>
      </c>
      <c r="HC85" s="13">
        <v>2.7708502561405061E-2</v>
      </c>
      <c r="HD85" s="13">
        <v>0.11673591715332439</v>
      </c>
      <c r="HE85" s="16">
        <v>8796.745373324824</v>
      </c>
      <c r="HF85" s="13">
        <v>9.145235590699699E-2</v>
      </c>
      <c r="HG85" s="85"/>
      <c r="HH85" s="1">
        <f t="shared" ref="HH85:HH100" si="36">GV85-GY85</f>
        <v>-1805000</v>
      </c>
      <c r="HI85" s="27">
        <f t="shared" ref="HI85:HI100" si="37">HH85/GV85</f>
        <v>-0.6333333333333333</v>
      </c>
      <c r="HJ85" s="1">
        <f t="shared" ref="HJ85:HJ100" si="38">GV85+GW85-GY85</f>
        <v>-1805000</v>
      </c>
      <c r="HK85" s="27">
        <f t="shared" ref="HK85:HK100" si="39">HJ85/(GV85+GW85)</f>
        <v>-0.6333333333333333</v>
      </c>
      <c r="JO85"/>
      <c r="JP85"/>
      <c r="JS85"/>
      <c r="JT85"/>
      <c r="JV85"/>
      <c r="JZ85"/>
      <c r="KA85"/>
      <c r="KN85" s="278" t="s">
        <v>36</v>
      </c>
      <c r="MI85">
        <v>0</v>
      </c>
      <c r="MJ85">
        <v>0</v>
      </c>
      <c r="MK85">
        <v>0</v>
      </c>
      <c r="ML85">
        <v>0</v>
      </c>
    </row>
    <row r="86" spans="1:350">
      <c r="A86" s="109"/>
      <c r="B86" s="27">
        <f t="shared" si="29"/>
        <v>0.11326571094646323</v>
      </c>
      <c r="C86" s="27">
        <f t="shared" si="30"/>
        <v>8.7655340274278112E-2</v>
      </c>
      <c r="D86" s="1">
        <f t="shared" si="31"/>
        <v>263709.67741935485</v>
      </c>
      <c r="E86" s="278">
        <v>7</v>
      </c>
      <c r="F86" s="16">
        <v>10578</v>
      </c>
      <c r="G86">
        <v>31</v>
      </c>
      <c r="H86" s="16">
        <v>93263000</v>
      </c>
      <c r="I86" s="16">
        <v>21450490</v>
      </c>
      <c r="J86" s="16">
        <v>3852000</v>
      </c>
      <c r="K86" s="16">
        <v>3962709.75</v>
      </c>
      <c r="M86" s="16">
        <v>29265199.75</v>
      </c>
      <c r="N86" s="16">
        <v>10563500</v>
      </c>
      <c r="O86" s="16">
        <v>8175000</v>
      </c>
      <c r="P86" s="16">
        <v>0</v>
      </c>
      <c r="Q86" s="16"/>
      <c r="R86" s="16">
        <v>0</v>
      </c>
      <c r="S86"/>
      <c r="T86" s="12">
        <v>18738500</v>
      </c>
      <c r="U86" s="313">
        <v>7490000</v>
      </c>
      <c r="V86" s="16"/>
      <c r="W86" s="123">
        <v>0</v>
      </c>
      <c r="X86" s="123">
        <v>456000</v>
      </c>
      <c r="Y86" s="12">
        <v>7946000</v>
      </c>
      <c r="Z86" s="12">
        <v>2580699.75</v>
      </c>
      <c r="AA86" s="13">
        <v>8.8183226905874781E-2</v>
      </c>
      <c r="AB86" s="13">
        <v>0.11326571094646323</v>
      </c>
      <c r="AC86" s="16">
        <v>8816.6950274153896</v>
      </c>
      <c r="AD86" s="13">
        <v>8.7655340274278112E-2</v>
      </c>
      <c r="AF86" s="1">
        <f t="shared" si="32"/>
        <v>341.22580645161293</v>
      </c>
      <c r="AG86" s="16"/>
      <c r="BC86" s="81"/>
      <c r="BD86" s="81"/>
      <c r="BE86" s="81"/>
      <c r="BF86" s="81"/>
      <c r="BG86" s="81"/>
      <c r="BJ86" s="278">
        <v>62026</v>
      </c>
      <c r="BK86">
        <v>20</v>
      </c>
      <c r="BN86">
        <v>20</v>
      </c>
      <c r="BZ86" s="278" t="s">
        <v>170</v>
      </c>
      <c r="CC86">
        <v>0</v>
      </c>
      <c r="CD86">
        <v>0</v>
      </c>
      <c r="CE86">
        <v>0</v>
      </c>
      <c r="CF86">
        <v>0</v>
      </c>
      <c r="CL86" s="26" t="s">
        <v>27</v>
      </c>
      <c r="CZ86">
        <v>5</v>
      </c>
      <c r="DA86">
        <v>3</v>
      </c>
      <c r="DB86">
        <v>4</v>
      </c>
      <c r="DC86">
        <v>4</v>
      </c>
      <c r="EM86">
        <v>0</v>
      </c>
      <c r="EN86">
        <v>0</v>
      </c>
      <c r="EO86">
        <v>0</v>
      </c>
      <c r="EP86">
        <v>5</v>
      </c>
      <c r="EY86" s="337" t="s">
        <v>163</v>
      </c>
      <c r="EZ86" s="16">
        <v>245</v>
      </c>
      <c r="FA86" s="16">
        <v>1125000</v>
      </c>
      <c r="FB86" s="16">
        <v>1125000</v>
      </c>
      <c r="FC86" s="16">
        <v>0</v>
      </c>
      <c r="FD86" s="16">
        <v>0</v>
      </c>
      <c r="FE86" s="16">
        <v>1125000</v>
      </c>
      <c r="FF86" s="313">
        <v>0</v>
      </c>
      <c r="FG86" s="16">
        <v>225000</v>
      </c>
      <c r="FH86" s="16">
        <v>600000</v>
      </c>
      <c r="FI86" s="16">
        <v>0</v>
      </c>
      <c r="FJ86" s="16">
        <v>0</v>
      </c>
      <c r="FK86" s="12">
        <v>825000</v>
      </c>
      <c r="FL86" s="123">
        <v>2100000</v>
      </c>
      <c r="FM86" s="123">
        <v>460000</v>
      </c>
      <c r="FN86" s="12">
        <v>2560000</v>
      </c>
      <c r="FO86" s="12">
        <v>-2260000</v>
      </c>
      <c r="FP86" s="13">
        <v>-2.0088888888888889</v>
      </c>
      <c r="FQ86" s="13">
        <v>0.2</v>
      </c>
      <c r="FR86" s="16">
        <v>4591.8367346938776</v>
      </c>
      <c r="FS86" s="13">
        <v>0.53333333333333333</v>
      </c>
      <c r="GS86" s="26">
        <v>29</v>
      </c>
      <c r="GT86" s="16">
        <v>6688</v>
      </c>
      <c r="GU86">
        <v>21</v>
      </c>
      <c r="GV86" s="16">
        <v>3025000</v>
      </c>
      <c r="GW86" s="16">
        <v>0</v>
      </c>
      <c r="GX86" s="35">
        <v>18269320</v>
      </c>
      <c r="GY86" s="313">
        <v>5145000</v>
      </c>
      <c r="GZ86" s="332">
        <v>12290105</v>
      </c>
      <c r="HA86" s="35">
        <v>6020600</v>
      </c>
      <c r="HB86" s="35">
        <v>-41385</v>
      </c>
      <c r="HC86" s="13">
        <v>-2.265273146455369E-3</v>
      </c>
      <c r="HD86" s="13">
        <v>0.11785552258152544</v>
      </c>
      <c r="HE86" s="16">
        <v>8766.7464114832528</v>
      </c>
      <c r="HF86" s="13">
        <v>9.1758766543866832E-2</v>
      </c>
      <c r="HG86" s="13"/>
      <c r="HH86" s="1">
        <f t="shared" si="36"/>
        <v>-2120000</v>
      </c>
      <c r="HI86" s="27">
        <f t="shared" si="37"/>
        <v>-0.70082644628099178</v>
      </c>
      <c r="HJ86" s="1">
        <f t="shared" si="38"/>
        <v>-2120000</v>
      </c>
      <c r="HK86" s="27">
        <f t="shared" si="39"/>
        <v>-0.70082644628099178</v>
      </c>
      <c r="JO86"/>
      <c r="JP86"/>
      <c r="JS86"/>
      <c r="JT86"/>
      <c r="JV86"/>
      <c r="JZ86"/>
      <c r="KA86"/>
      <c r="KN86" s="278" t="s">
        <v>166</v>
      </c>
      <c r="MI86">
        <v>0</v>
      </c>
      <c r="MJ86">
        <v>0</v>
      </c>
      <c r="MK86">
        <v>0</v>
      </c>
      <c r="ML86">
        <v>0</v>
      </c>
    </row>
    <row r="87" spans="1:350">
      <c r="A87" s="109"/>
      <c r="B87" s="27">
        <f t="shared" si="29"/>
        <v>0.11359693178705141</v>
      </c>
      <c r="C87" s="27">
        <f t="shared" si="30"/>
        <v>8.6464706419505072E-2</v>
      </c>
      <c r="D87" s="1">
        <f t="shared" si="31"/>
        <v>222794.11764705883</v>
      </c>
      <c r="E87" s="278">
        <v>8</v>
      </c>
      <c r="F87" s="16">
        <v>9954</v>
      </c>
      <c r="G87">
        <v>34</v>
      </c>
      <c r="H87" s="16">
        <v>87608000</v>
      </c>
      <c r="I87" s="16">
        <v>20149840</v>
      </c>
      <c r="J87" s="16">
        <v>4014000</v>
      </c>
      <c r="K87" s="16">
        <v>3962709.75</v>
      </c>
      <c r="M87" s="16">
        <v>28126549.75</v>
      </c>
      <c r="N87" s="16">
        <v>9952000</v>
      </c>
      <c r="O87" s="16">
        <v>7575000</v>
      </c>
      <c r="P87" s="16">
        <v>7125000</v>
      </c>
      <c r="Q87" s="16"/>
      <c r="R87" s="16">
        <v>900000</v>
      </c>
      <c r="S87"/>
      <c r="T87" s="12">
        <v>25552000</v>
      </c>
      <c r="U87" s="313">
        <v>7805000</v>
      </c>
      <c r="V87" s="16">
        <v>0</v>
      </c>
      <c r="W87" s="123"/>
      <c r="X87" s="123">
        <v>456000</v>
      </c>
      <c r="Y87" s="12">
        <v>8261000</v>
      </c>
      <c r="Z87" s="12">
        <v>-5686450.25</v>
      </c>
      <c r="AA87" s="13">
        <v>-0.20217375755446151</v>
      </c>
      <c r="AB87" s="13">
        <v>0.11359693178705141</v>
      </c>
      <c r="AC87" s="16">
        <v>8801.2859152099663</v>
      </c>
      <c r="AD87" s="13">
        <v>8.6464706419505072E-2</v>
      </c>
      <c r="AF87" s="1">
        <f t="shared" si="32"/>
        <v>292.76470588235293</v>
      </c>
      <c r="AG87" s="16"/>
      <c r="BC87" s="16"/>
      <c r="BD87" s="16"/>
      <c r="BE87" s="16"/>
      <c r="BF87" s="16"/>
      <c r="BG87" s="16"/>
      <c r="BJ87" s="278">
        <v>102026</v>
      </c>
      <c r="BL87">
        <v>14</v>
      </c>
      <c r="BN87">
        <v>14</v>
      </c>
      <c r="BZ87" s="278" t="s">
        <v>27</v>
      </c>
      <c r="CC87">
        <v>0</v>
      </c>
      <c r="CD87">
        <v>0</v>
      </c>
      <c r="CE87">
        <v>0</v>
      </c>
      <c r="CF87">
        <v>0</v>
      </c>
      <c r="CL87" s="26" t="s">
        <v>33</v>
      </c>
      <c r="EM87">
        <v>0</v>
      </c>
      <c r="EN87">
        <v>0</v>
      </c>
      <c r="EO87">
        <v>0</v>
      </c>
      <c r="EP87">
        <v>0</v>
      </c>
      <c r="EY87" s="337" t="s">
        <v>164</v>
      </c>
      <c r="EZ87" s="16">
        <v>510</v>
      </c>
      <c r="FA87" s="16">
        <v>2339000</v>
      </c>
      <c r="FB87" s="16">
        <v>2339000</v>
      </c>
      <c r="FC87" s="16">
        <v>0</v>
      </c>
      <c r="FD87" s="16">
        <v>0</v>
      </c>
      <c r="FE87" s="16">
        <v>2339000</v>
      </c>
      <c r="FF87" s="313">
        <v>0</v>
      </c>
      <c r="FG87" s="16">
        <v>467800</v>
      </c>
      <c r="FH87" s="16">
        <v>2280000</v>
      </c>
      <c r="FI87" s="16">
        <v>0</v>
      </c>
      <c r="FJ87" s="16">
        <v>0</v>
      </c>
      <c r="FK87" s="12">
        <v>2747800</v>
      </c>
      <c r="FL87" s="123">
        <v>2300000</v>
      </c>
      <c r="FM87" s="123">
        <v>705000</v>
      </c>
      <c r="FN87" s="12">
        <v>3005000</v>
      </c>
      <c r="FO87" s="12">
        <v>-3413800</v>
      </c>
      <c r="FP87" s="13">
        <v>-1.4595126122274475</v>
      </c>
      <c r="FQ87" s="13">
        <v>0.2</v>
      </c>
      <c r="FR87" s="16">
        <v>4586.2745098039213</v>
      </c>
      <c r="FS87" s="13">
        <v>0.97477554510474562</v>
      </c>
      <c r="GS87" s="26">
        <v>30</v>
      </c>
      <c r="GT87" s="16">
        <v>6385</v>
      </c>
      <c r="GU87">
        <v>23</v>
      </c>
      <c r="GV87" s="16">
        <v>3325000</v>
      </c>
      <c r="GW87" s="16">
        <v>0</v>
      </c>
      <c r="GX87" s="35">
        <v>17868880</v>
      </c>
      <c r="GY87" s="313">
        <v>5635000</v>
      </c>
      <c r="GZ87" s="332">
        <v>12411790</v>
      </c>
      <c r="HA87" s="35">
        <v>6302006</v>
      </c>
      <c r="HB87" s="35">
        <v>-844916</v>
      </c>
      <c r="HC87" s="13">
        <v>-4.7284217029830634E-2</v>
      </c>
      <c r="HD87" s="13">
        <v>0.11055615145339483</v>
      </c>
      <c r="HE87" s="16">
        <v>8760.8457321848073</v>
      </c>
      <c r="HF87" s="13">
        <v>9.881475919768315E-2</v>
      </c>
      <c r="HG87" s="85"/>
      <c r="HH87" s="1">
        <f t="shared" si="36"/>
        <v>-2310000</v>
      </c>
      <c r="HI87" s="27">
        <f t="shared" si="37"/>
        <v>-0.69473684210526321</v>
      </c>
      <c r="HJ87" s="1">
        <f t="shared" si="38"/>
        <v>-2310000</v>
      </c>
      <c r="HK87" s="27">
        <f t="shared" si="39"/>
        <v>-0.69473684210526321</v>
      </c>
      <c r="JO87"/>
      <c r="JP87"/>
      <c r="JS87"/>
      <c r="JT87"/>
      <c r="JV87"/>
      <c r="JZ87"/>
      <c r="KA87"/>
      <c r="KN87" s="26" t="s">
        <v>277</v>
      </c>
      <c r="MI87">
        <v>0</v>
      </c>
      <c r="MJ87">
        <v>0</v>
      </c>
      <c r="MK87">
        <v>0</v>
      </c>
      <c r="ML87">
        <v>0</v>
      </c>
    </row>
    <row r="88" spans="1:350">
      <c r="A88" s="109"/>
      <c r="B88" s="27">
        <f t="shared" si="29"/>
        <v>0.11326324409282422</v>
      </c>
      <c r="C88" s="27">
        <f t="shared" si="30"/>
        <v>8.7171291587970365E-2</v>
      </c>
      <c r="D88" s="1">
        <f t="shared" si="31"/>
        <v>200000</v>
      </c>
      <c r="E88" s="278">
        <v>9</v>
      </c>
      <c r="F88" s="16">
        <v>8576</v>
      </c>
      <c r="G88">
        <v>33</v>
      </c>
      <c r="H88" s="16">
        <v>75713000</v>
      </c>
      <c r="I88" s="16">
        <v>17413990</v>
      </c>
      <c r="J88" s="16">
        <v>4158000</v>
      </c>
      <c r="K88" s="16">
        <v>3815272.2603686634</v>
      </c>
      <c r="M88" s="16">
        <v>25387262.260368664</v>
      </c>
      <c r="N88" s="16">
        <v>8575500</v>
      </c>
      <c r="O88" s="16">
        <v>6600000</v>
      </c>
      <c r="P88" s="16">
        <v>0</v>
      </c>
      <c r="Q88" s="16"/>
      <c r="R88" s="16">
        <v>0</v>
      </c>
      <c r="S88"/>
      <c r="T88" s="12">
        <v>15175500</v>
      </c>
      <c r="U88" s="313">
        <v>4752000</v>
      </c>
      <c r="V88" s="16"/>
      <c r="W88" s="123">
        <v>0</v>
      </c>
      <c r="X88" s="123">
        <v>456000</v>
      </c>
      <c r="Y88" s="12">
        <v>5208000</v>
      </c>
      <c r="Z88" s="12">
        <v>5003762.2603686638</v>
      </c>
      <c r="AA88" s="13">
        <v>0.19709735571526732</v>
      </c>
      <c r="AB88" s="13">
        <v>0.11326324409282422</v>
      </c>
      <c r="AC88" s="16">
        <v>8828.4748134328365</v>
      </c>
      <c r="AD88" s="13">
        <v>8.7171291587970365E-2</v>
      </c>
      <c r="AF88" s="1">
        <f t="shared" si="32"/>
        <v>259.87878787878788</v>
      </c>
      <c r="AG88" s="16"/>
      <c r="BC88" s="35"/>
      <c r="BD88" s="35"/>
      <c r="BE88" s="35"/>
      <c r="BF88" s="35"/>
      <c r="BG88" s="35"/>
      <c r="BJ88" s="278">
        <v>152026</v>
      </c>
      <c r="BM88">
        <v>10</v>
      </c>
      <c r="BN88">
        <v>10</v>
      </c>
      <c r="BZ88" s="278" t="s">
        <v>33</v>
      </c>
      <c r="CC88">
        <v>0</v>
      </c>
      <c r="CD88">
        <v>0</v>
      </c>
      <c r="CE88">
        <v>0</v>
      </c>
      <c r="CF88">
        <v>0</v>
      </c>
      <c r="CL88" s="26" t="s">
        <v>171</v>
      </c>
      <c r="CZ88">
        <v>7</v>
      </c>
      <c r="DA88">
        <v>4</v>
      </c>
      <c r="DB88">
        <v>5</v>
      </c>
      <c r="DC88">
        <v>2</v>
      </c>
      <c r="EM88">
        <v>0</v>
      </c>
      <c r="EN88">
        <v>0</v>
      </c>
      <c r="EO88">
        <v>0</v>
      </c>
      <c r="EP88">
        <v>7</v>
      </c>
      <c r="EY88" s="278" t="s">
        <v>277</v>
      </c>
      <c r="EZ88" s="16">
        <v>111</v>
      </c>
      <c r="FA88" s="16">
        <v>270000</v>
      </c>
      <c r="FB88" s="16">
        <v>270000</v>
      </c>
      <c r="FC88" s="16">
        <v>50000</v>
      </c>
      <c r="FD88" s="16">
        <v>0</v>
      </c>
      <c r="FE88" s="16">
        <v>320000</v>
      </c>
      <c r="FF88" s="313">
        <v>70000</v>
      </c>
      <c r="FG88" s="16">
        <v>55800</v>
      </c>
      <c r="FH88" s="16">
        <v>90000</v>
      </c>
      <c r="FI88" s="16">
        <v>0</v>
      </c>
      <c r="FJ88" s="16">
        <v>0</v>
      </c>
      <c r="FK88" s="12">
        <v>145800</v>
      </c>
      <c r="FL88" s="123">
        <v>0</v>
      </c>
      <c r="FM88" s="123">
        <v>230000</v>
      </c>
      <c r="FN88" s="12">
        <v>300000</v>
      </c>
      <c r="FO88" s="12">
        <v>-125800</v>
      </c>
      <c r="FP88" s="13">
        <v>-0.393125</v>
      </c>
      <c r="FQ88" s="13">
        <v>0.20666666666666667</v>
      </c>
      <c r="FR88" s="16">
        <v>2432.4324324324325</v>
      </c>
      <c r="FS88" s="13">
        <v>0.33333333333333331</v>
      </c>
      <c r="GS88" s="26">
        <v>31</v>
      </c>
      <c r="GT88" s="16">
        <v>5655</v>
      </c>
      <c r="GU88">
        <v>22</v>
      </c>
      <c r="GV88" s="16">
        <v>3125000</v>
      </c>
      <c r="GW88" s="16">
        <v>0</v>
      </c>
      <c r="GX88" s="35">
        <v>15996560</v>
      </c>
      <c r="GY88" s="313">
        <v>5390000</v>
      </c>
      <c r="GZ88" s="332">
        <v>10569405</v>
      </c>
      <c r="HA88" s="35">
        <v>6340600</v>
      </c>
      <c r="HB88" s="35">
        <v>-913444.99999999907</v>
      </c>
      <c r="HC88" s="13">
        <v>-5.7102589556754645E-2</v>
      </c>
      <c r="HD88" s="13">
        <v>0.11325707994990507</v>
      </c>
      <c r="HE88" s="16">
        <v>8754.3766578249342</v>
      </c>
      <c r="HF88" s="13">
        <v>0.10024037490405203</v>
      </c>
      <c r="HG88" s="13"/>
      <c r="HH88" s="1">
        <f t="shared" si="36"/>
        <v>-2265000</v>
      </c>
      <c r="HI88" s="27">
        <f t="shared" si="37"/>
        <v>-0.7248</v>
      </c>
      <c r="HJ88" s="1">
        <f t="shared" si="38"/>
        <v>-2265000</v>
      </c>
      <c r="HK88" s="27">
        <f t="shared" si="39"/>
        <v>-0.7248</v>
      </c>
      <c r="JO88"/>
      <c r="JP88"/>
      <c r="JS88"/>
      <c r="JT88"/>
      <c r="JV88"/>
      <c r="JZ88"/>
      <c r="KA88"/>
      <c r="KN88" s="278" t="s">
        <v>21</v>
      </c>
      <c r="MI88">
        <v>0</v>
      </c>
      <c r="MJ88">
        <v>0</v>
      </c>
      <c r="MK88">
        <v>0</v>
      </c>
      <c r="ML88">
        <v>0</v>
      </c>
    </row>
    <row r="89" spans="1:350">
      <c r="A89" s="109"/>
      <c r="B89" s="27">
        <f t="shared" si="29"/>
        <v>0.1130429244682206</v>
      </c>
      <c r="C89" s="27">
        <f t="shared" si="30"/>
        <v>0.11622723219971978</v>
      </c>
      <c r="D89" s="1">
        <f t="shared" si="31"/>
        <v>125862.06896551725</v>
      </c>
      <c r="E89" s="278">
        <v>10</v>
      </c>
      <c r="F89" s="16">
        <v>3550</v>
      </c>
      <c r="G89">
        <v>29</v>
      </c>
      <c r="H89" s="16">
        <v>31404000</v>
      </c>
      <c r="I89" s="16">
        <v>7222920</v>
      </c>
      <c r="J89" s="16">
        <v>3312000</v>
      </c>
      <c r="K89" s="16">
        <v>2930647.3225806449</v>
      </c>
      <c r="M89" s="16">
        <v>13465567.322580645</v>
      </c>
      <c r="N89" s="16">
        <v>3550000</v>
      </c>
      <c r="O89" s="16">
        <v>3650000</v>
      </c>
      <c r="P89" s="16">
        <v>0</v>
      </c>
      <c r="Q89" s="16"/>
      <c r="R89" s="16">
        <v>0</v>
      </c>
      <c r="S89"/>
      <c r="T89" s="12">
        <v>7200000</v>
      </c>
      <c r="U89" s="313">
        <v>6440000</v>
      </c>
      <c r="V89" s="16"/>
      <c r="W89" s="123">
        <v>0</v>
      </c>
      <c r="X89" s="123">
        <v>411871</v>
      </c>
      <c r="Y89" s="12">
        <v>6851871</v>
      </c>
      <c r="Z89" s="12">
        <v>-586303.67741935514</v>
      </c>
      <c r="AA89" s="13">
        <v>-4.3540956231095607E-2</v>
      </c>
      <c r="AB89" s="13">
        <v>0.1130429244682206</v>
      </c>
      <c r="AC89" s="16">
        <v>8846.1971830985913</v>
      </c>
      <c r="AD89" s="13">
        <v>0.11622723219971978</v>
      </c>
      <c r="AF89" s="1">
        <f t="shared" si="32"/>
        <v>122.41379310344827</v>
      </c>
      <c r="AG89" s="16"/>
      <c r="BC89" s="35"/>
      <c r="BD89" s="35"/>
      <c r="BE89" s="35"/>
      <c r="BF89" s="35"/>
      <c r="BG89" s="35"/>
      <c r="BJ89" s="26" t="s">
        <v>278</v>
      </c>
      <c r="BK89">
        <v>18</v>
      </c>
      <c r="BL89">
        <v>13</v>
      </c>
      <c r="BN89">
        <v>31</v>
      </c>
      <c r="BZ89" s="278" t="s">
        <v>171</v>
      </c>
      <c r="CC89">
        <v>0</v>
      </c>
      <c r="CD89">
        <v>0</v>
      </c>
      <c r="CE89">
        <v>0</v>
      </c>
      <c r="CF89">
        <v>0</v>
      </c>
      <c r="CL89" s="26" t="s">
        <v>276</v>
      </c>
      <c r="EM89">
        <v>0</v>
      </c>
      <c r="EN89">
        <v>0</v>
      </c>
      <c r="EO89">
        <v>0</v>
      </c>
      <c r="EP89">
        <v>0</v>
      </c>
      <c r="EY89" s="337" t="s">
        <v>163</v>
      </c>
      <c r="EZ89" s="16">
        <v>111</v>
      </c>
      <c r="FA89" s="16">
        <v>270000</v>
      </c>
      <c r="FB89" s="16">
        <v>270000</v>
      </c>
      <c r="FC89" s="16">
        <v>50000</v>
      </c>
      <c r="FD89" s="16">
        <v>0</v>
      </c>
      <c r="FE89" s="16">
        <v>320000</v>
      </c>
      <c r="FF89" s="313">
        <v>70000</v>
      </c>
      <c r="FG89" s="16">
        <v>55800</v>
      </c>
      <c r="FH89" s="16">
        <v>90000</v>
      </c>
      <c r="FI89" s="16">
        <v>0</v>
      </c>
      <c r="FJ89" s="16">
        <v>0</v>
      </c>
      <c r="FK89" s="12">
        <v>145800</v>
      </c>
      <c r="FL89" s="123">
        <v>0</v>
      </c>
      <c r="FM89" s="123">
        <v>230000</v>
      </c>
      <c r="FN89" s="12">
        <v>300000</v>
      </c>
      <c r="FO89" s="12">
        <v>-125800</v>
      </c>
      <c r="FP89" s="13">
        <v>-0.393125</v>
      </c>
      <c r="FQ89" s="13">
        <v>0.20666666666666667</v>
      </c>
      <c r="FR89" s="16">
        <v>2432.4324324324325</v>
      </c>
      <c r="FS89" s="13">
        <v>0.33333333333333331</v>
      </c>
      <c r="GS89" s="26">
        <v>32</v>
      </c>
      <c r="GT89" s="16">
        <v>5642</v>
      </c>
      <c r="GU89">
        <v>21</v>
      </c>
      <c r="GV89" s="16">
        <v>2850000</v>
      </c>
      <c r="GW89" s="16">
        <v>0</v>
      </c>
      <c r="GX89" s="35">
        <v>15691920</v>
      </c>
      <c r="GY89" s="313">
        <v>5145000</v>
      </c>
      <c r="GZ89" s="332">
        <v>10388580</v>
      </c>
      <c r="HA89" s="35">
        <v>5945600</v>
      </c>
      <c r="HB89" s="35">
        <v>-642260</v>
      </c>
      <c r="HC89" s="13">
        <v>-4.0929344528904045E-2</v>
      </c>
      <c r="HD89" s="13">
        <v>0.11081916099773242</v>
      </c>
      <c r="HE89" s="16">
        <v>8754.3424317617864</v>
      </c>
      <c r="HF89" s="13">
        <v>9.9510042112082933E-2</v>
      </c>
      <c r="HG89" s="13"/>
      <c r="HH89" s="1">
        <f t="shared" si="36"/>
        <v>-2295000</v>
      </c>
      <c r="HI89" s="27">
        <f t="shared" si="37"/>
        <v>-0.80526315789473679</v>
      </c>
      <c r="HJ89" s="1">
        <f t="shared" si="38"/>
        <v>-2295000</v>
      </c>
      <c r="HK89" s="27">
        <f t="shared" si="39"/>
        <v>-0.80526315789473679</v>
      </c>
      <c r="JO89"/>
      <c r="JP89"/>
      <c r="JS89"/>
      <c r="JT89"/>
      <c r="JV89"/>
      <c r="JZ89"/>
      <c r="KA89"/>
      <c r="KN89" s="278" t="s">
        <v>158</v>
      </c>
      <c r="MI89">
        <v>0</v>
      </c>
      <c r="MJ89">
        <v>0</v>
      </c>
      <c r="MK89">
        <v>0</v>
      </c>
      <c r="ML89">
        <v>0</v>
      </c>
    </row>
    <row r="90" spans="1:350">
      <c r="A90" s="109"/>
      <c r="B90" s="27">
        <f t="shared" si="29"/>
        <v>0.1122468234998113</v>
      </c>
      <c r="C90" s="27">
        <f t="shared" si="30"/>
        <v>0.10064159013712416</v>
      </c>
      <c r="D90" s="1">
        <f t="shared" si="31"/>
        <v>152380.95238095237</v>
      </c>
      <c r="E90" s="278">
        <v>11</v>
      </c>
      <c r="F90" s="16">
        <v>3569</v>
      </c>
      <c r="G90">
        <v>21</v>
      </c>
      <c r="H90" s="16">
        <v>31796000</v>
      </c>
      <c r="I90" s="16">
        <v>7313080</v>
      </c>
      <c r="J90" s="16">
        <v>2250000</v>
      </c>
      <c r="K90" s="16">
        <v>2930647.3225806449</v>
      </c>
      <c r="M90" s="16">
        <v>12493727.322580645</v>
      </c>
      <c r="N90" s="16">
        <v>3569000</v>
      </c>
      <c r="O90" s="16">
        <v>3200000</v>
      </c>
      <c r="P90" s="16">
        <v>0</v>
      </c>
      <c r="Q90" s="16"/>
      <c r="R90" s="16">
        <v>0</v>
      </c>
      <c r="S90"/>
      <c r="T90" s="12">
        <v>6769000</v>
      </c>
      <c r="U90" s="313">
        <v>4375000</v>
      </c>
      <c r="V90" s="16">
        <v>0</v>
      </c>
      <c r="W90" s="123">
        <v>0</v>
      </c>
      <c r="X90" s="123">
        <v>411871</v>
      </c>
      <c r="Y90" s="12">
        <v>4786871</v>
      </c>
      <c r="Z90" s="12">
        <v>937856.32258064486</v>
      </c>
      <c r="AA90" s="13">
        <v>7.5066175078561406E-2</v>
      </c>
      <c r="AB90" s="13">
        <v>0.1122468234998113</v>
      </c>
      <c r="AC90" s="16">
        <v>8908.9380778929681</v>
      </c>
      <c r="AD90" s="13">
        <v>0.10064159013712416</v>
      </c>
      <c r="AF90" s="1">
        <f t="shared" si="32"/>
        <v>169.95238095238096</v>
      </c>
      <c r="AG90" s="16"/>
      <c r="BC90" s="35"/>
      <c r="BD90" s="35"/>
      <c r="BE90" s="35"/>
      <c r="BF90" s="35"/>
      <c r="BG90" s="35"/>
      <c r="BJ90" s="278">
        <v>72026</v>
      </c>
      <c r="BK90">
        <v>18</v>
      </c>
      <c r="BN90">
        <v>18</v>
      </c>
      <c r="BZ90" s="278" t="s">
        <v>276</v>
      </c>
      <c r="CC90">
        <v>0</v>
      </c>
      <c r="CD90">
        <v>0</v>
      </c>
      <c r="CE90">
        <v>0</v>
      </c>
      <c r="CF90">
        <v>0</v>
      </c>
      <c r="CL90" s="26" t="s">
        <v>277</v>
      </c>
      <c r="EM90">
        <v>0</v>
      </c>
      <c r="EN90">
        <v>0</v>
      </c>
      <c r="EO90">
        <v>0</v>
      </c>
      <c r="EP90">
        <v>0</v>
      </c>
      <c r="EY90" s="11" t="s">
        <v>167</v>
      </c>
      <c r="EZ90" s="16">
        <v>639690</v>
      </c>
      <c r="FA90" s="16">
        <v>5650178959</v>
      </c>
      <c r="FB90" s="16">
        <v>1320404213.7</v>
      </c>
      <c r="FC90" s="16">
        <v>444491357.14285713</v>
      </c>
      <c r="FD90" s="16">
        <v>106395560</v>
      </c>
      <c r="FE90" s="16">
        <v>1892200330.8428571</v>
      </c>
      <c r="FF90" s="313">
        <v>620154285.71428573</v>
      </c>
      <c r="FG90" s="16">
        <v>493631041.42857146</v>
      </c>
      <c r="FH90" s="16">
        <v>709381774.28571427</v>
      </c>
      <c r="FI90" s="16">
        <v>34258569</v>
      </c>
      <c r="FJ90" s="16">
        <v>800000</v>
      </c>
      <c r="FK90" s="12">
        <v>1237630984.7142859</v>
      </c>
      <c r="FL90" s="123">
        <v>70880000</v>
      </c>
      <c r="FM90" s="123">
        <v>2209515</v>
      </c>
      <c r="FN90" s="12">
        <v>693118800.71428573</v>
      </c>
      <c r="FO90" s="12">
        <v>-38549454.585714296</v>
      </c>
      <c r="FP90" s="13">
        <v>-2.0372818859271061E-2</v>
      </c>
      <c r="FQ90" s="13">
        <v>8.7365558685938857E-2</v>
      </c>
      <c r="FR90" s="16">
        <v>8832.6829542434625</v>
      </c>
      <c r="FS90" s="13">
        <v>0.12555031963293151</v>
      </c>
      <c r="GS90" s="26">
        <v>33</v>
      </c>
      <c r="GT90" s="16">
        <v>5809</v>
      </c>
      <c r="GU90">
        <v>21</v>
      </c>
      <c r="GV90" s="16">
        <v>3050000</v>
      </c>
      <c r="GW90" s="16">
        <v>0</v>
      </c>
      <c r="GX90" s="35">
        <v>16239280</v>
      </c>
      <c r="GY90" s="313">
        <v>5145000</v>
      </c>
      <c r="GZ90" s="332">
        <v>11037710</v>
      </c>
      <c r="HA90" s="35">
        <v>6020600</v>
      </c>
      <c r="HB90" s="35">
        <v>-819030</v>
      </c>
      <c r="HC90" s="13">
        <v>-5.0435117813105015E-2</v>
      </c>
      <c r="HD90" s="13">
        <v>0.11084036429585239</v>
      </c>
      <c r="HE90" s="16">
        <v>8732.6562231020835</v>
      </c>
      <c r="HF90" s="13">
        <v>0.10674578142248857</v>
      </c>
      <c r="HG90" s="13"/>
      <c r="HH90" s="1">
        <f t="shared" si="36"/>
        <v>-2095000</v>
      </c>
      <c r="HI90" s="27">
        <f t="shared" si="37"/>
        <v>-0.68688524590163935</v>
      </c>
      <c r="HJ90" s="1">
        <f t="shared" si="38"/>
        <v>-2095000</v>
      </c>
      <c r="HK90" s="27">
        <f t="shared" si="39"/>
        <v>-0.68688524590163935</v>
      </c>
      <c r="JO90"/>
      <c r="JP90"/>
      <c r="JS90"/>
      <c r="JT90"/>
      <c r="JV90"/>
      <c r="JZ90"/>
      <c r="KA90"/>
      <c r="KN90" s="278" t="s">
        <v>159</v>
      </c>
      <c r="MI90">
        <v>0</v>
      </c>
      <c r="MJ90">
        <v>0</v>
      </c>
      <c r="MK90">
        <v>0</v>
      </c>
      <c r="ML90">
        <v>0</v>
      </c>
    </row>
    <row r="91" spans="1:350">
      <c r="A91" s="109"/>
      <c r="B91" s="27">
        <f t="shared" si="29"/>
        <v>0.11132702854428467</v>
      </c>
      <c r="C91" s="27">
        <f t="shared" si="30"/>
        <v>8.9605734767025089E-2</v>
      </c>
      <c r="D91" s="1">
        <f t="shared" si="31"/>
        <v>207500</v>
      </c>
      <c r="E91" s="278">
        <v>12</v>
      </c>
      <c r="F91" s="16">
        <v>5156</v>
      </c>
      <c r="G91">
        <v>20</v>
      </c>
      <c r="H91" s="16">
        <v>46314000</v>
      </c>
      <c r="I91" s="16">
        <v>10652220</v>
      </c>
      <c r="J91" s="16">
        <v>2376000</v>
      </c>
      <c r="K91" s="16">
        <v>2930647.3225806449</v>
      </c>
      <c r="M91" s="16">
        <v>15958867.322580645</v>
      </c>
      <c r="N91" s="16">
        <v>5156000</v>
      </c>
      <c r="O91" s="16">
        <v>4150000</v>
      </c>
      <c r="P91" s="16">
        <v>0</v>
      </c>
      <c r="Q91" s="16"/>
      <c r="R91" s="16">
        <v>0</v>
      </c>
      <c r="S91"/>
      <c r="T91" s="12">
        <v>9306000</v>
      </c>
      <c r="U91" s="313">
        <v>4620000</v>
      </c>
      <c r="V91" s="16">
        <v>0</v>
      </c>
      <c r="W91" s="123">
        <v>0</v>
      </c>
      <c r="X91" s="123">
        <v>411871</v>
      </c>
      <c r="Y91" s="12">
        <v>5031871</v>
      </c>
      <c r="Z91" s="12">
        <v>1620996.3225806449</v>
      </c>
      <c r="AA91" s="13">
        <v>0.10157339426508372</v>
      </c>
      <c r="AB91" s="13">
        <v>0.11132702854428467</v>
      </c>
      <c r="AC91" s="16">
        <v>8982.5446082234284</v>
      </c>
      <c r="AD91" s="13">
        <v>8.9605734767025089E-2</v>
      </c>
      <c r="AF91" s="1">
        <f t="shared" si="32"/>
        <v>257.8</v>
      </c>
      <c r="AG91" s="16"/>
      <c r="BC91" s="35"/>
      <c r="BD91" s="35"/>
      <c r="BE91" s="35"/>
      <c r="BF91" s="35"/>
      <c r="BG91" s="35"/>
      <c r="BJ91" s="278">
        <v>112026</v>
      </c>
      <c r="BL91">
        <v>13</v>
      </c>
      <c r="BN91">
        <v>13</v>
      </c>
      <c r="BZ91" s="278" t="s">
        <v>277</v>
      </c>
      <c r="CC91">
        <v>0</v>
      </c>
      <c r="CD91">
        <v>0</v>
      </c>
      <c r="CE91">
        <v>0</v>
      </c>
      <c r="CF91">
        <v>0</v>
      </c>
      <c r="CL91" s="26" t="s">
        <v>199</v>
      </c>
      <c r="CZ91">
        <v>2</v>
      </c>
      <c r="DA91">
        <v>3</v>
      </c>
      <c r="DB91">
        <v>1</v>
      </c>
      <c r="DC91">
        <v>3</v>
      </c>
      <c r="EM91">
        <v>0</v>
      </c>
      <c r="EN91">
        <v>0</v>
      </c>
      <c r="EO91">
        <v>0</v>
      </c>
      <c r="EP91">
        <v>3</v>
      </c>
      <c r="GS91" s="26">
        <v>34</v>
      </c>
      <c r="GT91" s="16">
        <v>5951</v>
      </c>
      <c r="GU91">
        <v>24</v>
      </c>
      <c r="GV91" s="16">
        <v>3635000</v>
      </c>
      <c r="GW91" s="16">
        <v>0</v>
      </c>
      <c r="GX91" s="35">
        <v>17152400</v>
      </c>
      <c r="GY91" s="313">
        <v>5880000</v>
      </c>
      <c r="GZ91" s="332">
        <v>10820660</v>
      </c>
      <c r="HA91" s="35">
        <v>6755600</v>
      </c>
      <c r="HB91" s="35">
        <v>-423860</v>
      </c>
      <c r="HC91" s="13">
        <v>-2.4711410648072574E-2</v>
      </c>
      <c r="HD91" s="13">
        <v>0.10070513560300058</v>
      </c>
      <c r="HE91" s="16">
        <v>8736.3468324651312</v>
      </c>
      <c r="HF91" s="13">
        <v>0.1074245047124447</v>
      </c>
      <c r="HG91" s="13"/>
      <c r="HH91" s="1">
        <f t="shared" si="36"/>
        <v>-2245000</v>
      </c>
      <c r="HI91" s="27">
        <f t="shared" si="37"/>
        <v>-0.61760660247592847</v>
      </c>
      <c r="HJ91" s="1">
        <f t="shared" si="38"/>
        <v>-2245000</v>
      </c>
      <c r="HK91" s="27">
        <f t="shared" si="39"/>
        <v>-0.61760660247592847</v>
      </c>
      <c r="JO91"/>
      <c r="JP91"/>
      <c r="JS91"/>
      <c r="JT91"/>
      <c r="JV91"/>
      <c r="JZ91"/>
      <c r="KA91"/>
      <c r="KN91" s="278" t="s">
        <v>160</v>
      </c>
      <c r="MI91">
        <v>0</v>
      </c>
      <c r="MJ91">
        <v>0</v>
      </c>
      <c r="MK91">
        <v>0</v>
      </c>
      <c r="ML91">
        <v>0</v>
      </c>
    </row>
    <row r="92" spans="1:350">
      <c r="A92" s="109"/>
      <c r="B92" s="27">
        <f t="shared" si="29"/>
        <v>0.11005447768326483</v>
      </c>
      <c r="C92" s="27">
        <f t="shared" si="30"/>
        <v>8.0043964446143548E-2</v>
      </c>
      <c r="D92" s="1">
        <f t="shared" si="31"/>
        <v>83750</v>
      </c>
      <c r="E92" s="278">
        <v>13</v>
      </c>
      <c r="F92" s="16">
        <v>2303</v>
      </c>
      <c r="G92">
        <v>20</v>
      </c>
      <c r="H92" s="16">
        <v>20926000</v>
      </c>
      <c r="I92" s="16">
        <v>4812980</v>
      </c>
      <c r="J92" s="16">
        <v>1080000</v>
      </c>
      <c r="K92" s="16">
        <v>1255991.7096774194</v>
      </c>
      <c r="M92" s="16">
        <v>7148971.7096774196</v>
      </c>
      <c r="N92" s="16">
        <v>2303000</v>
      </c>
      <c r="O92" s="16">
        <v>1675000</v>
      </c>
      <c r="P92" s="16">
        <v>3000000</v>
      </c>
      <c r="Q92" s="16"/>
      <c r="R92" s="16">
        <v>0</v>
      </c>
      <c r="S92"/>
      <c r="T92" s="12">
        <v>6978000</v>
      </c>
      <c r="U92" s="313">
        <v>2100000</v>
      </c>
      <c r="V92" s="16">
        <v>0</v>
      </c>
      <c r="W92" s="123">
        <v>0</v>
      </c>
      <c r="X92" s="123">
        <v>176516.14285714284</v>
      </c>
      <c r="Y92" s="12">
        <v>2276516.1428571427</v>
      </c>
      <c r="Z92" s="12">
        <v>-2105544.4331797222</v>
      </c>
      <c r="AA92" s="13">
        <v>-0.29452409642767069</v>
      </c>
      <c r="AB92" s="13">
        <v>0.11005447768326483</v>
      </c>
      <c r="AC92" s="16">
        <v>9086.4090316977854</v>
      </c>
      <c r="AD92" s="13">
        <v>8.0043964446143548E-2</v>
      </c>
      <c r="AF92" s="1">
        <f t="shared" si="32"/>
        <v>115.15</v>
      </c>
      <c r="AG92" s="16"/>
      <c r="BC92" s="35"/>
      <c r="BD92" s="35"/>
      <c r="BE92" s="35"/>
      <c r="BF92" s="35"/>
      <c r="BG92" s="35"/>
      <c r="BJ92" s="26" t="s">
        <v>279</v>
      </c>
      <c r="BK92">
        <v>19</v>
      </c>
      <c r="BL92">
        <v>15</v>
      </c>
      <c r="BN92">
        <v>34</v>
      </c>
      <c r="BZ92" s="278" t="s">
        <v>199</v>
      </c>
      <c r="CC92">
        <v>0</v>
      </c>
      <c r="CD92">
        <v>0</v>
      </c>
      <c r="CE92">
        <v>0</v>
      </c>
      <c r="CF92">
        <v>0</v>
      </c>
      <c r="CL92" s="26" t="s">
        <v>196</v>
      </c>
      <c r="EM92">
        <v>0</v>
      </c>
      <c r="EN92">
        <v>0</v>
      </c>
      <c r="EO92">
        <v>0</v>
      </c>
      <c r="EP92">
        <v>0</v>
      </c>
      <c r="GS92" s="26">
        <v>35</v>
      </c>
      <c r="GT92" s="16">
        <v>5821</v>
      </c>
      <c r="GU92">
        <v>26</v>
      </c>
      <c r="GV92" s="16">
        <v>3900000</v>
      </c>
      <c r="GW92" s="16">
        <v>0</v>
      </c>
      <c r="GX92" s="35">
        <v>17156880</v>
      </c>
      <c r="GY92" s="313">
        <v>6370000</v>
      </c>
      <c r="GZ92" s="332">
        <v>12630605</v>
      </c>
      <c r="HA92" s="35">
        <v>7243158.4963635597</v>
      </c>
      <c r="HB92" s="35">
        <v>-2716883.4963635579</v>
      </c>
      <c r="HC92" s="13">
        <v>-0.1583553359563952</v>
      </c>
      <c r="HD92" s="13">
        <v>9.3465227112261712E-2</v>
      </c>
      <c r="HE92" s="16">
        <v>8759.3197045181241</v>
      </c>
      <c r="HF92" s="13">
        <v>0.14640699772495488</v>
      </c>
      <c r="HG92" s="13"/>
      <c r="HH92" s="1">
        <f t="shared" si="36"/>
        <v>-2470000</v>
      </c>
      <c r="HI92" s="27">
        <f t="shared" si="37"/>
        <v>-0.6333333333333333</v>
      </c>
      <c r="HJ92" s="1">
        <f t="shared" si="38"/>
        <v>-2470000</v>
      </c>
      <c r="HK92" s="27">
        <f t="shared" si="39"/>
        <v>-0.6333333333333333</v>
      </c>
      <c r="JO92"/>
      <c r="JP92"/>
      <c r="JS92"/>
      <c r="JT92"/>
      <c r="JV92"/>
      <c r="JZ92"/>
      <c r="KA92"/>
      <c r="KN92" s="278" t="s">
        <v>161</v>
      </c>
      <c r="MI92">
        <v>0</v>
      </c>
      <c r="MJ92">
        <v>0</v>
      </c>
      <c r="MK92">
        <v>0</v>
      </c>
      <c r="ML92">
        <v>0</v>
      </c>
    </row>
    <row r="93" spans="1:350">
      <c r="A93" s="109"/>
      <c r="B93" s="27">
        <f t="shared" si="29"/>
        <v>0.11100784799669558</v>
      </c>
      <c r="C93" s="27">
        <f t="shared" si="30"/>
        <v>7.1961482858323003E-2</v>
      </c>
      <c r="D93" s="1">
        <f t="shared" si="31"/>
        <v>293421.05263157893</v>
      </c>
      <c r="E93" s="278">
        <v>14</v>
      </c>
      <c r="F93" s="16">
        <v>4780</v>
      </c>
      <c r="G93">
        <v>19</v>
      </c>
      <c r="H93" s="16">
        <v>77472000</v>
      </c>
      <c r="I93" s="16">
        <v>17818560</v>
      </c>
      <c r="J93" s="16">
        <v>3941999.9999999995</v>
      </c>
      <c r="K93" s="16">
        <v>4372886.5860215053</v>
      </c>
      <c r="M93" s="16">
        <v>26133446.586021505</v>
      </c>
      <c r="N93" s="16">
        <v>8600000</v>
      </c>
      <c r="O93" s="16">
        <v>5575000</v>
      </c>
      <c r="P93" s="16">
        <v>0</v>
      </c>
      <c r="Q93" s="16"/>
      <c r="R93" s="16">
        <v>0</v>
      </c>
      <c r="S93"/>
      <c r="T93" s="12">
        <v>14175000</v>
      </c>
      <c r="U93" s="313">
        <v>7105000</v>
      </c>
      <c r="V93" s="16">
        <v>0</v>
      </c>
      <c r="W93" s="123">
        <v>0</v>
      </c>
      <c r="X93" s="123">
        <v>411871</v>
      </c>
      <c r="Y93" s="12">
        <v>7516871</v>
      </c>
      <c r="Z93" s="12">
        <v>4441575.5860215053</v>
      </c>
      <c r="AA93" s="13">
        <v>0.16995751292893971</v>
      </c>
      <c r="AB93" s="13">
        <v>0.11100784799669558</v>
      </c>
      <c r="AC93" s="16">
        <v>16207.531380753138</v>
      </c>
      <c r="AD93" s="13">
        <v>7.1961482858323003E-2</v>
      </c>
      <c r="AF93" s="1">
        <f t="shared" si="32"/>
        <v>251.57894736842104</v>
      </c>
      <c r="AG93" s="16"/>
      <c r="BC93" s="35"/>
      <c r="BD93" s="35"/>
      <c r="BE93" s="35"/>
      <c r="BF93" s="35"/>
      <c r="BG93" s="35"/>
      <c r="BJ93" s="278">
        <v>82026</v>
      </c>
      <c r="BK93">
        <v>19</v>
      </c>
      <c r="BN93">
        <v>19</v>
      </c>
      <c r="BZ93" s="278" t="s">
        <v>196</v>
      </c>
      <c r="CC93">
        <v>0</v>
      </c>
      <c r="CD93">
        <v>0</v>
      </c>
      <c r="CE93">
        <v>0</v>
      </c>
      <c r="CF93">
        <v>0</v>
      </c>
      <c r="CL93" s="26" t="s">
        <v>29</v>
      </c>
      <c r="CZ93">
        <v>2</v>
      </c>
      <c r="DA93">
        <v>2</v>
      </c>
      <c r="DB93">
        <v>3</v>
      </c>
      <c r="DC93">
        <v>4</v>
      </c>
      <c r="EM93">
        <v>0</v>
      </c>
      <c r="EN93">
        <v>0</v>
      </c>
      <c r="EO93">
        <v>0</v>
      </c>
      <c r="EP93">
        <v>4</v>
      </c>
      <c r="GS93" s="26">
        <v>36</v>
      </c>
      <c r="GT93" s="16">
        <v>7086</v>
      </c>
      <c r="GU93">
        <v>25</v>
      </c>
      <c r="GV93" s="16">
        <v>3875000</v>
      </c>
      <c r="GW93" s="16">
        <v>0</v>
      </c>
      <c r="GX93" s="35">
        <v>20132680</v>
      </c>
      <c r="GY93" s="313">
        <v>6125000</v>
      </c>
      <c r="GZ93" s="332">
        <v>13809650</v>
      </c>
      <c r="HA93" s="35">
        <v>6925600</v>
      </c>
      <c r="HB93" s="35">
        <v>-602570</v>
      </c>
      <c r="HC93" s="13">
        <v>-2.992994474655138E-2</v>
      </c>
      <c r="HD93" s="13">
        <v>0.11043774569826642</v>
      </c>
      <c r="HE93" s="16">
        <v>8759.2435788879484</v>
      </c>
      <c r="HF93" s="13">
        <v>0.11205452084810208</v>
      </c>
      <c r="HG93" s="13"/>
      <c r="HH93" s="1">
        <f t="shared" si="36"/>
        <v>-2250000</v>
      </c>
      <c r="HI93" s="27">
        <f t="shared" si="37"/>
        <v>-0.58064516129032262</v>
      </c>
      <c r="HJ93" s="1">
        <f t="shared" si="38"/>
        <v>-2250000</v>
      </c>
      <c r="HK93" s="27">
        <f t="shared" si="39"/>
        <v>-0.58064516129032262</v>
      </c>
      <c r="JO93"/>
      <c r="JP93"/>
      <c r="JS93"/>
      <c r="JT93"/>
      <c r="JV93"/>
      <c r="JZ93"/>
      <c r="KA93"/>
      <c r="KN93" s="278" t="s">
        <v>156</v>
      </c>
      <c r="MI93">
        <v>0</v>
      </c>
      <c r="MJ93">
        <v>0</v>
      </c>
      <c r="MK93">
        <v>0</v>
      </c>
      <c r="ML93">
        <v>0</v>
      </c>
    </row>
    <row r="94" spans="1:350">
      <c r="A94" s="109"/>
      <c r="B94" s="27">
        <f t="shared" si="29"/>
        <v>0.11333933322898732</v>
      </c>
      <c r="C94" s="27">
        <f t="shared" si="30"/>
        <v>8.4618093598372204E-2</v>
      </c>
      <c r="D94" s="1">
        <f t="shared" si="31"/>
        <v>205952.38095238095</v>
      </c>
      <c r="E94" s="278">
        <v>15</v>
      </c>
      <c r="F94" s="16">
        <v>5793</v>
      </c>
      <c r="G94">
        <v>21</v>
      </c>
      <c r="H94" s="16">
        <v>51112000</v>
      </c>
      <c r="I94" s="16">
        <v>11755760</v>
      </c>
      <c r="J94" s="16">
        <v>2178000</v>
      </c>
      <c r="K94" s="16">
        <v>2605264.4333333336</v>
      </c>
      <c r="M94" s="16">
        <v>16539024.433333334</v>
      </c>
      <c r="N94" s="16">
        <v>5793000</v>
      </c>
      <c r="O94" s="16">
        <v>4325000</v>
      </c>
      <c r="P94" s="16">
        <v>0</v>
      </c>
      <c r="Q94" s="16"/>
      <c r="R94" s="16">
        <v>0</v>
      </c>
      <c r="S94"/>
      <c r="T94" s="12">
        <v>10118000</v>
      </c>
      <c r="U94" s="313">
        <v>4235000</v>
      </c>
      <c r="V94" s="16">
        <v>0</v>
      </c>
      <c r="W94" s="123">
        <v>0</v>
      </c>
      <c r="X94" s="123">
        <v>411871</v>
      </c>
      <c r="Y94" s="12">
        <v>4646871</v>
      </c>
      <c r="Z94" s="12">
        <v>1774153.4333333336</v>
      </c>
      <c r="AA94" s="13">
        <v>0.10727074262963432</v>
      </c>
      <c r="AB94" s="13">
        <v>0.11333933322898732</v>
      </c>
      <c r="AC94" s="16">
        <v>8823.0623165889865</v>
      </c>
      <c r="AD94" s="13">
        <v>8.4618093598372204E-2</v>
      </c>
      <c r="AF94" s="1">
        <f t="shared" si="32"/>
        <v>275.85714285714283</v>
      </c>
      <c r="AG94" s="16"/>
      <c r="BC94" s="35"/>
      <c r="BD94" s="35"/>
      <c r="BE94" s="35"/>
      <c r="BF94" s="35"/>
      <c r="BG94" s="35"/>
      <c r="BJ94" s="278">
        <v>122026</v>
      </c>
      <c r="BL94">
        <v>15</v>
      </c>
      <c r="BN94">
        <v>15</v>
      </c>
      <c r="BZ94" s="278" t="s">
        <v>29</v>
      </c>
      <c r="CC94">
        <v>0</v>
      </c>
      <c r="CD94">
        <v>0</v>
      </c>
      <c r="CE94">
        <v>0</v>
      </c>
      <c r="CF94">
        <v>0</v>
      </c>
      <c r="CL94" s="26" t="s">
        <v>23</v>
      </c>
      <c r="CZ94">
        <v>228</v>
      </c>
      <c r="DA94">
        <v>242</v>
      </c>
      <c r="DB94">
        <v>244</v>
      </c>
      <c r="DC94">
        <v>253</v>
      </c>
      <c r="DD94">
        <v>245</v>
      </c>
      <c r="EM94">
        <v>0</v>
      </c>
      <c r="EN94">
        <v>0</v>
      </c>
      <c r="EO94">
        <v>0</v>
      </c>
      <c r="EP94">
        <v>253</v>
      </c>
      <c r="GS94" s="26">
        <v>37</v>
      </c>
      <c r="GT94" s="16">
        <v>5991</v>
      </c>
      <c r="GU94">
        <v>24</v>
      </c>
      <c r="GV94" s="16">
        <v>3800000</v>
      </c>
      <c r="GW94" s="16">
        <v>0</v>
      </c>
      <c r="GX94" s="35">
        <v>17556240</v>
      </c>
      <c r="GY94" s="313">
        <v>5880000</v>
      </c>
      <c r="GZ94" s="332">
        <v>11402020</v>
      </c>
      <c r="HA94" s="35">
        <v>6680600</v>
      </c>
      <c r="HB94" s="35">
        <v>-526380</v>
      </c>
      <c r="HC94" s="13">
        <v>-2.9982501948025316E-2</v>
      </c>
      <c r="HD94" s="13">
        <v>0.10275340796588227</v>
      </c>
      <c r="HE94" s="16">
        <v>8767.150726089134</v>
      </c>
      <c r="HF94" s="13">
        <v>0.11432868783794076</v>
      </c>
      <c r="HG94" s="13"/>
      <c r="HH94" s="1">
        <f t="shared" si="36"/>
        <v>-2080000</v>
      </c>
      <c r="HI94" s="27">
        <f t="shared" si="37"/>
        <v>-0.54736842105263162</v>
      </c>
      <c r="HJ94" s="1">
        <f t="shared" si="38"/>
        <v>-2080000</v>
      </c>
      <c r="HK94" s="27">
        <f t="shared" si="39"/>
        <v>-0.54736842105263162</v>
      </c>
      <c r="JO94"/>
      <c r="JP94"/>
      <c r="JS94"/>
      <c r="JT94"/>
      <c r="JV94"/>
      <c r="JZ94"/>
      <c r="KA94"/>
      <c r="KN94" s="278" t="s">
        <v>162</v>
      </c>
      <c r="MI94">
        <v>0</v>
      </c>
      <c r="MJ94">
        <v>0</v>
      </c>
      <c r="MK94">
        <v>0</v>
      </c>
      <c r="ML94">
        <v>0</v>
      </c>
    </row>
    <row r="95" spans="1:350">
      <c r="A95" s="109"/>
      <c r="B95" s="27">
        <f t="shared" si="29"/>
        <v>0.11327165984700231</v>
      </c>
      <c r="C95" s="27">
        <f t="shared" si="30"/>
        <v>8.4059775840597761E-2</v>
      </c>
      <c r="D95" s="1">
        <f t="shared" si="31"/>
        <v>225000</v>
      </c>
      <c r="E95" s="278">
        <v>16</v>
      </c>
      <c r="F95" s="16">
        <v>6367</v>
      </c>
      <c r="G95">
        <v>21</v>
      </c>
      <c r="H95" s="16">
        <v>56210000</v>
      </c>
      <c r="I95" s="16">
        <v>12928300</v>
      </c>
      <c r="J95" s="16">
        <v>2502000</v>
      </c>
      <c r="K95" s="16">
        <v>2605264.4333333336</v>
      </c>
      <c r="M95" s="16">
        <v>18035564.433333334</v>
      </c>
      <c r="N95" s="16">
        <v>6367000</v>
      </c>
      <c r="O95" s="16">
        <v>4725000</v>
      </c>
      <c r="P95" s="16">
        <v>0</v>
      </c>
      <c r="Q95" s="16"/>
      <c r="R95" s="16">
        <v>0</v>
      </c>
      <c r="S95"/>
      <c r="T95" s="12">
        <v>11092000</v>
      </c>
      <c r="U95" s="313">
        <v>4865000</v>
      </c>
      <c r="V95" s="16">
        <v>0</v>
      </c>
      <c r="W95" s="123">
        <v>0</v>
      </c>
      <c r="X95" s="123">
        <v>411871</v>
      </c>
      <c r="Y95" s="12">
        <v>5276871</v>
      </c>
      <c r="Z95" s="12">
        <v>1666693.4333333336</v>
      </c>
      <c r="AA95" s="13">
        <v>9.2411492830961839E-2</v>
      </c>
      <c r="AB95" s="13">
        <v>0.11327165984700231</v>
      </c>
      <c r="AC95" s="16">
        <v>8828.3335950997334</v>
      </c>
      <c r="AD95" s="13">
        <v>8.4059775840597761E-2</v>
      </c>
      <c r="AF95" s="1">
        <f t="shared" si="32"/>
        <v>303.1904761904762</v>
      </c>
      <c r="AG95" s="16"/>
      <c r="BC95" s="35"/>
      <c r="BD95" s="35"/>
      <c r="BE95" s="35"/>
      <c r="BF95" s="35"/>
      <c r="BG95" s="35"/>
      <c r="BJ95" s="26" t="s">
        <v>280</v>
      </c>
      <c r="BK95">
        <v>13</v>
      </c>
      <c r="BL95">
        <v>13</v>
      </c>
      <c r="BN95">
        <v>26</v>
      </c>
      <c r="BZ95" s="278" t="s">
        <v>23</v>
      </c>
      <c r="CC95">
        <v>0</v>
      </c>
      <c r="CD95">
        <v>0</v>
      </c>
      <c r="CE95">
        <v>0</v>
      </c>
      <c r="CF95">
        <v>0</v>
      </c>
      <c r="CL95" s="26" t="s">
        <v>172</v>
      </c>
      <c r="CZ95">
        <v>18</v>
      </c>
      <c r="DA95">
        <v>21</v>
      </c>
      <c r="DB95">
        <v>21</v>
      </c>
      <c r="DC95">
        <v>25</v>
      </c>
      <c r="DD95">
        <v>23</v>
      </c>
      <c r="EM95">
        <v>0</v>
      </c>
      <c r="EN95">
        <v>0</v>
      </c>
      <c r="EO95">
        <v>0</v>
      </c>
      <c r="EP95">
        <v>25</v>
      </c>
      <c r="GS95" s="26">
        <v>38</v>
      </c>
      <c r="GT95" s="16">
        <v>6410</v>
      </c>
      <c r="GU95">
        <v>24</v>
      </c>
      <c r="GV95" s="16">
        <v>3575000</v>
      </c>
      <c r="GW95" s="16">
        <v>0</v>
      </c>
      <c r="GX95" s="35">
        <v>18352600</v>
      </c>
      <c r="GY95" s="313">
        <v>5880000</v>
      </c>
      <c r="GZ95" s="332">
        <v>13398155</v>
      </c>
      <c r="HA95" s="35">
        <v>6680600</v>
      </c>
      <c r="HB95" s="35">
        <v>-1726155</v>
      </c>
      <c r="HC95" s="13">
        <v>-9.405506576724823E-2</v>
      </c>
      <c r="HD95" s="13">
        <v>0.10368210095982937</v>
      </c>
      <c r="HE95" s="16">
        <v>8776.911076443057</v>
      </c>
      <c r="HF95" s="13">
        <v>0.13446498400284393</v>
      </c>
      <c r="HG95" s="13"/>
      <c r="HH95" s="1">
        <f t="shared" si="36"/>
        <v>-2305000</v>
      </c>
      <c r="HI95" s="27">
        <f t="shared" si="37"/>
        <v>-0.64475524475524471</v>
      </c>
      <c r="HJ95" s="1">
        <f t="shared" si="38"/>
        <v>-2305000</v>
      </c>
      <c r="HK95" s="27">
        <f t="shared" si="39"/>
        <v>-0.64475524475524471</v>
      </c>
      <c r="JO95"/>
      <c r="JP95"/>
      <c r="JS95"/>
      <c r="JT95"/>
      <c r="JV95"/>
      <c r="JZ95"/>
      <c r="KA95"/>
      <c r="KN95" s="278" t="s">
        <v>163</v>
      </c>
      <c r="LV95" s="379"/>
      <c r="MI95">
        <v>0</v>
      </c>
      <c r="MJ95">
        <v>0</v>
      </c>
      <c r="MK95">
        <v>0</v>
      </c>
      <c r="ML95">
        <v>0</v>
      </c>
    </row>
    <row r="96" spans="1:350">
      <c r="A96" s="109"/>
      <c r="B96" s="27">
        <f t="shared" si="29"/>
        <v>0.11317129700222622</v>
      </c>
      <c r="C96" s="27">
        <f t="shared" si="30"/>
        <v>8.6151687963160625E-2</v>
      </c>
      <c r="D96" s="1">
        <f t="shared" si="31"/>
        <v>226000</v>
      </c>
      <c r="E96" s="278">
        <v>17</v>
      </c>
      <c r="F96" s="16">
        <v>7428</v>
      </c>
      <c r="G96">
        <v>25</v>
      </c>
      <c r="H96" s="16">
        <v>65582000</v>
      </c>
      <c r="I96" s="16">
        <v>15083860</v>
      </c>
      <c r="J96" s="16">
        <v>3498000</v>
      </c>
      <c r="K96" s="16">
        <v>2605264.4333333336</v>
      </c>
      <c r="M96" s="16">
        <v>21187124.433333334</v>
      </c>
      <c r="N96" s="16">
        <v>7422000</v>
      </c>
      <c r="O96" s="16">
        <v>5650000</v>
      </c>
      <c r="P96" s="16">
        <v>3000000</v>
      </c>
      <c r="Q96" s="16"/>
      <c r="R96" s="16">
        <v>600000</v>
      </c>
      <c r="S96"/>
      <c r="T96" s="12">
        <v>16672000</v>
      </c>
      <c r="U96" s="313">
        <v>5495000</v>
      </c>
      <c r="V96" s="16">
        <v>0</v>
      </c>
      <c r="W96" s="123">
        <v>0</v>
      </c>
      <c r="X96" s="123">
        <v>411871</v>
      </c>
      <c r="Y96" s="12">
        <v>5906871</v>
      </c>
      <c r="Z96" s="12">
        <v>-1391746.5666666664</v>
      </c>
      <c r="AA96" s="13">
        <v>-6.5688317970939741E-2</v>
      </c>
      <c r="AB96" s="13">
        <v>0.11317129700222622</v>
      </c>
      <c r="AC96" s="16">
        <v>8829.0253096392025</v>
      </c>
      <c r="AD96" s="13">
        <v>8.6151687963160625E-2</v>
      </c>
      <c r="AF96" s="1">
        <f t="shared" si="32"/>
        <v>297.12</v>
      </c>
      <c r="AG96" s="16"/>
      <c r="BC96" s="35"/>
      <c r="BD96" s="35"/>
      <c r="BE96" s="35"/>
      <c r="BF96" s="35"/>
      <c r="BG96" s="35"/>
      <c r="BJ96" s="278">
        <v>92026</v>
      </c>
      <c r="BK96">
        <v>13</v>
      </c>
      <c r="BN96">
        <v>13</v>
      </c>
      <c r="BZ96" s="278" t="s">
        <v>172</v>
      </c>
      <c r="CC96">
        <v>0</v>
      </c>
      <c r="CD96">
        <v>0</v>
      </c>
      <c r="CE96">
        <v>0</v>
      </c>
      <c r="CF96">
        <v>0</v>
      </c>
      <c r="CL96" s="26" t="s">
        <v>205</v>
      </c>
      <c r="EM96">
        <v>0</v>
      </c>
      <c r="EN96">
        <v>0</v>
      </c>
      <c r="EO96">
        <v>0</v>
      </c>
      <c r="EP96">
        <v>0</v>
      </c>
      <c r="GS96" s="26">
        <v>39</v>
      </c>
      <c r="GT96" s="16">
        <v>7415</v>
      </c>
      <c r="GU96">
        <v>27</v>
      </c>
      <c r="GV96" s="16">
        <v>4075000</v>
      </c>
      <c r="GW96" s="16">
        <v>0</v>
      </c>
      <c r="GX96" s="35">
        <v>21210400</v>
      </c>
      <c r="GY96" s="313">
        <v>6615000</v>
      </c>
      <c r="GZ96" s="332">
        <v>15442175</v>
      </c>
      <c r="HA96" s="35">
        <v>7515600</v>
      </c>
      <c r="HB96" s="35">
        <v>-1747375</v>
      </c>
      <c r="HC96" s="13">
        <v>-8.2382934786708412E-2</v>
      </c>
      <c r="HD96" s="13">
        <v>0.11173393296432964</v>
      </c>
      <c r="HE96" s="16">
        <v>8771.4093054619007</v>
      </c>
      <c r="HF96" s="13">
        <v>0.11954182041820419</v>
      </c>
      <c r="HG96" s="13"/>
      <c r="HH96" s="1">
        <f t="shared" si="36"/>
        <v>-2540000</v>
      </c>
      <c r="HI96" s="27">
        <f t="shared" si="37"/>
        <v>-0.62331288343558278</v>
      </c>
      <c r="HJ96" s="1">
        <f t="shared" si="38"/>
        <v>-2540000</v>
      </c>
      <c r="HK96" s="27">
        <f t="shared" si="39"/>
        <v>-0.62331288343558278</v>
      </c>
      <c r="JO96"/>
      <c r="JP96"/>
      <c r="JS96"/>
      <c r="JT96"/>
      <c r="JV96"/>
      <c r="JZ96"/>
      <c r="KA96"/>
      <c r="KN96" s="278" t="s">
        <v>164</v>
      </c>
      <c r="MI96">
        <v>0</v>
      </c>
      <c r="MJ96">
        <v>0</v>
      </c>
      <c r="MK96">
        <v>0</v>
      </c>
      <c r="ML96">
        <v>0</v>
      </c>
    </row>
    <row r="97" spans="1:350">
      <c r="A97" s="109"/>
      <c r="B97" s="27">
        <f t="shared" si="29"/>
        <v>9.3829010742600874E-2</v>
      </c>
      <c r="C97" s="27">
        <f t="shared" si="30"/>
        <v>6.6068711459918314E-2</v>
      </c>
      <c r="D97" s="1">
        <f t="shared" si="31"/>
        <v>251086.95652173914</v>
      </c>
      <c r="E97" s="278">
        <v>18</v>
      </c>
      <c r="F97" s="16">
        <v>9886</v>
      </c>
      <c r="G97">
        <v>23</v>
      </c>
      <c r="H97" s="16">
        <v>87409000</v>
      </c>
      <c r="I97" s="16">
        <v>20104070</v>
      </c>
      <c r="J97" s="16">
        <v>2952000</v>
      </c>
      <c r="K97" s="16">
        <v>3180888.4688172042</v>
      </c>
      <c r="M97" s="16">
        <v>26236958.468817204</v>
      </c>
      <c r="N97" s="16">
        <v>8201500</v>
      </c>
      <c r="O97" s="16">
        <v>5775000</v>
      </c>
      <c r="P97" s="16">
        <v>0</v>
      </c>
      <c r="Q97" s="16"/>
      <c r="R97" s="16">
        <v>0</v>
      </c>
      <c r="S97"/>
      <c r="T97" s="12">
        <v>13976500</v>
      </c>
      <c r="U97" s="313">
        <v>5740000</v>
      </c>
      <c r="V97" s="16">
        <v>0</v>
      </c>
      <c r="W97" s="123">
        <v>0</v>
      </c>
      <c r="X97" s="123">
        <v>411871</v>
      </c>
      <c r="Y97" s="12">
        <v>6151871</v>
      </c>
      <c r="Z97" s="12">
        <v>6108587.4688172042</v>
      </c>
      <c r="AA97" s="13">
        <v>0.23282376560824686</v>
      </c>
      <c r="AB97" s="13">
        <v>9.3829010742600874E-2</v>
      </c>
      <c r="AC97" s="16">
        <v>8841.6953267246608</v>
      </c>
      <c r="AD97" s="13">
        <v>6.6068711459918314E-2</v>
      </c>
      <c r="AF97" s="1">
        <f t="shared" si="32"/>
        <v>429.82608695652175</v>
      </c>
      <c r="AG97" s="16"/>
      <c r="BC97" s="35"/>
      <c r="BD97" s="35"/>
      <c r="BE97" s="35"/>
      <c r="BF97" s="35"/>
      <c r="BG97" s="35"/>
      <c r="BJ97" s="278">
        <v>132026</v>
      </c>
      <c r="BL97">
        <v>13</v>
      </c>
      <c r="BN97">
        <v>13</v>
      </c>
      <c r="BZ97" s="278" t="s">
        <v>205</v>
      </c>
      <c r="CC97">
        <v>0</v>
      </c>
      <c r="CD97">
        <v>0</v>
      </c>
      <c r="CE97">
        <v>0</v>
      </c>
      <c r="CF97">
        <v>0</v>
      </c>
      <c r="CL97" s="26" t="s">
        <v>173</v>
      </c>
      <c r="CZ97">
        <v>14</v>
      </c>
      <c r="DA97">
        <v>17</v>
      </c>
      <c r="DB97">
        <v>17</v>
      </c>
      <c r="DC97">
        <v>16</v>
      </c>
      <c r="DD97">
        <v>16</v>
      </c>
      <c r="EM97">
        <v>0</v>
      </c>
      <c r="EN97">
        <v>0</v>
      </c>
      <c r="EO97">
        <v>0</v>
      </c>
      <c r="EP97">
        <v>17</v>
      </c>
      <c r="GS97" s="26">
        <v>40</v>
      </c>
      <c r="GT97" s="16">
        <v>6436</v>
      </c>
      <c r="GU97">
        <v>24</v>
      </c>
      <c r="GV97" s="16">
        <v>3775000</v>
      </c>
      <c r="GW97" s="16">
        <v>0</v>
      </c>
      <c r="GX97" s="35">
        <v>18628640</v>
      </c>
      <c r="GY97" s="313">
        <v>5880000</v>
      </c>
      <c r="GZ97" s="332">
        <v>12335090</v>
      </c>
      <c r="HA97" s="35">
        <v>6795793.5483870972</v>
      </c>
      <c r="HB97" s="35">
        <v>-502243.54838709719</v>
      </c>
      <c r="HC97" s="13">
        <v>-2.6960827434911898E-2</v>
      </c>
      <c r="HD97" s="13">
        <v>0.10539758993317219</v>
      </c>
      <c r="HE97" s="16">
        <v>8742.0758234928526</v>
      </c>
      <c r="HF97" s="13">
        <v>0.1138383335703114</v>
      </c>
      <c r="HG97" s="13"/>
      <c r="HH97" s="1">
        <f t="shared" si="36"/>
        <v>-2105000</v>
      </c>
      <c r="HI97" s="27">
        <f t="shared" si="37"/>
        <v>-0.5576158940397351</v>
      </c>
      <c r="HJ97" s="1">
        <f t="shared" si="38"/>
        <v>-2105000</v>
      </c>
      <c r="HK97" s="27">
        <f t="shared" si="39"/>
        <v>-0.5576158940397351</v>
      </c>
      <c r="JO97"/>
      <c r="JP97"/>
      <c r="JS97"/>
      <c r="JT97"/>
      <c r="JV97"/>
      <c r="JZ97"/>
      <c r="KA97"/>
      <c r="KN97" s="278" t="s">
        <v>165</v>
      </c>
      <c r="MI97">
        <v>0</v>
      </c>
      <c r="MJ97">
        <v>0</v>
      </c>
      <c r="MK97">
        <v>0</v>
      </c>
      <c r="ML97">
        <v>0</v>
      </c>
    </row>
    <row r="98" spans="1:350">
      <c r="A98" s="109"/>
      <c r="B98" s="27">
        <f t="shared" si="29"/>
        <v>0.11367688755078775</v>
      </c>
      <c r="C98" s="27">
        <f t="shared" si="30"/>
        <v>7.6364327263160975E-2</v>
      </c>
      <c r="D98" s="1">
        <f t="shared" si="31"/>
        <v>209000</v>
      </c>
      <c r="E98" s="278">
        <v>19</v>
      </c>
      <c r="F98" s="16">
        <v>7783</v>
      </c>
      <c r="G98">
        <v>25</v>
      </c>
      <c r="H98" s="16">
        <v>68422000</v>
      </c>
      <c r="I98" s="16">
        <v>15737060</v>
      </c>
      <c r="J98" s="16">
        <v>2862000</v>
      </c>
      <c r="K98" s="16">
        <v>2961290.3870967743</v>
      </c>
      <c r="M98" s="16">
        <v>21560350.387096774</v>
      </c>
      <c r="N98" s="16">
        <v>7778000</v>
      </c>
      <c r="O98" s="16">
        <v>5225000</v>
      </c>
      <c r="P98" s="16">
        <v>0</v>
      </c>
      <c r="Q98" s="16"/>
      <c r="R98" s="16">
        <v>0</v>
      </c>
      <c r="S98"/>
      <c r="T98" s="12">
        <v>13003000</v>
      </c>
      <c r="U98" s="313">
        <v>5565000</v>
      </c>
      <c r="V98" s="16">
        <v>0</v>
      </c>
      <c r="W98" s="123">
        <v>575000</v>
      </c>
      <c r="X98" s="123">
        <v>411871</v>
      </c>
      <c r="Y98" s="12">
        <v>6551871</v>
      </c>
      <c r="Z98" s="12">
        <v>2005479.3870967738</v>
      </c>
      <c r="AA98" s="13">
        <v>9.3017012761397108E-2</v>
      </c>
      <c r="AB98" s="13">
        <v>0.11367688755078775</v>
      </c>
      <c r="AC98" s="16">
        <v>8791.2116150584607</v>
      </c>
      <c r="AD98" s="13">
        <v>7.6364327263160975E-2</v>
      </c>
      <c r="AF98" s="1">
        <f t="shared" si="32"/>
        <v>311.32</v>
      </c>
      <c r="AG98" s="16"/>
      <c r="BC98" s="35"/>
      <c r="BD98" s="35"/>
      <c r="BE98" s="35"/>
      <c r="BF98" s="35"/>
      <c r="BG98" s="35"/>
      <c r="BJ98" s="11" t="s">
        <v>176</v>
      </c>
      <c r="BK98">
        <v>25</v>
      </c>
      <c r="BN98">
        <v>25</v>
      </c>
      <c r="BZ98" s="278" t="s">
        <v>173</v>
      </c>
      <c r="CC98">
        <v>0</v>
      </c>
      <c r="CD98">
        <v>0</v>
      </c>
      <c r="CE98">
        <v>0</v>
      </c>
      <c r="CF98">
        <v>0</v>
      </c>
      <c r="CL98" s="26" t="s">
        <v>174</v>
      </c>
      <c r="CZ98">
        <v>49</v>
      </c>
      <c r="DA98">
        <v>56</v>
      </c>
      <c r="DB98">
        <v>53</v>
      </c>
      <c r="DC98">
        <v>51</v>
      </c>
      <c r="DD98">
        <v>43</v>
      </c>
      <c r="EM98">
        <v>0</v>
      </c>
      <c r="EN98">
        <v>0</v>
      </c>
      <c r="EO98">
        <v>0</v>
      </c>
      <c r="EP98">
        <v>56</v>
      </c>
      <c r="GS98" s="26">
        <v>41</v>
      </c>
      <c r="GT98" s="16">
        <v>6591</v>
      </c>
      <c r="GU98">
        <v>21</v>
      </c>
      <c r="GV98" s="16">
        <v>3200000</v>
      </c>
      <c r="GW98" s="16">
        <v>0</v>
      </c>
      <c r="GX98" s="35">
        <v>18221240</v>
      </c>
      <c r="GY98" s="313">
        <v>5145000</v>
      </c>
      <c r="GZ98" s="332">
        <v>12920355</v>
      </c>
      <c r="HA98" s="35">
        <v>5931870.9677419355</v>
      </c>
      <c r="HB98" s="35">
        <v>-630985.96774193645</v>
      </c>
      <c r="HC98" s="13">
        <v>-3.4629145312938987E-2</v>
      </c>
      <c r="HD98" s="13">
        <v>0.1122538685221726</v>
      </c>
      <c r="HE98" s="16">
        <v>8765.5894401456535</v>
      </c>
      <c r="HF98" s="13">
        <v>0.11138228268771419</v>
      </c>
      <c r="HG98" s="13"/>
      <c r="HH98" s="1">
        <f t="shared" si="36"/>
        <v>-1945000</v>
      </c>
      <c r="HI98" s="27">
        <f t="shared" si="37"/>
        <v>-0.60781249999999998</v>
      </c>
      <c r="HJ98" s="1">
        <f t="shared" si="38"/>
        <v>-1945000</v>
      </c>
      <c r="HK98" s="27">
        <f t="shared" si="39"/>
        <v>-0.60781249999999998</v>
      </c>
      <c r="JO98"/>
      <c r="JP98"/>
      <c r="JS98"/>
      <c r="JT98"/>
      <c r="JV98"/>
      <c r="JZ98"/>
      <c r="KA98"/>
      <c r="KN98" s="278" t="s">
        <v>36</v>
      </c>
      <c r="MI98">
        <v>0</v>
      </c>
      <c r="MJ98">
        <v>0</v>
      </c>
      <c r="MK98">
        <v>0</v>
      </c>
      <c r="ML98">
        <v>0</v>
      </c>
    </row>
    <row r="99" spans="1:350">
      <c r="A99" s="109"/>
      <c r="B99" s="27">
        <f t="shared" si="29"/>
        <v>0.11372597953581233</v>
      </c>
      <c r="C99" s="27">
        <f t="shared" si="30"/>
        <v>8.6515264952998924E-2</v>
      </c>
      <c r="D99" s="1">
        <f t="shared" si="31"/>
        <v>236363.63636363635</v>
      </c>
      <c r="E99" s="278">
        <v>20</v>
      </c>
      <c r="F99" s="16">
        <v>6838</v>
      </c>
      <c r="G99">
        <v>22</v>
      </c>
      <c r="H99" s="16">
        <v>60105000</v>
      </c>
      <c r="I99" s="16">
        <v>13824150</v>
      </c>
      <c r="J99" s="16">
        <v>2610000</v>
      </c>
      <c r="K99" s="16">
        <v>2961290.3870967743</v>
      </c>
      <c r="M99" s="16">
        <v>19395440.387096774</v>
      </c>
      <c r="N99" s="16">
        <v>6835500</v>
      </c>
      <c r="O99" s="16">
        <v>5200000</v>
      </c>
      <c r="P99" s="16">
        <v>0</v>
      </c>
      <c r="Q99" s="16"/>
      <c r="R99" s="16">
        <v>0</v>
      </c>
      <c r="S99"/>
      <c r="T99" s="12">
        <v>12035500</v>
      </c>
      <c r="U99" s="313">
        <v>5075000</v>
      </c>
      <c r="V99" s="16">
        <v>0</v>
      </c>
      <c r="W99" s="123">
        <v>300000</v>
      </c>
      <c r="X99" s="123">
        <v>411871</v>
      </c>
      <c r="Y99" s="12">
        <v>5786871</v>
      </c>
      <c r="Z99" s="12">
        <v>1573069.3870967738</v>
      </c>
      <c r="AA99" s="13">
        <v>8.1105113145215901E-2</v>
      </c>
      <c r="AB99" s="13">
        <v>0.11372597953581233</v>
      </c>
      <c r="AC99" s="16">
        <v>8789.8508335770694</v>
      </c>
      <c r="AD99" s="13">
        <v>8.6515264952998924E-2</v>
      </c>
      <c r="AF99" s="1">
        <f t="shared" si="32"/>
        <v>310.81818181818181</v>
      </c>
      <c r="AG99" s="16"/>
      <c r="BC99" s="35"/>
      <c r="BD99" s="35"/>
      <c r="BE99" s="35"/>
      <c r="BF99" s="35"/>
      <c r="BG99" s="35"/>
      <c r="BJ99" s="26" t="s">
        <v>275</v>
      </c>
      <c r="BK99">
        <v>5</v>
      </c>
      <c r="BN99">
        <v>5</v>
      </c>
      <c r="BZ99" s="278" t="s">
        <v>174</v>
      </c>
      <c r="CC99">
        <v>0</v>
      </c>
      <c r="CD99">
        <v>0</v>
      </c>
      <c r="CE99">
        <v>0</v>
      </c>
      <c r="CF99">
        <v>0</v>
      </c>
      <c r="CL99" s="26" t="s">
        <v>203</v>
      </c>
      <c r="EM99">
        <v>0</v>
      </c>
      <c r="EN99">
        <v>0</v>
      </c>
      <c r="EO99">
        <v>0</v>
      </c>
      <c r="EP99">
        <v>0</v>
      </c>
      <c r="GS99" s="26">
        <v>42</v>
      </c>
      <c r="GT99" s="16">
        <v>6907</v>
      </c>
      <c r="GU99">
        <v>22</v>
      </c>
      <c r="GV99" s="16">
        <v>3500000</v>
      </c>
      <c r="GW99" s="16">
        <v>0</v>
      </c>
      <c r="GX99" s="35">
        <v>19449240</v>
      </c>
      <c r="GY99" s="313">
        <v>5390000</v>
      </c>
      <c r="GZ99" s="332">
        <v>13089930</v>
      </c>
      <c r="HA99" s="35">
        <v>6051021.5053763445</v>
      </c>
      <c r="HB99" s="35">
        <v>308288.49462365359</v>
      </c>
      <c r="HC99" s="13">
        <v>1.5850927574735753E-2</v>
      </c>
      <c r="HD99" s="13">
        <v>0.11440436490903688</v>
      </c>
      <c r="HE99" s="16">
        <v>8769.9435355436508</v>
      </c>
      <c r="HF99" s="13">
        <v>0.10169379601809357</v>
      </c>
      <c r="HG99" s="13"/>
      <c r="HH99" s="1">
        <f t="shared" si="36"/>
        <v>-1890000</v>
      </c>
      <c r="HI99" s="27">
        <f t="shared" si="37"/>
        <v>-0.54</v>
      </c>
      <c r="HJ99" s="1">
        <f t="shared" si="38"/>
        <v>-1890000</v>
      </c>
      <c r="HK99" s="27">
        <f t="shared" si="39"/>
        <v>-0.54</v>
      </c>
      <c r="JO99"/>
      <c r="JP99"/>
      <c r="JS99"/>
      <c r="JT99"/>
      <c r="JV99"/>
      <c r="JZ99"/>
      <c r="KA99"/>
      <c r="KN99" s="278" t="s">
        <v>166</v>
      </c>
      <c r="MI99">
        <v>0</v>
      </c>
      <c r="MJ99">
        <v>0</v>
      </c>
      <c r="MK99">
        <v>0</v>
      </c>
      <c r="ML99">
        <v>0</v>
      </c>
    </row>
    <row r="100" spans="1:350">
      <c r="A100" s="109"/>
      <c r="B100" s="27">
        <f t="shared" si="29"/>
        <v>0.11343784600783845</v>
      </c>
      <c r="C100" s="27">
        <f t="shared" si="30"/>
        <v>9.0071881755391131E-2</v>
      </c>
      <c r="D100" s="1">
        <f t="shared" si="31"/>
        <v>244047.61904761905</v>
      </c>
      <c r="E100" s="278">
        <v>21</v>
      </c>
      <c r="F100" s="16">
        <v>6454</v>
      </c>
      <c r="G100">
        <v>21</v>
      </c>
      <c r="H100" s="16">
        <v>56899000</v>
      </c>
      <c r="I100" s="16">
        <v>13086770</v>
      </c>
      <c r="J100" s="16">
        <v>3198000</v>
      </c>
      <c r="K100" s="16">
        <v>2961290.3870967743</v>
      </c>
      <c r="M100" s="16">
        <v>19246060.387096774</v>
      </c>
      <c r="N100" s="16">
        <v>6454500</v>
      </c>
      <c r="O100" s="16">
        <v>5125000</v>
      </c>
      <c r="P100" s="16">
        <v>4125000</v>
      </c>
      <c r="Q100" s="16"/>
      <c r="R100" s="16">
        <v>600000</v>
      </c>
      <c r="S100"/>
      <c r="T100" s="12">
        <v>16304500</v>
      </c>
      <c r="U100" s="313">
        <v>5145000</v>
      </c>
      <c r="V100" s="16">
        <v>0</v>
      </c>
      <c r="W100" s="123">
        <v>450000</v>
      </c>
      <c r="X100" s="123">
        <v>411870.96774193551</v>
      </c>
      <c r="Y100" s="12">
        <v>6006870.9677419355</v>
      </c>
      <c r="Z100" s="12">
        <v>-3065310.5806451626</v>
      </c>
      <c r="AA100" s="13">
        <v>-0.15926950861591668</v>
      </c>
      <c r="AB100" s="13">
        <v>0.11343784600783845</v>
      </c>
      <c r="AC100" s="16">
        <v>8816.0830492717687</v>
      </c>
      <c r="AD100" s="13">
        <v>9.0071881755391131E-2</v>
      </c>
      <c r="AF100" s="1">
        <f t="shared" si="32"/>
        <v>307.33333333333331</v>
      </c>
      <c r="AG100" s="16"/>
      <c r="BC100" s="35"/>
      <c r="BD100" s="35"/>
      <c r="BE100" s="35"/>
      <c r="BF100" s="35"/>
      <c r="BG100" s="35"/>
      <c r="BJ100" s="278">
        <v>52026</v>
      </c>
      <c r="BK100">
        <v>5</v>
      </c>
      <c r="BN100">
        <v>5</v>
      </c>
      <c r="BZ100" s="278" t="s">
        <v>203</v>
      </c>
      <c r="CC100">
        <v>0</v>
      </c>
      <c r="CD100">
        <v>0</v>
      </c>
      <c r="CE100">
        <v>0</v>
      </c>
      <c r="CF100">
        <v>0</v>
      </c>
      <c r="CL100" s="26" t="s">
        <v>175</v>
      </c>
      <c r="CZ100">
        <v>3</v>
      </c>
      <c r="DA100">
        <v>6</v>
      </c>
      <c r="DB100">
        <v>4</v>
      </c>
      <c r="DC100">
        <v>6</v>
      </c>
      <c r="EM100">
        <v>0</v>
      </c>
      <c r="EN100">
        <v>0</v>
      </c>
      <c r="EO100">
        <v>0</v>
      </c>
      <c r="EP100">
        <v>6</v>
      </c>
      <c r="GS100" s="26">
        <v>43</v>
      </c>
      <c r="GT100" s="16">
        <v>4832</v>
      </c>
      <c r="GU100">
        <v>20</v>
      </c>
      <c r="GV100" s="16">
        <v>3325000</v>
      </c>
      <c r="GW100" s="16">
        <v>0</v>
      </c>
      <c r="GX100" s="35">
        <v>14442840</v>
      </c>
      <c r="GY100" s="313">
        <v>4900000</v>
      </c>
      <c r="GZ100" s="332">
        <v>10373145</v>
      </c>
      <c r="HA100" s="35">
        <v>6936022</v>
      </c>
      <c r="HB100" s="35">
        <v>-2866327</v>
      </c>
      <c r="HC100" s="13">
        <v>-0.19846006741056468</v>
      </c>
      <c r="HD100" s="13">
        <v>9.8927199886212777E-2</v>
      </c>
      <c r="HE100" s="16">
        <v>8730.1324503311262</v>
      </c>
      <c r="HF100" s="13">
        <v>0.13749288829888109</v>
      </c>
      <c r="HG100" s="13"/>
      <c r="HH100" s="1">
        <f t="shared" si="36"/>
        <v>-1575000</v>
      </c>
      <c r="HI100" s="27">
        <f t="shared" si="37"/>
        <v>-0.47368421052631576</v>
      </c>
      <c r="HJ100" s="1">
        <f t="shared" si="38"/>
        <v>-1575000</v>
      </c>
      <c r="HK100" s="27">
        <f t="shared" si="39"/>
        <v>-0.47368421052631576</v>
      </c>
      <c r="JO100"/>
      <c r="JP100"/>
      <c r="JS100"/>
      <c r="JT100"/>
      <c r="JV100"/>
      <c r="JZ100"/>
      <c r="KA100"/>
      <c r="KN100" s="26" t="s">
        <v>199</v>
      </c>
      <c r="MI100">
        <v>0</v>
      </c>
      <c r="MJ100">
        <v>0</v>
      </c>
      <c r="MK100">
        <v>0</v>
      </c>
      <c r="ML100">
        <v>0</v>
      </c>
    </row>
    <row r="101" spans="1:350">
      <c r="A101" s="109"/>
      <c r="B101" s="27">
        <f t="shared" si="29"/>
        <v>0.11327603407259611</v>
      </c>
      <c r="C101" s="27">
        <f t="shared" si="30"/>
        <v>9.0936996393216174E-2</v>
      </c>
      <c r="D101" s="1">
        <f t="shared" si="31"/>
        <v>269318.18181818182</v>
      </c>
      <c r="E101" s="278">
        <v>22</v>
      </c>
      <c r="F101" s="16">
        <v>7382</v>
      </c>
      <c r="G101">
        <v>22</v>
      </c>
      <c r="H101" s="16">
        <v>65155000</v>
      </c>
      <c r="I101" s="16">
        <v>14985650</v>
      </c>
      <c r="J101" s="16">
        <v>2591999.9999999995</v>
      </c>
      <c r="K101" s="16">
        <v>2983963.1532258065</v>
      </c>
      <c r="M101" s="16">
        <v>20561613.153225806</v>
      </c>
      <c r="N101" s="16">
        <v>7380499.9999999991</v>
      </c>
      <c r="O101" s="16">
        <v>5925000</v>
      </c>
      <c r="P101" s="16">
        <v>0</v>
      </c>
      <c r="Q101" s="16"/>
      <c r="R101" s="16">
        <v>0</v>
      </c>
      <c r="S101"/>
      <c r="T101" s="12">
        <v>13305499.999999998</v>
      </c>
      <c r="U101" s="313">
        <v>5040000</v>
      </c>
      <c r="V101" s="16">
        <v>0</v>
      </c>
      <c r="W101" s="123">
        <v>375000</v>
      </c>
      <c r="X101" s="123">
        <v>411870.96774193598</v>
      </c>
      <c r="Y101" s="12">
        <v>5826870.9677419364</v>
      </c>
      <c r="Z101" s="12">
        <v>1429242.1854838729</v>
      </c>
      <c r="AA101" s="13">
        <v>6.9510216675759531E-2</v>
      </c>
      <c r="AB101" s="13">
        <v>0.11327603407259611</v>
      </c>
      <c r="AC101" s="16">
        <v>8826.1988620969933</v>
      </c>
      <c r="AD101" s="13">
        <v>9.0936996393216174E-2</v>
      </c>
      <c r="AF101" s="1">
        <f t="shared" si="32"/>
        <v>335.54545454545456</v>
      </c>
      <c r="AG101" s="16"/>
      <c r="BC101" s="35"/>
      <c r="BD101" s="35"/>
      <c r="BE101" s="35"/>
      <c r="BF101" s="35"/>
      <c r="BG101" s="35"/>
      <c r="BJ101" s="26" t="s">
        <v>256</v>
      </c>
      <c r="BK101">
        <v>6</v>
      </c>
      <c r="BN101">
        <v>6</v>
      </c>
      <c r="BZ101" s="278" t="s">
        <v>175</v>
      </c>
      <c r="CC101">
        <v>0</v>
      </c>
      <c r="CD101">
        <v>0</v>
      </c>
      <c r="CE101">
        <v>0</v>
      </c>
      <c r="CF101">
        <v>0</v>
      </c>
      <c r="CL101" s="26" t="s">
        <v>200</v>
      </c>
      <c r="EM101">
        <v>0</v>
      </c>
      <c r="EN101">
        <v>0</v>
      </c>
      <c r="EO101">
        <v>0</v>
      </c>
      <c r="EP101">
        <v>0</v>
      </c>
      <c r="GS101" s="82">
        <v>44</v>
      </c>
      <c r="GT101" s="81">
        <v>4819</v>
      </c>
      <c r="GU101" s="91">
        <v>19</v>
      </c>
      <c r="GV101" s="81">
        <v>2800000</v>
      </c>
      <c r="GW101" s="81">
        <v>0</v>
      </c>
      <c r="GX101" s="37">
        <v>13888680</v>
      </c>
      <c r="GY101" s="322">
        <v>4655000</v>
      </c>
      <c r="GZ101" s="333">
        <v>9699800</v>
      </c>
      <c r="HA101" s="37">
        <v>5843745.5197132612</v>
      </c>
      <c r="HB101" s="37">
        <v>-1654865.519713263</v>
      </c>
      <c r="HC101" s="244">
        <v>-0.11915210946708132</v>
      </c>
      <c r="HD101" s="244">
        <v>9.8529690760766453E-2</v>
      </c>
      <c r="HE101" s="81">
        <v>8750.3631458808886</v>
      </c>
      <c r="HF101" s="244">
        <v>0.13149781825080631</v>
      </c>
      <c r="HG101" s="13"/>
      <c r="HH101" s="1">
        <f t="shared" ref="HH101:HH125" si="40">GV101-GY101</f>
        <v>-1855000</v>
      </c>
      <c r="HI101" s="27">
        <f t="shared" ref="HI101:HI125" si="41">HH101/GV101</f>
        <v>-0.66249999999999998</v>
      </c>
      <c r="HJ101" s="1">
        <f t="shared" ref="HJ101:HJ125" si="42">GV101+GW101-GY101</f>
        <v>-1855000</v>
      </c>
      <c r="HK101" s="27">
        <f t="shared" ref="HK101:HK125" si="43">HJ101/(GV101+GW101)</f>
        <v>-0.66249999999999998</v>
      </c>
      <c r="JO101"/>
      <c r="JP101"/>
      <c r="JS101"/>
      <c r="JT101"/>
      <c r="JV101"/>
      <c r="JZ101"/>
      <c r="KA101"/>
      <c r="KN101" s="278" t="s">
        <v>21</v>
      </c>
      <c r="MI101">
        <v>0</v>
      </c>
      <c r="MJ101">
        <v>0</v>
      </c>
      <c r="MK101">
        <v>0</v>
      </c>
      <c r="ML101">
        <v>0</v>
      </c>
    </row>
    <row r="102" spans="1:350">
      <c r="A102" s="109"/>
      <c r="B102" s="27">
        <f t="shared" si="29"/>
        <v>0.11363972436636796</v>
      </c>
      <c r="C102" s="27">
        <f t="shared" si="30"/>
        <v>7.8741904001419574E-2</v>
      </c>
      <c r="D102" s="1">
        <f t="shared" si="31"/>
        <v>231521.73913043478</v>
      </c>
      <c r="E102" s="278">
        <v>23</v>
      </c>
      <c r="F102" s="16">
        <v>7686</v>
      </c>
      <c r="G102">
        <v>23</v>
      </c>
      <c r="H102" s="16">
        <v>67626000</v>
      </c>
      <c r="I102" s="16">
        <v>15553980</v>
      </c>
      <c r="J102" s="16">
        <v>2844000</v>
      </c>
      <c r="K102" s="16">
        <v>3119999.75</v>
      </c>
      <c r="M102" s="16">
        <v>21517979.75</v>
      </c>
      <c r="N102" s="16">
        <v>7685000</v>
      </c>
      <c r="O102" s="16">
        <v>5325000</v>
      </c>
      <c r="P102" s="16">
        <v>0</v>
      </c>
      <c r="Q102" s="16"/>
      <c r="R102" s="16">
        <v>0</v>
      </c>
      <c r="S102"/>
      <c r="T102" s="12">
        <v>13010000</v>
      </c>
      <c r="U102" s="313">
        <v>5530000</v>
      </c>
      <c r="V102" s="16">
        <v>0</v>
      </c>
      <c r="W102" s="123">
        <v>225000</v>
      </c>
      <c r="X102" s="123">
        <v>411870.96774193551</v>
      </c>
      <c r="Y102" s="12">
        <v>6166870.9677419355</v>
      </c>
      <c r="Z102" s="12">
        <v>2341108.7822580636</v>
      </c>
      <c r="AA102" s="13">
        <v>0.1087977965151707</v>
      </c>
      <c r="AB102" s="13">
        <v>0.11363972436636796</v>
      </c>
      <c r="AC102" s="16">
        <v>8798.5948477751754</v>
      </c>
      <c r="AD102" s="13">
        <v>7.8741904001419574E-2</v>
      </c>
      <c r="AF102" s="1">
        <f t="shared" si="32"/>
        <v>334.17391304347825</v>
      </c>
      <c r="AG102" s="16"/>
      <c r="BC102" s="35"/>
      <c r="BD102" s="35"/>
      <c r="BE102" s="35"/>
      <c r="BF102" s="35"/>
      <c r="BG102" s="35"/>
      <c r="BJ102" s="278">
        <v>62026</v>
      </c>
      <c r="BK102">
        <v>6</v>
      </c>
      <c r="BN102">
        <v>6</v>
      </c>
      <c r="BZ102" s="278" t="s">
        <v>200</v>
      </c>
      <c r="CC102">
        <v>0</v>
      </c>
      <c r="CD102">
        <v>0</v>
      </c>
      <c r="CE102">
        <v>0</v>
      </c>
      <c r="CF102">
        <v>0</v>
      </c>
      <c r="CL102" s="26" t="s">
        <v>176</v>
      </c>
      <c r="EM102">
        <v>0</v>
      </c>
      <c r="EN102">
        <v>0</v>
      </c>
      <c r="EO102">
        <v>0</v>
      </c>
      <c r="EP102">
        <v>0</v>
      </c>
      <c r="GS102" s="82">
        <v>45</v>
      </c>
      <c r="GT102" s="81">
        <v>6290</v>
      </c>
      <c r="GU102" s="91">
        <v>21</v>
      </c>
      <c r="GV102" s="81">
        <v>2850000</v>
      </c>
      <c r="GW102" s="81">
        <v>0</v>
      </c>
      <c r="GX102" s="37">
        <v>17489880</v>
      </c>
      <c r="GY102" s="322">
        <v>5145000</v>
      </c>
      <c r="GZ102" s="333">
        <v>12868250</v>
      </c>
      <c r="HA102" s="37">
        <v>6340555.555555556</v>
      </c>
      <c r="HB102" s="37">
        <v>-1718925.555555556</v>
      </c>
      <c r="HC102" s="244">
        <v>-9.8281152046529541E-2</v>
      </c>
      <c r="HD102" s="244">
        <v>0.11628524613777953</v>
      </c>
      <c r="HE102" s="81">
        <v>8829.5707472178055</v>
      </c>
      <c r="HF102" s="244">
        <v>0.11541647160502719</v>
      </c>
      <c r="HG102" s="13"/>
      <c r="HH102" s="1">
        <f t="shared" si="40"/>
        <v>-2295000</v>
      </c>
      <c r="HI102" s="27">
        <f t="shared" si="41"/>
        <v>-0.80526315789473679</v>
      </c>
      <c r="HJ102" s="1">
        <f t="shared" si="42"/>
        <v>-2295000</v>
      </c>
      <c r="HK102" s="27">
        <f t="shared" si="43"/>
        <v>-0.80526315789473679</v>
      </c>
      <c r="JO102"/>
      <c r="JP102"/>
      <c r="JS102"/>
      <c r="JT102"/>
      <c r="JV102"/>
      <c r="JZ102"/>
      <c r="KA102"/>
      <c r="KN102" s="278" t="s">
        <v>158</v>
      </c>
      <c r="MI102">
        <v>0</v>
      </c>
      <c r="MJ102">
        <v>0</v>
      </c>
      <c r="MK102">
        <v>0</v>
      </c>
      <c r="ML102">
        <v>0</v>
      </c>
    </row>
    <row r="103" spans="1:350">
      <c r="A103" s="109"/>
      <c r="B103" s="27">
        <f t="shared" si="29"/>
        <v>0.11872181109479155</v>
      </c>
      <c r="C103" s="27">
        <f t="shared" si="30"/>
        <v>9.0138119986442208E-2</v>
      </c>
      <c r="D103" s="1">
        <f t="shared" si="31"/>
        <v>277500</v>
      </c>
      <c r="E103" s="278">
        <v>24</v>
      </c>
      <c r="F103" s="16">
        <v>8082</v>
      </c>
      <c r="G103">
        <v>23</v>
      </c>
      <c r="H103" s="16">
        <v>70808000</v>
      </c>
      <c r="I103" s="16">
        <v>18410080</v>
      </c>
      <c r="J103" s="16">
        <v>4025000</v>
      </c>
      <c r="K103" s="16">
        <v>0</v>
      </c>
      <c r="M103" s="16">
        <v>22435080</v>
      </c>
      <c r="N103" s="16">
        <v>8406454</v>
      </c>
      <c r="O103" s="16">
        <v>6382500</v>
      </c>
      <c r="P103" s="16">
        <v>0</v>
      </c>
      <c r="Q103" s="16"/>
      <c r="R103" s="16">
        <v>0</v>
      </c>
      <c r="S103"/>
      <c r="T103" s="12">
        <v>14788954</v>
      </c>
      <c r="U103" s="313">
        <v>5635000</v>
      </c>
      <c r="V103" s="16">
        <v>0</v>
      </c>
      <c r="W103" s="123">
        <v>450000</v>
      </c>
      <c r="X103" s="123">
        <v>411870.96774193551</v>
      </c>
      <c r="Y103" s="12">
        <v>6496870.9677419355</v>
      </c>
      <c r="Z103" s="12">
        <v>1149255.0322580636</v>
      </c>
      <c r="AA103" s="13">
        <v>5.1225804956258836E-2</v>
      </c>
      <c r="AB103" s="13">
        <v>0.11872181109479155</v>
      </c>
      <c r="AC103" s="16">
        <v>8761.1977233358084</v>
      </c>
      <c r="AD103" s="13">
        <v>9.0138119986442208E-2</v>
      </c>
      <c r="AF103" s="1">
        <f t="shared" si="32"/>
        <v>351.39130434782606</v>
      </c>
      <c r="AG103" s="16"/>
      <c r="BC103" s="35"/>
      <c r="BD103" s="35"/>
      <c r="BE103" s="35"/>
      <c r="BF103" s="35"/>
      <c r="BG103" s="35"/>
      <c r="BJ103" s="26" t="s">
        <v>278</v>
      </c>
      <c r="BK103">
        <v>6</v>
      </c>
      <c r="BN103">
        <v>6</v>
      </c>
      <c r="BZ103" s="278" t="s">
        <v>176</v>
      </c>
      <c r="CC103">
        <v>0</v>
      </c>
      <c r="CD103">
        <v>0</v>
      </c>
      <c r="CE103">
        <v>0</v>
      </c>
      <c r="CF103">
        <v>0</v>
      </c>
      <c r="CL103" s="26" t="s">
        <v>201</v>
      </c>
      <c r="CZ103">
        <v>1</v>
      </c>
      <c r="DB103">
        <v>2</v>
      </c>
      <c r="EM103">
        <v>0</v>
      </c>
      <c r="EN103">
        <v>0</v>
      </c>
      <c r="EO103">
        <v>0</v>
      </c>
      <c r="EP103">
        <v>2</v>
      </c>
      <c r="GS103" s="26" t="s">
        <v>180</v>
      </c>
      <c r="GT103" s="16">
        <v>0</v>
      </c>
      <c r="GU103">
        <v>0</v>
      </c>
      <c r="GV103" s="16">
        <v>0</v>
      </c>
      <c r="GW103" s="16">
        <v>0</v>
      </c>
      <c r="GX103" s="35">
        <v>0</v>
      </c>
      <c r="GY103" s="313">
        <v>0</v>
      </c>
      <c r="GZ103" s="332">
        <v>0</v>
      </c>
      <c r="HA103" s="35">
        <v>0</v>
      </c>
      <c r="HB103" s="35">
        <v>0</v>
      </c>
      <c r="HC103" s="13">
        <v>0</v>
      </c>
      <c r="HD103" s="13">
        <v>0</v>
      </c>
      <c r="HE103" s="16">
        <v>0</v>
      </c>
      <c r="HF103" s="13">
        <v>0</v>
      </c>
      <c r="HG103" s="13"/>
      <c r="HH103" s="1">
        <f t="shared" si="40"/>
        <v>0</v>
      </c>
      <c r="HI103" s="27" t="e">
        <f t="shared" si="41"/>
        <v>#DIV/0!</v>
      </c>
      <c r="HJ103" s="1">
        <f t="shared" si="42"/>
        <v>0</v>
      </c>
      <c r="HK103" s="27" t="e">
        <f t="shared" si="43"/>
        <v>#DIV/0!</v>
      </c>
      <c r="JO103"/>
      <c r="JP103"/>
      <c r="JS103"/>
      <c r="JT103"/>
      <c r="JV103"/>
      <c r="JZ103"/>
      <c r="KA103"/>
      <c r="KN103" s="278" t="s">
        <v>159</v>
      </c>
      <c r="MI103">
        <v>0</v>
      </c>
      <c r="MJ103">
        <v>0</v>
      </c>
      <c r="MK103">
        <v>0</v>
      </c>
      <c r="ML103">
        <v>0</v>
      </c>
    </row>
    <row r="104" spans="1:350">
      <c r="B104" s="27">
        <f t="shared" ref="B104:B107" si="44">N104/H104</f>
        <v>0.11290218342170567</v>
      </c>
      <c r="C104" s="27">
        <f t="shared" ref="C104:C107" si="45">O104/H104</f>
        <v>9.0737864424330072E-2</v>
      </c>
      <c r="D104" s="1">
        <f t="shared" ref="D104:D107" si="46">O104/G104</f>
        <v>231022.72727272726</v>
      </c>
      <c r="E104" s="278">
        <v>25</v>
      </c>
      <c r="F104" s="16">
        <v>6354</v>
      </c>
      <c r="G104">
        <v>22</v>
      </c>
      <c r="H104" s="16">
        <v>56013000</v>
      </c>
      <c r="I104" s="16">
        <v>14563380</v>
      </c>
      <c r="J104" s="16">
        <v>2700000</v>
      </c>
      <c r="K104" s="16">
        <v>0</v>
      </c>
      <c r="M104" s="16">
        <v>17263380</v>
      </c>
      <c r="N104" s="16">
        <v>6323990</v>
      </c>
      <c r="O104" s="16">
        <v>5082500</v>
      </c>
      <c r="P104" s="16">
        <v>0</v>
      </c>
      <c r="Q104" s="16"/>
      <c r="R104" s="16">
        <v>0</v>
      </c>
      <c r="S104"/>
      <c r="T104" s="12">
        <v>11406490</v>
      </c>
      <c r="U104" s="313">
        <v>5390000</v>
      </c>
      <c r="V104" s="16">
        <v>0</v>
      </c>
      <c r="W104" s="123">
        <v>0</v>
      </c>
      <c r="X104" s="123">
        <v>425600</v>
      </c>
      <c r="Y104" s="12">
        <v>5815600</v>
      </c>
      <c r="Z104" s="12">
        <v>41290</v>
      </c>
      <c r="AA104" s="13">
        <v>2.3917680083506243E-3</v>
      </c>
      <c r="AB104" s="13">
        <v>0.11290218342170567</v>
      </c>
      <c r="AC104" s="16">
        <v>8815.3918791312553</v>
      </c>
      <c r="AD104" s="13">
        <v>9.0737864424330072E-2</v>
      </c>
      <c r="AF104" s="1">
        <f t="shared" si="32"/>
        <v>288.81818181818181</v>
      </c>
      <c r="AG104" s="16"/>
      <c r="BC104" s="35"/>
      <c r="BD104" s="35"/>
      <c r="BE104" s="35"/>
      <c r="BF104" s="35"/>
      <c r="BG104" s="35"/>
      <c r="BJ104" s="278">
        <v>72026</v>
      </c>
      <c r="BK104">
        <v>6</v>
      </c>
      <c r="BN104">
        <v>6</v>
      </c>
      <c r="BZ104" s="278" t="s">
        <v>201</v>
      </c>
      <c r="CC104">
        <v>0</v>
      </c>
      <c r="CD104">
        <v>0</v>
      </c>
      <c r="CE104">
        <v>0</v>
      </c>
      <c r="CF104">
        <v>0</v>
      </c>
      <c r="CL104" s="26" t="s">
        <v>178</v>
      </c>
      <c r="EM104">
        <v>0</v>
      </c>
      <c r="EN104">
        <v>0</v>
      </c>
      <c r="EO104">
        <v>0</v>
      </c>
      <c r="EP104">
        <v>0</v>
      </c>
      <c r="GS104" s="26" t="s">
        <v>181</v>
      </c>
      <c r="GT104" s="16">
        <v>0</v>
      </c>
      <c r="GU104">
        <v>0</v>
      </c>
      <c r="GV104" s="16">
        <v>0</v>
      </c>
      <c r="GW104" s="16">
        <v>0</v>
      </c>
      <c r="GX104" s="35">
        <v>0</v>
      </c>
      <c r="GY104" s="313">
        <v>0</v>
      </c>
      <c r="GZ104" s="332">
        <v>0</v>
      </c>
      <c r="HA104" s="35">
        <v>0</v>
      </c>
      <c r="HB104" s="35">
        <v>0</v>
      </c>
      <c r="HC104" s="13">
        <v>0</v>
      </c>
      <c r="HD104" s="13">
        <v>0</v>
      </c>
      <c r="HE104" s="16">
        <v>0</v>
      </c>
      <c r="HF104" s="13">
        <v>0</v>
      </c>
      <c r="HG104" s="13"/>
      <c r="HH104" s="1">
        <f t="shared" si="40"/>
        <v>0</v>
      </c>
      <c r="HI104" s="27" t="e">
        <f t="shared" si="41"/>
        <v>#DIV/0!</v>
      </c>
      <c r="HJ104" s="1">
        <f t="shared" si="42"/>
        <v>0</v>
      </c>
      <c r="HK104" s="27" t="e">
        <f t="shared" si="43"/>
        <v>#DIV/0!</v>
      </c>
      <c r="JO104"/>
      <c r="JP104"/>
      <c r="JS104"/>
      <c r="JT104"/>
      <c r="JV104"/>
      <c r="JZ104"/>
      <c r="KA104"/>
      <c r="KN104" s="278" t="s">
        <v>160</v>
      </c>
      <c r="MI104">
        <v>0</v>
      </c>
      <c r="MJ104">
        <v>0</v>
      </c>
      <c r="MK104">
        <v>0</v>
      </c>
      <c r="ML104">
        <v>0</v>
      </c>
    </row>
    <row r="105" spans="1:350">
      <c r="A105" s="109"/>
      <c r="B105" s="27">
        <f t="shared" si="44"/>
        <v>0.1172916743790027</v>
      </c>
      <c r="C105" s="27">
        <f t="shared" si="45"/>
        <v>8.6532410320956571E-2</v>
      </c>
      <c r="D105" s="1">
        <f t="shared" si="46"/>
        <v>233750</v>
      </c>
      <c r="E105" s="278">
        <v>26</v>
      </c>
      <c r="F105" s="16">
        <v>6188</v>
      </c>
      <c r="G105">
        <v>20</v>
      </c>
      <c r="H105" s="16">
        <v>54026000</v>
      </c>
      <c r="I105" s="16">
        <v>14046760</v>
      </c>
      <c r="J105" s="16">
        <v>2975000</v>
      </c>
      <c r="K105" s="16">
        <v>0</v>
      </c>
      <c r="M105" s="16">
        <v>17021760</v>
      </c>
      <c r="N105" s="16">
        <v>6336800</v>
      </c>
      <c r="O105" s="16">
        <v>4675000</v>
      </c>
      <c r="P105" s="16">
        <v>2506000</v>
      </c>
      <c r="Q105" s="16"/>
      <c r="R105" s="16">
        <v>600000</v>
      </c>
      <c r="S105"/>
      <c r="T105" s="12">
        <v>14117800</v>
      </c>
      <c r="U105" s="313">
        <v>4900000</v>
      </c>
      <c r="V105" s="16">
        <v>0</v>
      </c>
      <c r="W105" s="123">
        <v>375000</v>
      </c>
      <c r="X105" s="123">
        <v>425600</v>
      </c>
      <c r="Y105" s="12">
        <v>5700600</v>
      </c>
      <c r="Z105" s="12">
        <v>-2796640</v>
      </c>
      <c r="AA105" s="13">
        <v>-0.16429793393867614</v>
      </c>
      <c r="AB105" s="13">
        <v>0.1172916743790027</v>
      </c>
      <c r="AC105" s="16">
        <v>8730.7692307692305</v>
      </c>
      <c r="AD105" s="13">
        <v>8.6532410320956571E-2</v>
      </c>
      <c r="AF105" s="1">
        <f t="shared" si="32"/>
        <v>309.39999999999998</v>
      </c>
      <c r="AG105" s="231"/>
      <c r="BC105" s="85"/>
      <c r="BD105" s="85"/>
      <c r="BE105" s="85"/>
      <c r="BF105" s="85"/>
      <c r="BG105" s="85"/>
      <c r="BJ105" s="26" t="s">
        <v>279</v>
      </c>
      <c r="BK105">
        <v>4</v>
      </c>
      <c r="BN105">
        <v>4</v>
      </c>
      <c r="BZ105" s="278" t="s">
        <v>178</v>
      </c>
      <c r="CC105">
        <v>0</v>
      </c>
      <c r="CD105">
        <v>0</v>
      </c>
      <c r="CE105">
        <v>0</v>
      </c>
      <c r="CF105">
        <v>0</v>
      </c>
      <c r="CL105" s="26" t="s">
        <v>177</v>
      </c>
      <c r="EM105">
        <v>0</v>
      </c>
      <c r="EN105">
        <v>0</v>
      </c>
      <c r="EO105">
        <v>0</v>
      </c>
      <c r="EP105">
        <v>0</v>
      </c>
      <c r="GS105" s="26" t="s">
        <v>182</v>
      </c>
      <c r="GT105" s="16">
        <v>0</v>
      </c>
      <c r="GU105">
        <v>0</v>
      </c>
      <c r="GV105" s="16">
        <v>0</v>
      </c>
      <c r="GW105" s="16">
        <v>0</v>
      </c>
      <c r="GX105" s="35">
        <v>0</v>
      </c>
      <c r="GY105" s="313">
        <v>0</v>
      </c>
      <c r="GZ105" s="332">
        <v>0</v>
      </c>
      <c r="HA105" s="35">
        <v>0</v>
      </c>
      <c r="HB105" s="35">
        <v>0</v>
      </c>
      <c r="HC105" s="13">
        <v>0</v>
      </c>
      <c r="HD105" s="13">
        <v>0</v>
      </c>
      <c r="HE105" s="16">
        <v>0</v>
      </c>
      <c r="HF105" s="13">
        <v>0</v>
      </c>
      <c r="HG105" s="13"/>
      <c r="HH105" s="1">
        <f t="shared" si="40"/>
        <v>0</v>
      </c>
      <c r="HI105" s="27" t="e">
        <f t="shared" si="41"/>
        <v>#DIV/0!</v>
      </c>
      <c r="HJ105" s="1">
        <f t="shared" si="42"/>
        <v>0</v>
      </c>
      <c r="HK105" s="27" t="e">
        <f t="shared" si="43"/>
        <v>#DIV/0!</v>
      </c>
      <c r="JO105"/>
      <c r="JP105"/>
      <c r="JS105"/>
      <c r="JT105"/>
      <c r="JV105"/>
      <c r="JZ105"/>
      <c r="KA105"/>
      <c r="KN105" s="278" t="s">
        <v>161</v>
      </c>
      <c r="MI105">
        <v>0</v>
      </c>
      <c r="MJ105">
        <v>0</v>
      </c>
      <c r="MK105">
        <v>0</v>
      </c>
      <c r="ML105">
        <v>0</v>
      </c>
    </row>
    <row r="106" spans="1:350">
      <c r="B106" s="27">
        <f t="shared" si="44"/>
        <v>0.1099851033999299</v>
      </c>
      <c r="C106" s="27">
        <f t="shared" si="45"/>
        <v>9.4527690150718546E-2</v>
      </c>
      <c r="D106" s="1">
        <f t="shared" si="46"/>
        <v>215750</v>
      </c>
      <c r="E106" s="278">
        <v>27</v>
      </c>
      <c r="F106" s="16">
        <v>5188</v>
      </c>
      <c r="G106">
        <v>20</v>
      </c>
      <c r="H106" s="16">
        <v>45648000</v>
      </c>
      <c r="I106" s="16">
        <v>11868480</v>
      </c>
      <c r="J106" s="16">
        <v>2924999.9999999995</v>
      </c>
      <c r="K106" s="16">
        <v>0</v>
      </c>
      <c r="M106" s="16">
        <v>14793480</v>
      </c>
      <c r="N106" s="16">
        <v>5020600</v>
      </c>
      <c r="O106" s="16">
        <v>4315000</v>
      </c>
      <c r="P106" s="16">
        <v>0</v>
      </c>
      <c r="Q106" s="16"/>
      <c r="R106" s="16">
        <v>0</v>
      </c>
      <c r="S106"/>
      <c r="T106" s="12">
        <v>9335600</v>
      </c>
      <c r="U106" s="313">
        <v>4900000</v>
      </c>
      <c r="V106" s="16">
        <v>0</v>
      </c>
      <c r="W106" s="123">
        <v>150000</v>
      </c>
      <c r="X106" s="123">
        <v>425600</v>
      </c>
      <c r="Y106" s="12">
        <v>5475600</v>
      </c>
      <c r="Z106" s="12">
        <v>-17719.999999998603</v>
      </c>
      <c r="AA106" s="13">
        <v>-1.1978249877647859E-3</v>
      </c>
      <c r="AB106" s="13">
        <v>0.1099851033999299</v>
      </c>
      <c r="AC106" s="16">
        <v>8798.7663839629913</v>
      </c>
      <c r="AD106" s="13">
        <v>9.4527690150718546E-2</v>
      </c>
      <c r="AF106" s="1">
        <f t="shared" si="32"/>
        <v>259.39999999999998</v>
      </c>
      <c r="AG106" s="231"/>
      <c r="BC106" s="35"/>
      <c r="BD106" s="35"/>
      <c r="BE106" s="35"/>
      <c r="BF106" s="35"/>
      <c r="BG106" s="35"/>
      <c r="BJ106" s="278">
        <v>82026</v>
      </c>
      <c r="BK106">
        <v>4</v>
      </c>
      <c r="BN106">
        <v>4</v>
      </c>
      <c r="BZ106" s="278" t="s">
        <v>177</v>
      </c>
      <c r="CC106">
        <v>0</v>
      </c>
      <c r="CD106">
        <v>0</v>
      </c>
      <c r="CE106">
        <v>0</v>
      </c>
      <c r="CF106">
        <v>0</v>
      </c>
      <c r="CL106" s="26" t="s">
        <v>202</v>
      </c>
      <c r="EM106">
        <v>0</v>
      </c>
      <c r="EN106">
        <v>0</v>
      </c>
      <c r="EO106">
        <v>0</v>
      </c>
      <c r="EP106">
        <v>0</v>
      </c>
      <c r="GS106" s="11" t="s">
        <v>205</v>
      </c>
      <c r="GT106" s="16">
        <v>1878</v>
      </c>
      <c r="GU106">
        <v>6</v>
      </c>
      <c r="GV106" s="16">
        <v>0</v>
      </c>
      <c r="GW106" s="16">
        <v>0</v>
      </c>
      <c r="GX106" s="35">
        <v>251370.00000000006</v>
      </c>
      <c r="GY106" s="313">
        <v>0</v>
      </c>
      <c r="GZ106" s="332">
        <v>0</v>
      </c>
      <c r="HA106" s="35">
        <v>525000</v>
      </c>
      <c r="HB106" s="35">
        <v>-273630</v>
      </c>
      <c r="HC106" s="13">
        <v>-1.0885547201336672</v>
      </c>
      <c r="HD106" s="13">
        <v>0</v>
      </c>
      <c r="HE106" s="16">
        <v>1912.1405750798722</v>
      </c>
      <c r="HF106" s="13">
        <v>0</v>
      </c>
      <c r="HG106" s="13"/>
      <c r="HH106" s="1">
        <f t="shared" si="40"/>
        <v>0</v>
      </c>
      <c r="HI106" s="27" t="e">
        <f t="shared" si="41"/>
        <v>#DIV/0!</v>
      </c>
      <c r="HJ106" s="1">
        <f t="shared" si="42"/>
        <v>0</v>
      </c>
      <c r="HK106" s="27" t="e">
        <f t="shared" si="43"/>
        <v>#DIV/0!</v>
      </c>
      <c r="JO106"/>
      <c r="JP106"/>
      <c r="JS106"/>
      <c r="JT106"/>
      <c r="JV106"/>
      <c r="JZ106"/>
      <c r="KA106"/>
      <c r="KN106" s="278" t="s">
        <v>156</v>
      </c>
      <c r="MI106">
        <v>0</v>
      </c>
      <c r="MJ106">
        <v>0</v>
      </c>
      <c r="MK106">
        <v>0</v>
      </c>
      <c r="ML106">
        <v>0</v>
      </c>
    </row>
    <row r="107" spans="1:350">
      <c r="B107" s="27">
        <f t="shared" si="44"/>
        <v>0.11673591715332439</v>
      </c>
      <c r="C107" s="27">
        <f t="shared" si="45"/>
        <v>9.145235590699699E-2</v>
      </c>
      <c r="D107" s="1">
        <f t="shared" si="46"/>
        <v>265394.73684210528</v>
      </c>
      <c r="E107" s="278">
        <v>28</v>
      </c>
      <c r="F107" s="16">
        <v>6268</v>
      </c>
      <c r="G107">
        <v>19</v>
      </c>
      <c r="H107" s="16">
        <v>55138000</v>
      </c>
      <c r="I107" s="16">
        <v>14335880</v>
      </c>
      <c r="J107" s="16">
        <v>2850000</v>
      </c>
      <c r="K107" s="16">
        <v>0</v>
      </c>
      <c r="M107" s="16">
        <v>17185880</v>
      </c>
      <c r="N107" s="16">
        <v>6436585</v>
      </c>
      <c r="O107" s="16">
        <v>5042500</v>
      </c>
      <c r="P107" s="16">
        <v>0</v>
      </c>
      <c r="Q107" s="16"/>
      <c r="R107" s="16">
        <v>0</v>
      </c>
      <c r="S107"/>
      <c r="T107" s="12">
        <v>11479085</v>
      </c>
      <c r="U107" s="313">
        <v>4655000</v>
      </c>
      <c r="V107" s="16">
        <v>0</v>
      </c>
      <c r="W107" s="123">
        <v>150000</v>
      </c>
      <c r="X107" s="123">
        <v>425600</v>
      </c>
      <c r="Y107" s="12">
        <v>5230600</v>
      </c>
      <c r="Z107" s="12">
        <v>476195</v>
      </c>
      <c r="AA107" s="13">
        <v>2.7708502561405061E-2</v>
      </c>
      <c r="AB107" s="13">
        <v>0.11673591715332439</v>
      </c>
      <c r="AC107" s="16">
        <v>8796.745373324824</v>
      </c>
      <c r="AD107" s="13">
        <v>9.145235590699699E-2</v>
      </c>
      <c r="AF107" s="1">
        <f t="shared" si="32"/>
        <v>329.89473684210526</v>
      </c>
      <c r="AG107" s="231"/>
      <c r="BC107" s="85"/>
      <c r="BD107" s="85"/>
      <c r="BE107" s="85"/>
      <c r="BF107" s="85"/>
      <c r="BG107" s="85"/>
      <c r="BJ107" s="26" t="s">
        <v>280</v>
      </c>
      <c r="BK107">
        <v>4</v>
      </c>
      <c r="BN107">
        <v>4</v>
      </c>
      <c r="BZ107" s="278" t="s">
        <v>202</v>
      </c>
      <c r="CC107">
        <v>0</v>
      </c>
      <c r="CD107">
        <v>0</v>
      </c>
      <c r="CE107">
        <v>0</v>
      </c>
      <c r="CF107">
        <v>0</v>
      </c>
      <c r="CL107" s="26" t="s">
        <v>204</v>
      </c>
      <c r="EM107">
        <v>0</v>
      </c>
      <c r="EN107">
        <v>0</v>
      </c>
      <c r="EO107">
        <v>0</v>
      </c>
      <c r="EP107">
        <v>0</v>
      </c>
      <c r="GS107" s="26">
        <v>41</v>
      </c>
      <c r="GT107" s="16">
        <v>99</v>
      </c>
      <c r="GU107">
        <v>1</v>
      </c>
      <c r="GV107" s="16">
        <v>0</v>
      </c>
      <c r="GW107" s="16">
        <v>0</v>
      </c>
      <c r="GX107" s="35">
        <v>14000.000000000002</v>
      </c>
      <c r="GY107" s="313">
        <v>0</v>
      </c>
      <c r="GZ107" s="332">
        <v>0</v>
      </c>
      <c r="HA107" s="35">
        <v>0</v>
      </c>
      <c r="HB107" s="35">
        <v>14000.000000000002</v>
      </c>
      <c r="HC107" s="13">
        <v>1</v>
      </c>
      <c r="HD107" s="13">
        <v>0</v>
      </c>
      <c r="HE107" s="16">
        <v>2020.2020202020201</v>
      </c>
      <c r="HF107" s="13">
        <v>0</v>
      </c>
      <c r="HG107" s="13"/>
      <c r="HH107" s="1">
        <f t="shared" si="40"/>
        <v>0</v>
      </c>
      <c r="HI107" s="27" t="e">
        <f t="shared" si="41"/>
        <v>#DIV/0!</v>
      </c>
      <c r="HJ107" s="1">
        <f t="shared" si="42"/>
        <v>0</v>
      </c>
      <c r="HK107" s="27" t="e">
        <f t="shared" si="43"/>
        <v>#DIV/0!</v>
      </c>
      <c r="JO107"/>
      <c r="JP107"/>
      <c r="JS107"/>
      <c r="JT107"/>
      <c r="JV107"/>
      <c r="JZ107"/>
      <c r="KA107"/>
      <c r="KN107" s="278" t="s">
        <v>162</v>
      </c>
      <c r="MI107">
        <v>0</v>
      </c>
      <c r="MJ107">
        <v>0</v>
      </c>
      <c r="MK107">
        <v>0</v>
      </c>
      <c r="ML107">
        <v>0</v>
      </c>
    </row>
    <row r="108" spans="1:350">
      <c r="B108" s="27">
        <f t="shared" ref="B108:B122" si="47">N108/H108</f>
        <v>0.11785552258152544</v>
      </c>
      <c r="C108" s="27">
        <f t="shared" ref="C108:C122" si="48">O108/H108</f>
        <v>9.1758766543866832E-2</v>
      </c>
      <c r="D108" s="1">
        <f t="shared" ref="D108:D122" si="49">O108/G108</f>
        <v>256190.47619047618</v>
      </c>
      <c r="E108" s="278">
        <v>29</v>
      </c>
      <c r="F108" s="16">
        <v>6688</v>
      </c>
      <c r="G108">
        <v>21</v>
      </c>
      <c r="H108" s="16">
        <v>58632000</v>
      </c>
      <c r="I108" s="16">
        <v>15244320</v>
      </c>
      <c r="J108" s="16">
        <v>3025000</v>
      </c>
      <c r="K108" s="16">
        <v>0</v>
      </c>
      <c r="M108" s="16">
        <v>18269320</v>
      </c>
      <c r="N108" s="16">
        <v>6910105</v>
      </c>
      <c r="O108" s="16">
        <v>5380000</v>
      </c>
      <c r="P108" s="16">
        <v>0</v>
      </c>
      <c r="Q108" s="16"/>
      <c r="R108" s="16">
        <v>0</v>
      </c>
      <c r="S108"/>
      <c r="T108" s="12">
        <v>12290105</v>
      </c>
      <c r="U108" s="313">
        <v>5145000</v>
      </c>
      <c r="V108" s="16">
        <v>0</v>
      </c>
      <c r="W108" s="123">
        <v>450000</v>
      </c>
      <c r="X108" s="123">
        <v>425600</v>
      </c>
      <c r="Y108" s="12">
        <v>6020600</v>
      </c>
      <c r="Z108" s="12">
        <v>-41385</v>
      </c>
      <c r="AA108" s="13">
        <v>-2.265273146455369E-3</v>
      </c>
      <c r="AB108" s="13">
        <v>0.11785552258152544</v>
      </c>
      <c r="AC108" s="16">
        <v>8766.7464114832528</v>
      </c>
      <c r="AD108" s="13">
        <v>9.1758766543866832E-2</v>
      </c>
      <c r="AF108" s="1">
        <f t="shared" si="32"/>
        <v>318.47619047619048</v>
      </c>
      <c r="AG108" s="231"/>
      <c r="BC108" s="35"/>
      <c r="BD108" s="35"/>
      <c r="BE108" s="35"/>
      <c r="BF108" s="35"/>
      <c r="BG108" s="35"/>
      <c r="BJ108" s="278">
        <v>92026</v>
      </c>
      <c r="BK108">
        <v>4</v>
      </c>
      <c r="BN108">
        <v>4</v>
      </c>
      <c r="BZ108" s="278" t="s">
        <v>204</v>
      </c>
      <c r="CC108">
        <v>0</v>
      </c>
      <c r="CD108">
        <v>0</v>
      </c>
      <c r="CE108">
        <v>0</v>
      </c>
      <c r="CF108">
        <v>0</v>
      </c>
      <c r="CL108" s="11" t="s">
        <v>161</v>
      </c>
      <c r="DD108">
        <v>244</v>
      </c>
      <c r="DE108">
        <v>265</v>
      </c>
      <c r="DF108">
        <v>272</v>
      </c>
      <c r="DG108">
        <v>275</v>
      </c>
      <c r="DH108">
        <v>269</v>
      </c>
      <c r="EM108">
        <v>0</v>
      </c>
      <c r="EN108">
        <v>0</v>
      </c>
      <c r="EO108">
        <v>0</v>
      </c>
      <c r="EP108">
        <v>275</v>
      </c>
      <c r="GS108" s="26">
        <v>42</v>
      </c>
      <c r="GT108" s="16">
        <v>206</v>
      </c>
      <c r="GU108">
        <v>1</v>
      </c>
      <c r="GV108" s="16">
        <v>0</v>
      </c>
      <c r="GW108" s="16">
        <v>0</v>
      </c>
      <c r="GX108" s="35">
        <v>27741.000000000004</v>
      </c>
      <c r="GY108" s="313">
        <v>0</v>
      </c>
      <c r="GZ108" s="332">
        <v>0</v>
      </c>
      <c r="HA108" s="35">
        <v>125000</v>
      </c>
      <c r="HB108" s="35">
        <v>-97259</v>
      </c>
      <c r="HC108" s="13">
        <v>-3.5059658988500773</v>
      </c>
      <c r="HD108" s="13">
        <v>0</v>
      </c>
      <c r="HE108" s="16">
        <v>1923.7864077669904</v>
      </c>
      <c r="HF108" s="13">
        <v>0</v>
      </c>
      <c r="HG108" s="13"/>
      <c r="HH108" s="1">
        <f t="shared" si="40"/>
        <v>0</v>
      </c>
      <c r="HI108" s="27" t="e">
        <f t="shared" si="41"/>
        <v>#DIV/0!</v>
      </c>
      <c r="HJ108" s="1">
        <f t="shared" si="42"/>
        <v>0</v>
      </c>
      <c r="HK108" s="27" t="e">
        <f t="shared" si="43"/>
        <v>#DIV/0!</v>
      </c>
      <c r="JO108"/>
      <c r="JP108"/>
      <c r="JS108"/>
      <c r="JT108"/>
      <c r="JV108"/>
      <c r="JZ108"/>
      <c r="KA108"/>
      <c r="KN108" s="278" t="s">
        <v>163</v>
      </c>
      <c r="LV108" s="379"/>
      <c r="MI108">
        <v>0</v>
      </c>
      <c r="MJ108">
        <v>0</v>
      </c>
      <c r="MK108">
        <v>0</v>
      </c>
      <c r="ML108">
        <v>0</v>
      </c>
    </row>
    <row r="109" spans="1:350">
      <c r="B109" s="27">
        <f t="shared" si="47"/>
        <v>0.11055615145339483</v>
      </c>
      <c r="C109" s="27">
        <f t="shared" si="48"/>
        <v>9.881475919768315E-2</v>
      </c>
      <c r="D109" s="1">
        <f t="shared" si="49"/>
        <v>240326.08695652173</v>
      </c>
      <c r="E109" s="278">
        <v>30</v>
      </c>
      <c r="F109" s="16">
        <v>6385</v>
      </c>
      <c r="G109">
        <v>23</v>
      </c>
      <c r="H109" s="16">
        <v>55938000</v>
      </c>
      <c r="I109" s="16">
        <v>14543880</v>
      </c>
      <c r="J109" s="16">
        <v>3325000</v>
      </c>
      <c r="K109" s="16">
        <v>0</v>
      </c>
      <c r="M109" s="16">
        <v>17868880</v>
      </c>
      <c r="N109" s="16">
        <v>6184290</v>
      </c>
      <c r="O109" s="16">
        <v>5527500</v>
      </c>
      <c r="P109" s="16">
        <v>0</v>
      </c>
      <c r="Q109" s="16">
        <v>300000</v>
      </c>
      <c r="R109" s="16">
        <v>400000</v>
      </c>
      <c r="S109"/>
      <c r="T109" s="12">
        <v>12411790</v>
      </c>
      <c r="U109" s="313">
        <v>5635000</v>
      </c>
      <c r="V109" s="16">
        <v>0</v>
      </c>
      <c r="W109" s="123">
        <v>375000</v>
      </c>
      <c r="X109" s="123">
        <v>292006</v>
      </c>
      <c r="Y109" s="12">
        <v>6302006</v>
      </c>
      <c r="Z109" s="12">
        <v>-844916</v>
      </c>
      <c r="AA109" s="13">
        <v>-4.7284217029830634E-2</v>
      </c>
      <c r="AB109" s="13">
        <v>0.11055615145339483</v>
      </c>
      <c r="AC109" s="16">
        <v>8760.8457321848073</v>
      </c>
      <c r="AD109" s="13">
        <v>9.881475919768315E-2</v>
      </c>
      <c r="AF109" s="1">
        <f t="shared" si="32"/>
        <v>277.60869565217394</v>
      </c>
      <c r="AG109" s="231"/>
      <c r="BC109" s="85"/>
      <c r="BD109" s="85"/>
      <c r="BE109" s="85"/>
      <c r="BF109" s="85"/>
      <c r="BG109" s="85"/>
      <c r="BJ109" s="11" t="s">
        <v>202</v>
      </c>
      <c r="BK109">
        <v>2</v>
      </c>
      <c r="BN109">
        <v>2</v>
      </c>
      <c r="BZ109" s="26" t="s">
        <v>199</v>
      </c>
      <c r="CC109">
        <v>0</v>
      </c>
      <c r="CD109">
        <v>0</v>
      </c>
      <c r="CE109">
        <v>0</v>
      </c>
      <c r="CF109">
        <v>0</v>
      </c>
      <c r="CL109" s="26" t="s">
        <v>34</v>
      </c>
      <c r="EM109">
        <v>0</v>
      </c>
      <c r="EN109">
        <v>0</v>
      </c>
      <c r="EO109">
        <v>0</v>
      </c>
      <c r="EP109">
        <v>0</v>
      </c>
      <c r="GS109" s="26">
        <v>43</v>
      </c>
      <c r="GT109" s="16">
        <v>223</v>
      </c>
      <c r="GU109">
        <v>1</v>
      </c>
      <c r="GV109" s="16">
        <v>0</v>
      </c>
      <c r="GW109" s="16">
        <v>0</v>
      </c>
      <c r="GX109" s="35">
        <v>28273.000000000004</v>
      </c>
      <c r="GY109" s="313">
        <v>0</v>
      </c>
      <c r="GZ109" s="332">
        <v>0</v>
      </c>
      <c r="HA109" s="35">
        <v>175000</v>
      </c>
      <c r="HB109" s="35">
        <v>-146727</v>
      </c>
      <c r="HC109" s="13">
        <v>-5.1896509036890315</v>
      </c>
      <c r="HD109" s="13">
        <v>0</v>
      </c>
      <c r="HE109" s="16">
        <v>1811.2107623318386</v>
      </c>
      <c r="HF109" s="13">
        <v>0</v>
      </c>
      <c r="HG109" s="13"/>
      <c r="HH109" s="1">
        <f t="shared" si="40"/>
        <v>0</v>
      </c>
      <c r="HI109" s="27" t="e">
        <f t="shared" si="41"/>
        <v>#DIV/0!</v>
      </c>
      <c r="HJ109" s="1">
        <f t="shared" si="42"/>
        <v>0</v>
      </c>
      <c r="HK109" s="27" t="e">
        <f t="shared" si="43"/>
        <v>#DIV/0!</v>
      </c>
      <c r="JO109"/>
      <c r="JP109"/>
      <c r="JS109"/>
      <c r="JT109"/>
      <c r="JV109"/>
      <c r="JZ109"/>
      <c r="KA109"/>
      <c r="KN109" s="278" t="s">
        <v>164</v>
      </c>
      <c r="MI109">
        <v>0</v>
      </c>
      <c r="MJ109">
        <v>0</v>
      </c>
      <c r="MK109">
        <v>0</v>
      </c>
      <c r="ML109">
        <v>0</v>
      </c>
    </row>
    <row r="110" spans="1:350">
      <c r="B110" s="27">
        <f t="shared" si="47"/>
        <v>0.11325707994990507</v>
      </c>
      <c r="C110" s="27">
        <f t="shared" si="48"/>
        <v>0.10024037490405203</v>
      </c>
      <c r="D110" s="1">
        <f t="shared" si="49"/>
        <v>225568.18181818182</v>
      </c>
      <c r="E110" s="278">
        <v>31</v>
      </c>
      <c r="F110" s="16">
        <v>5655</v>
      </c>
      <c r="G110">
        <v>22</v>
      </c>
      <c r="H110" s="16">
        <v>49506000</v>
      </c>
      <c r="I110" s="16">
        <v>12871560</v>
      </c>
      <c r="J110" s="16">
        <v>3125000</v>
      </c>
      <c r="K110" s="16">
        <v>0</v>
      </c>
      <c r="M110" s="16">
        <v>15996560</v>
      </c>
      <c r="N110" s="16">
        <v>5606905</v>
      </c>
      <c r="O110" s="16">
        <v>4962500</v>
      </c>
      <c r="P110" s="16">
        <v>0</v>
      </c>
      <c r="Q110" s="16"/>
      <c r="R110" s="16">
        <v>0</v>
      </c>
      <c r="S110"/>
      <c r="T110" s="12">
        <v>10569405</v>
      </c>
      <c r="U110" s="313">
        <v>5390000</v>
      </c>
      <c r="V110" s="16">
        <v>425600</v>
      </c>
      <c r="W110" s="123">
        <v>525000</v>
      </c>
      <c r="X110" s="123">
        <v>0</v>
      </c>
      <c r="Y110" s="12">
        <v>6340600</v>
      </c>
      <c r="Z110" s="12">
        <v>-913444.99999999907</v>
      </c>
      <c r="AA110" s="13">
        <v>-5.7102589556754645E-2</v>
      </c>
      <c r="AB110" s="13">
        <v>0.11325707994990507</v>
      </c>
      <c r="AC110" s="16">
        <v>8754.3766578249342</v>
      </c>
      <c r="AD110" s="13">
        <v>0.10024037490405203</v>
      </c>
      <c r="AF110" s="1">
        <f t="shared" si="32"/>
        <v>257.04545454545456</v>
      </c>
      <c r="AG110" s="231"/>
      <c r="BC110" s="35"/>
      <c r="BD110" s="35"/>
      <c r="BE110" s="35"/>
      <c r="BF110" s="35"/>
      <c r="BG110" s="35"/>
      <c r="BJ110" s="26" t="s">
        <v>256</v>
      </c>
      <c r="BK110">
        <v>1</v>
      </c>
      <c r="BN110">
        <v>1</v>
      </c>
      <c r="BZ110" s="278" t="s">
        <v>34</v>
      </c>
      <c r="CC110">
        <v>0</v>
      </c>
      <c r="CD110">
        <v>0</v>
      </c>
      <c r="CE110">
        <v>0</v>
      </c>
      <c r="CF110">
        <v>0</v>
      </c>
      <c r="CL110" s="26" t="s">
        <v>170</v>
      </c>
      <c r="DD110">
        <v>5</v>
      </c>
      <c r="DE110">
        <v>6</v>
      </c>
      <c r="DF110">
        <v>5</v>
      </c>
      <c r="DG110">
        <v>4</v>
      </c>
      <c r="DH110">
        <v>4</v>
      </c>
      <c r="EM110">
        <v>0</v>
      </c>
      <c r="EN110">
        <v>0</v>
      </c>
      <c r="EO110">
        <v>0</v>
      </c>
      <c r="EP110">
        <v>6</v>
      </c>
      <c r="GS110" s="82">
        <v>44</v>
      </c>
      <c r="GT110" s="81">
        <v>599</v>
      </c>
      <c r="GU110" s="91">
        <v>4</v>
      </c>
      <c r="GV110" s="81">
        <v>0</v>
      </c>
      <c r="GW110" s="81">
        <v>0</v>
      </c>
      <c r="GX110" s="37">
        <v>76356.000000000015</v>
      </c>
      <c r="GY110" s="322">
        <v>0</v>
      </c>
      <c r="GZ110" s="333">
        <v>0</v>
      </c>
      <c r="HA110" s="37">
        <v>50000</v>
      </c>
      <c r="HB110" s="37">
        <v>26356.000000000011</v>
      </c>
      <c r="HC110" s="244">
        <v>0.34517261249934528</v>
      </c>
      <c r="HD110" s="244">
        <v>0</v>
      </c>
      <c r="HE110" s="81">
        <v>1821.0350584307178</v>
      </c>
      <c r="HF110" s="244">
        <v>0</v>
      </c>
      <c r="HG110" s="13"/>
      <c r="HH110" s="1">
        <f t="shared" si="40"/>
        <v>0</v>
      </c>
      <c r="HI110" s="27" t="e">
        <f t="shared" si="41"/>
        <v>#DIV/0!</v>
      </c>
      <c r="HJ110" s="1">
        <f t="shared" si="42"/>
        <v>0</v>
      </c>
      <c r="HK110" s="27" t="e">
        <f t="shared" si="43"/>
        <v>#DIV/0!</v>
      </c>
      <c r="JO110"/>
      <c r="JP110"/>
      <c r="JS110"/>
      <c r="JT110"/>
      <c r="JV110"/>
      <c r="JZ110"/>
      <c r="KA110"/>
      <c r="KN110" s="278" t="s">
        <v>165</v>
      </c>
      <c r="MI110">
        <v>0</v>
      </c>
      <c r="MJ110">
        <v>0</v>
      </c>
      <c r="MK110">
        <v>0</v>
      </c>
      <c r="ML110">
        <v>0</v>
      </c>
    </row>
    <row r="111" spans="1:350">
      <c r="B111" s="27">
        <f t="shared" si="47"/>
        <v>0.11081916099773242</v>
      </c>
      <c r="C111" s="27">
        <f t="shared" si="48"/>
        <v>9.9510042112082933E-2</v>
      </c>
      <c r="D111" s="1">
        <f t="shared" si="49"/>
        <v>234047.61904761905</v>
      </c>
      <c r="E111" s="278">
        <v>32</v>
      </c>
      <c r="F111" s="16">
        <v>5642</v>
      </c>
      <c r="G111">
        <v>21</v>
      </c>
      <c r="H111" s="16">
        <v>49392000</v>
      </c>
      <c r="I111" s="16">
        <v>12841920</v>
      </c>
      <c r="J111" s="16">
        <v>2850000</v>
      </c>
      <c r="K111" s="16">
        <v>0</v>
      </c>
      <c r="M111" s="16">
        <v>15691920</v>
      </c>
      <c r="N111" s="16">
        <v>5473580</v>
      </c>
      <c r="O111" s="16">
        <v>4915000</v>
      </c>
      <c r="P111" s="16">
        <v>0</v>
      </c>
      <c r="Q111" s="16"/>
      <c r="R111" s="16">
        <v>0</v>
      </c>
      <c r="S111"/>
      <c r="T111" s="12">
        <v>10388580</v>
      </c>
      <c r="U111" s="313">
        <v>5145000</v>
      </c>
      <c r="V111" s="16">
        <v>0</v>
      </c>
      <c r="W111" s="123">
        <v>375000</v>
      </c>
      <c r="X111" s="123">
        <v>425600</v>
      </c>
      <c r="Y111" s="12">
        <v>5945600</v>
      </c>
      <c r="Z111" s="12">
        <v>-642260</v>
      </c>
      <c r="AA111" s="13">
        <v>-4.0929344528904045E-2</v>
      </c>
      <c r="AB111" s="13">
        <v>0.11081916099773242</v>
      </c>
      <c r="AC111" s="16">
        <v>8754.3424317617864</v>
      </c>
      <c r="AD111" s="13">
        <v>9.9510042112082933E-2</v>
      </c>
      <c r="AF111" s="1">
        <f t="shared" si="32"/>
        <v>268.66666666666669</v>
      </c>
      <c r="AG111" s="231"/>
      <c r="BC111" s="85"/>
      <c r="BD111" s="85"/>
      <c r="BE111" s="85"/>
      <c r="BF111" s="85"/>
      <c r="BG111" s="85"/>
      <c r="BJ111" s="278">
        <v>62026</v>
      </c>
      <c r="BK111">
        <v>1</v>
      </c>
      <c r="BN111">
        <v>1</v>
      </c>
      <c r="BZ111" s="278" t="s">
        <v>170</v>
      </c>
      <c r="CC111">
        <v>0</v>
      </c>
      <c r="CD111">
        <v>0</v>
      </c>
      <c r="CE111">
        <v>0</v>
      </c>
      <c r="CF111">
        <v>0</v>
      </c>
      <c r="CL111" s="26" t="s">
        <v>27</v>
      </c>
      <c r="DD111">
        <v>5</v>
      </c>
      <c r="DE111">
        <v>5</v>
      </c>
      <c r="DF111">
        <v>5</v>
      </c>
      <c r="DG111">
        <v>5</v>
      </c>
      <c r="DH111">
        <v>5</v>
      </c>
      <c r="EM111">
        <v>0</v>
      </c>
      <c r="EN111">
        <v>0</v>
      </c>
      <c r="EO111">
        <v>0</v>
      </c>
      <c r="EP111">
        <v>5</v>
      </c>
      <c r="GS111" s="82">
        <v>45</v>
      </c>
      <c r="GT111" s="81">
        <v>751</v>
      </c>
      <c r="GU111" s="91">
        <v>6</v>
      </c>
      <c r="GV111" s="81">
        <v>0</v>
      </c>
      <c r="GW111" s="81">
        <v>0</v>
      </c>
      <c r="GX111" s="37">
        <v>105000.00000000001</v>
      </c>
      <c r="GY111" s="322">
        <v>0</v>
      </c>
      <c r="GZ111" s="333">
        <v>0</v>
      </c>
      <c r="HA111" s="37">
        <v>175000</v>
      </c>
      <c r="HB111" s="37">
        <v>-69999.999999999985</v>
      </c>
      <c r="HC111" s="244">
        <v>-0.66666666666666641</v>
      </c>
      <c r="HD111" s="244">
        <v>0</v>
      </c>
      <c r="HE111" s="81">
        <v>1997.3368841544607</v>
      </c>
      <c r="HF111" s="244">
        <v>0</v>
      </c>
      <c r="HG111" s="13"/>
      <c r="HH111" s="1">
        <f t="shared" si="40"/>
        <v>0</v>
      </c>
      <c r="HI111" s="27" t="e">
        <f t="shared" si="41"/>
        <v>#DIV/0!</v>
      </c>
      <c r="HJ111" s="1">
        <f t="shared" si="42"/>
        <v>0</v>
      </c>
      <c r="HK111" s="27" t="e">
        <f t="shared" si="43"/>
        <v>#DIV/0!</v>
      </c>
      <c r="JO111"/>
      <c r="JP111"/>
      <c r="JS111"/>
      <c r="JT111"/>
      <c r="JV111"/>
      <c r="JZ111"/>
      <c r="KA111"/>
      <c r="KN111" s="278" t="s">
        <v>36</v>
      </c>
      <c r="MI111">
        <v>0</v>
      </c>
      <c r="MJ111">
        <v>0</v>
      </c>
      <c r="MK111">
        <v>0</v>
      </c>
      <c r="ML111">
        <v>0</v>
      </c>
    </row>
    <row r="112" spans="1:350">
      <c r="B112" s="27">
        <f t="shared" si="47"/>
        <v>0.11084036429585239</v>
      </c>
      <c r="C112" s="27">
        <f t="shared" si="48"/>
        <v>0.10674578142248857</v>
      </c>
      <c r="D112" s="1">
        <f t="shared" si="49"/>
        <v>257857.14285714287</v>
      </c>
      <c r="E112" s="278">
        <v>33</v>
      </c>
      <c r="F112" s="16">
        <v>5809</v>
      </c>
      <c r="G112">
        <v>21</v>
      </c>
      <c r="H112" s="16">
        <v>50728000</v>
      </c>
      <c r="I112" s="16">
        <v>13189280</v>
      </c>
      <c r="J112" s="16">
        <v>3050000</v>
      </c>
      <c r="K112" s="16">
        <v>0</v>
      </c>
      <c r="M112" s="16">
        <v>16239280</v>
      </c>
      <c r="N112" s="16">
        <v>5622710</v>
      </c>
      <c r="O112" s="16">
        <v>5415000</v>
      </c>
      <c r="P112" s="16">
        <v>0</v>
      </c>
      <c r="Q112" s="16"/>
      <c r="R112" s="16">
        <v>0</v>
      </c>
      <c r="S112"/>
      <c r="T112" s="12">
        <v>11037710</v>
      </c>
      <c r="U112" s="313">
        <v>5145000</v>
      </c>
      <c r="V112" s="16">
        <v>0</v>
      </c>
      <c r="W112" s="123">
        <v>450000</v>
      </c>
      <c r="X112" s="123">
        <v>425600</v>
      </c>
      <c r="Y112" s="12">
        <v>6020600</v>
      </c>
      <c r="Z112" s="12">
        <v>-819030</v>
      </c>
      <c r="AA112" s="13">
        <v>-5.0435117813105015E-2</v>
      </c>
      <c r="AB112" s="13">
        <v>0.11084036429585239</v>
      </c>
      <c r="AC112" s="16">
        <v>8732.6562231020835</v>
      </c>
      <c r="AD112" s="13">
        <v>0.10674578142248857</v>
      </c>
      <c r="AF112" s="1">
        <f t="shared" si="32"/>
        <v>276.61904761904759</v>
      </c>
      <c r="AG112" s="231"/>
      <c r="BC112" s="35"/>
      <c r="BD112" s="35"/>
      <c r="BE112" s="35"/>
      <c r="BF112" s="35"/>
      <c r="BG112" s="35"/>
      <c r="BJ112" s="26" t="s">
        <v>278</v>
      </c>
      <c r="BK112">
        <v>1</v>
      </c>
      <c r="BN112">
        <v>1</v>
      </c>
      <c r="BZ112" s="278" t="s">
        <v>27</v>
      </c>
      <c r="CC112">
        <v>0</v>
      </c>
      <c r="CD112">
        <v>0</v>
      </c>
      <c r="CE112">
        <v>0</v>
      </c>
      <c r="CF112">
        <v>0</v>
      </c>
      <c r="CL112" s="26" t="s">
        <v>33</v>
      </c>
      <c r="DG112">
        <v>2</v>
      </c>
      <c r="DH112">
        <v>2</v>
      </c>
      <c r="EM112">
        <v>0</v>
      </c>
      <c r="EN112">
        <v>0</v>
      </c>
      <c r="EO112">
        <v>0</v>
      </c>
      <c r="EP112">
        <v>2</v>
      </c>
      <c r="GS112" s="26" t="s">
        <v>180</v>
      </c>
      <c r="GT112" s="16">
        <v>0</v>
      </c>
      <c r="GU112">
        <v>0</v>
      </c>
      <c r="GV112" s="16">
        <v>0</v>
      </c>
      <c r="GW112" s="16">
        <v>0</v>
      </c>
      <c r="GX112" s="35">
        <v>0</v>
      </c>
      <c r="GY112" s="313">
        <v>0</v>
      </c>
      <c r="GZ112" s="332">
        <v>0</v>
      </c>
      <c r="HA112" s="35">
        <v>0</v>
      </c>
      <c r="HB112" s="35">
        <v>0</v>
      </c>
      <c r="HC112" s="13">
        <v>0</v>
      </c>
      <c r="HD112" s="13">
        <v>0</v>
      </c>
      <c r="HE112" s="16">
        <v>0</v>
      </c>
      <c r="HF112" s="13">
        <v>0</v>
      </c>
      <c r="HG112" s="13"/>
      <c r="HH112" s="1">
        <f t="shared" si="40"/>
        <v>0</v>
      </c>
      <c r="HI112" s="27" t="e">
        <f t="shared" si="41"/>
        <v>#DIV/0!</v>
      </c>
      <c r="HJ112" s="1">
        <f t="shared" si="42"/>
        <v>0</v>
      </c>
      <c r="HK112" s="27" t="e">
        <f t="shared" si="43"/>
        <v>#DIV/0!</v>
      </c>
      <c r="JO112"/>
      <c r="JP112"/>
      <c r="JS112"/>
      <c r="JT112"/>
      <c r="JV112"/>
      <c r="JZ112"/>
      <c r="KA112"/>
      <c r="KN112" s="278" t="s">
        <v>166</v>
      </c>
      <c r="MI112">
        <v>0</v>
      </c>
      <c r="MJ112">
        <v>0</v>
      </c>
      <c r="MK112">
        <v>0</v>
      </c>
      <c r="ML112">
        <v>0</v>
      </c>
    </row>
    <row r="113" spans="1:350">
      <c r="A113" s="30"/>
      <c r="B113" s="27">
        <f t="shared" si="47"/>
        <v>0.10070513560300058</v>
      </c>
      <c r="C113" s="27">
        <f t="shared" si="48"/>
        <v>0.1074245047124447</v>
      </c>
      <c r="D113" s="1">
        <f t="shared" si="49"/>
        <v>232708.33333333334</v>
      </c>
      <c r="E113" s="278">
        <v>34</v>
      </c>
      <c r="F113" s="16">
        <v>5951</v>
      </c>
      <c r="G113">
        <v>24</v>
      </c>
      <c r="H113" s="16">
        <v>51990000</v>
      </c>
      <c r="I113" s="16">
        <v>13517400</v>
      </c>
      <c r="J113" s="16">
        <v>3635000</v>
      </c>
      <c r="K113" s="16">
        <v>0</v>
      </c>
      <c r="M113" s="16">
        <v>17152400</v>
      </c>
      <c r="N113" s="16">
        <v>5235660</v>
      </c>
      <c r="O113" s="16">
        <v>5585000</v>
      </c>
      <c r="P113" s="16">
        <v>0</v>
      </c>
      <c r="Q113" s="16"/>
      <c r="R113" s="16">
        <v>0</v>
      </c>
      <c r="S113"/>
      <c r="T113" s="12">
        <v>10820660</v>
      </c>
      <c r="U113" s="313">
        <v>5880000</v>
      </c>
      <c r="V113" s="16">
        <v>0</v>
      </c>
      <c r="W113" s="123">
        <v>450000</v>
      </c>
      <c r="X113" s="123">
        <v>425600</v>
      </c>
      <c r="Y113" s="12">
        <v>6755600</v>
      </c>
      <c r="Z113" s="12">
        <v>-423860</v>
      </c>
      <c r="AA113" s="13">
        <v>-2.4711410648072574E-2</v>
      </c>
      <c r="AB113" s="13">
        <v>0.10070513560300058</v>
      </c>
      <c r="AC113" s="16">
        <v>8736.3468324651312</v>
      </c>
      <c r="AD113" s="13">
        <v>0.1074245047124447</v>
      </c>
      <c r="AF113" s="1">
        <f t="shared" si="32"/>
        <v>247.95833333333334</v>
      </c>
      <c r="AG113" s="231"/>
      <c r="BC113" s="85"/>
      <c r="BD113" s="85"/>
      <c r="BE113" s="85"/>
      <c r="BF113" s="85"/>
      <c r="BG113" s="85"/>
      <c r="BJ113" s="278">
        <v>72026</v>
      </c>
      <c r="BK113">
        <v>1</v>
      </c>
      <c r="BN113">
        <v>1</v>
      </c>
      <c r="BZ113" s="278" t="s">
        <v>33</v>
      </c>
      <c r="CC113">
        <v>0</v>
      </c>
      <c r="CD113">
        <v>0</v>
      </c>
      <c r="CE113">
        <v>0</v>
      </c>
      <c r="CF113">
        <v>0</v>
      </c>
      <c r="CL113" s="26" t="s">
        <v>171</v>
      </c>
      <c r="DD113">
        <v>2</v>
      </c>
      <c r="DE113">
        <v>2</v>
      </c>
      <c r="DF113">
        <v>2</v>
      </c>
      <c r="DG113">
        <v>1</v>
      </c>
      <c r="DH113">
        <v>1</v>
      </c>
      <c r="EM113">
        <v>0</v>
      </c>
      <c r="EN113">
        <v>0</v>
      </c>
      <c r="EO113">
        <v>0</v>
      </c>
      <c r="EP113">
        <v>2</v>
      </c>
      <c r="GS113" s="26" t="s">
        <v>181</v>
      </c>
      <c r="GT113" s="16">
        <v>0</v>
      </c>
      <c r="GU113">
        <v>0</v>
      </c>
      <c r="GV113" s="16">
        <v>0</v>
      </c>
      <c r="GW113" s="16">
        <v>0</v>
      </c>
      <c r="GX113" s="35">
        <v>0</v>
      </c>
      <c r="GY113" s="313">
        <v>0</v>
      </c>
      <c r="GZ113" s="332">
        <v>0</v>
      </c>
      <c r="HA113" s="35">
        <v>0</v>
      </c>
      <c r="HB113" s="35">
        <v>0</v>
      </c>
      <c r="HC113" s="13">
        <v>0</v>
      </c>
      <c r="HD113" s="13">
        <v>0</v>
      </c>
      <c r="HE113" s="16">
        <v>0</v>
      </c>
      <c r="HF113" s="13">
        <v>0</v>
      </c>
      <c r="HG113" s="13"/>
      <c r="HH113" s="1">
        <f t="shared" si="40"/>
        <v>0</v>
      </c>
      <c r="HI113" s="27" t="e">
        <f t="shared" si="41"/>
        <v>#DIV/0!</v>
      </c>
      <c r="HJ113" s="1">
        <f t="shared" si="42"/>
        <v>0</v>
      </c>
      <c r="HK113" s="27" t="e">
        <f t="shared" si="43"/>
        <v>#DIV/0!</v>
      </c>
      <c r="JO113"/>
      <c r="JP113"/>
      <c r="JS113"/>
      <c r="JT113"/>
      <c r="JV113"/>
      <c r="JZ113"/>
      <c r="KA113"/>
      <c r="KN113" s="26" t="s">
        <v>196</v>
      </c>
      <c r="MI113">
        <v>0</v>
      </c>
      <c r="MJ113">
        <v>0</v>
      </c>
      <c r="MK113">
        <v>0</v>
      </c>
      <c r="ML113">
        <v>0</v>
      </c>
    </row>
    <row r="114" spans="1:350">
      <c r="B114" s="27">
        <f t="shared" si="47"/>
        <v>9.3465227112261712E-2</v>
      </c>
      <c r="C114" s="27">
        <f t="shared" si="48"/>
        <v>0.14640699772495488</v>
      </c>
      <c r="D114" s="1">
        <f t="shared" si="49"/>
        <v>287115.38461538462</v>
      </c>
      <c r="E114" s="278">
        <v>35</v>
      </c>
      <c r="F114" s="16">
        <v>5821</v>
      </c>
      <c r="G114">
        <v>26</v>
      </c>
      <c r="H114" s="16">
        <v>50988000</v>
      </c>
      <c r="I114" s="16">
        <v>13256880</v>
      </c>
      <c r="J114" s="16">
        <v>3900000</v>
      </c>
      <c r="K114" s="16">
        <v>0</v>
      </c>
      <c r="M114" s="16">
        <v>17156880</v>
      </c>
      <c r="N114" s="16">
        <v>4765605</v>
      </c>
      <c r="O114" s="16">
        <v>7465000</v>
      </c>
      <c r="P114" s="16">
        <v>0</v>
      </c>
      <c r="Q114" s="16"/>
      <c r="R114" s="16">
        <v>400000</v>
      </c>
      <c r="S114"/>
      <c r="T114" s="12">
        <v>12630605</v>
      </c>
      <c r="U114" s="313">
        <v>6370000</v>
      </c>
      <c r="V114" s="16">
        <v>72558.496363559825</v>
      </c>
      <c r="W114" s="123">
        <v>375000</v>
      </c>
      <c r="X114" s="123">
        <v>425600</v>
      </c>
      <c r="Y114" s="12">
        <v>7243158.4963635597</v>
      </c>
      <c r="Z114" s="12">
        <v>-2716883.4963635579</v>
      </c>
      <c r="AA114" s="13">
        <v>-0.1583553359563952</v>
      </c>
      <c r="AB114" s="13">
        <v>9.3465227112261712E-2</v>
      </c>
      <c r="AC114" s="16">
        <v>8759.3197045181241</v>
      </c>
      <c r="AD114" s="13">
        <v>0.14640699772495488</v>
      </c>
      <c r="AF114" s="1">
        <f t="shared" si="32"/>
        <v>223.88461538461539</v>
      </c>
      <c r="AG114" s="231"/>
      <c r="BC114" s="163"/>
      <c r="BD114" s="163"/>
      <c r="BE114" s="163"/>
      <c r="BF114" s="163"/>
      <c r="BG114" s="163"/>
      <c r="BJ114" s="11" t="s">
        <v>167</v>
      </c>
      <c r="BK114">
        <v>1348</v>
      </c>
      <c r="BL114">
        <v>1341</v>
      </c>
      <c r="BM114">
        <v>475</v>
      </c>
      <c r="BN114">
        <v>3164</v>
      </c>
      <c r="BZ114" s="278" t="s">
        <v>171</v>
      </c>
      <c r="CC114">
        <v>0</v>
      </c>
      <c r="CD114">
        <v>0</v>
      </c>
      <c r="CE114">
        <v>0</v>
      </c>
      <c r="CF114">
        <v>0</v>
      </c>
      <c r="CL114" s="26" t="s">
        <v>276</v>
      </c>
      <c r="EM114">
        <v>0</v>
      </c>
      <c r="EN114">
        <v>0</v>
      </c>
      <c r="EO114">
        <v>0</v>
      </c>
      <c r="EP114">
        <v>0</v>
      </c>
      <c r="GS114" s="26" t="s">
        <v>182</v>
      </c>
      <c r="GT114" s="16">
        <v>0</v>
      </c>
      <c r="GU114">
        <v>0</v>
      </c>
      <c r="GV114" s="16">
        <v>0</v>
      </c>
      <c r="GW114" s="16">
        <v>0</v>
      </c>
      <c r="GX114" s="35">
        <v>0</v>
      </c>
      <c r="GY114" s="313">
        <v>0</v>
      </c>
      <c r="GZ114" s="332">
        <v>0</v>
      </c>
      <c r="HA114" s="35">
        <v>0</v>
      </c>
      <c r="HB114" s="35">
        <v>0</v>
      </c>
      <c r="HC114" s="13">
        <v>0</v>
      </c>
      <c r="HD114" s="13">
        <v>0</v>
      </c>
      <c r="HE114" s="16">
        <v>0</v>
      </c>
      <c r="HF114" s="13">
        <v>0</v>
      </c>
      <c r="HG114" s="13"/>
      <c r="HH114" s="1">
        <f t="shared" si="40"/>
        <v>0</v>
      </c>
      <c r="HI114" s="27" t="e">
        <f t="shared" si="41"/>
        <v>#DIV/0!</v>
      </c>
      <c r="HJ114" s="1">
        <f t="shared" si="42"/>
        <v>0</v>
      </c>
      <c r="HK114" s="27" t="e">
        <f t="shared" si="43"/>
        <v>#DIV/0!</v>
      </c>
      <c r="JO114"/>
      <c r="JP114"/>
      <c r="JS114"/>
      <c r="JT114"/>
      <c r="JV114"/>
      <c r="JZ114"/>
      <c r="KA114"/>
      <c r="KN114" s="278" t="s">
        <v>21</v>
      </c>
      <c r="MI114">
        <v>0</v>
      </c>
      <c r="MJ114">
        <v>0</v>
      </c>
      <c r="MK114">
        <v>0</v>
      </c>
      <c r="ML114">
        <v>0</v>
      </c>
    </row>
    <row r="115" spans="1:350">
      <c r="B115" s="27">
        <f t="shared" si="47"/>
        <v>0.11043774569826642</v>
      </c>
      <c r="C115" s="27">
        <f t="shared" si="48"/>
        <v>0.11205452084810208</v>
      </c>
      <c r="D115" s="1">
        <f t="shared" si="49"/>
        <v>278200</v>
      </c>
      <c r="E115" s="278">
        <v>36</v>
      </c>
      <c r="F115" s="16">
        <v>7086</v>
      </c>
      <c r="G115">
        <v>25</v>
      </c>
      <c r="H115" s="16">
        <v>62068000</v>
      </c>
      <c r="I115" s="16">
        <v>16137680</v>
      </c>
      <c r="J115" s="16">
        <v>3875000</v>
      </c>
      <c r="K115" s="16">
        <v>0</v>
      </c>
      <c r="L115" s="123">
        <v>120000</v>
      </c>
      <c r="M115" s="16">
        <v>20132680</v>
      </c>
      <c r="N115" s="16">
        <v>6854650</v>
      </c>
      <c r="O115" s="16">
        <v>6955000</v>
      </c>
      <c r="P115" s="16">
        <v>0</v>
      </c>
      <c r="Q115" s="16"/>
      <c r="R115" s="16">
        <v>0</v>
      </c>
      <c r="S115"/>
      <c r="T115" s="12">
        <v>13809650</v>
      </c>
      <c r="U115" s="313">
        <v>6125000</v>
      </c>
      <c r="V115" s="16">
        <v>0</v>
      </c>
      <c r="W115" s="123">
        <v>375000</v>
      </c>
      <c r="X115" s="123">
        <v>425600</v>
      </c>
      <c r="Y115" s="12">
        <v>6925600</v>
      </c>
      <c r="Z115" s="12">
        <v>-602570</v>
      </c>
      <c r="AA115" s="13">
        <v>-2.992994474655138E-2</v>
      </c>
      <c r="AB115" s="13">
        <v>0.11043774569826642</v>
      </c>
      <c r="AC115" s="16">
        <v>8759.2435788879484</v>
      </c>
      <c r="AD115" s="13">
        <v>0.11205452084810208</v>
      </c>
      <c r="AF115" s="1">
        <f t="shared" si="32"/>
        <v>283.44</v>
      </c>
      <c r="AG115" s="231"/>
      <c r="BC115" s="35"/>
      <c r="BD115" s="35"/>
      <c r="BE115" s="35"/>
      <c r="BF115" s="35"/>
      <c r="BG115" s="35"/>
      <c r="BZ115" s="278" t="s">
        <v>276</v>
      </c>
      <c r="CC115">
        <v>0</v>
      </c>
      <c r="CD115">
        <v>0</v>
      </c>
      <c r="CE115">
        <v>0</v>
      </c>
      <c r="CF115">
        <v>0</v>
      </c>
      <c r="CL115" s="26" t="s">
        <v>277</v>
      </c>
      <c r="EM115">
        <v>0</v>
      </c>
      <c r="EN115">
        <v>0</v>
      </c>
      <c r="EO115">
        <v>0</v>
      </c>
      <c r="EP115">
        <v>0</v>
      </c>
      <c r="GS115" s="11" t="s">
        <v>173</v>
      </c>
      <c r="GT115" s="16">
        <v>180857</v>
      </c>
      <c r="GU115">
        <v>29</v>
      </c>
      <c r="GV115" s="16">
        <v>110100285.71428572</v>
      </c>
      <c r="GW115" s="16">
        <v>25539561.000000007</v>
      </c>
      <c r="GX115" s="35">
        <v>528040626.71428573</v>
      </c>
      <c r="GY115" s="313">
        <v>144304328.57142857</v>
      </c>
      <c r="GZ115" s="332">
        <v>348442105.14285713</v>
      </c>
      <c r="HA115" s="35">
        <v>157494328.57142857</v>
      </c>
      <c r="HB115" s="35">
        <v>22104193</v>
      </c>
      <c r="HC115" s="13">
        <v>4.1860780935630969E-2</v>
      </c>
      <c r="HD115" s="13">
        <v>8.7781203741355493E-2</v>
      </c>
      <c r="HE115" s="16">
        <v>9222.9109185710258</v>
      </c>
      <c r="HF115" s="13">
        <v>0.11630789856559448</v>
      </c>
      <c r="HG115" s="13"/>
      <c r="HH115" s="1">
        <f t="shared" si="40"/>
        <v>-34204042.857142851</v>
      </c>
      <c r="HI115" s="27">
        <f t="shared" si="41"/>
        <v>-0.31066261667933903</v>
      </c>
      <c r="HJ115" s="1">
        <f t="shared" si="42"/>
        <v>-8664481.8571428359</v>
      </c>
      <c r="HK115" s="27">
        <f t="shared" si="43"/>
        <v>-6.3878587797241176E-2</v>
      </c>
      <c r="JO115"/>
      <c r="JP115"/>
      <c r="JS115"/>
      <c r="JT115"/>
      <c r="JV115"/>
      <c r="JZ115"/>
      <c r="KA115"/>
      <c r="KN115" s="278" t="s">
        <v>158</v>
      </c>
      <c r="MI115">
        <v>0</v>
      </c>
      <c r="MJ115">
        <v>0</v>
      </c>
      <c r="MK115">
        <v>0</v>
      </c>
      <c r="ML115">
        <v>0</v>
      </c>
    </row>
    <row r="116" spans="1:350">
      <c r="B116" s="27">
        <f t="shared" si="47"/>
        <v>0.10275340796588227</v>
      </c>
      <c r="C116" s="27">
        <f t="shared" si="48"/>
        <v>0.11432868783794076</v>
      </c>
      <c r="D116" s="1">
        <f t="shared" si="49"/>
        <v>250208.33333333334</v>
      </c>
      <c r="E116" s="278">
        <v>37</v>
      </c>
      <c r="F116" s="16">
        <v>5991</v>
      </c>
      <c r="G116">
        <v>24</v>
      </c>
      <c r="H116" s="16">
        <v>52524000</v>
      </c>
      <c r="I116" s="16">
        <v>13656240</v>
      </c>
      <c r="J116" s="16">
        <v>3800000</v>
      </c>
      <c r="K116" s="16">
        <v>0</v>
      </c>
      <c r="L116" s="123">
        <v>100000</v>
      </c>
      <c r="M116" s="16">
        <v>17556240</v>
      </c>
      <c r="N116" s="16">
        <v>5397020</v>
      </c>
      <c r="O116" s="16">
        <v>6005000</v>
      </c>
      <c r="P116" s="16">
        <v>0</v>
      </c>
      <c r="Q116" s="16"/>
      <c r="R116" s="16">
        <v>0</v>
      </c>
      <c r="S116"/>
      <c r="T116" s="12">
        <v>11402020</v>
      </c>
      <c r="U116" s="313">
        <v>5880000</v>
      </c>
      <c r="V116" s="16">
        <v>0</v>
      </c>
      <c r="W116" s="123">
        <v>375000</v>
      </c>
      <c r="X116" s="123">
        <v>425600</v>
      </c>
      <c r="Y116" s="12">
        <v>6680600</v>
      </c>
      <c r="Z116" s="12">
        <v>-526380</v>
      </c>
      <c r="AA116" s="13">
        <v>-2.9982501948025316E-2</v>
      </c>
      <c r="AB116" s="13">
        <v>0.10275340796588227</v>
      </c>
      <c r="AC116" s="16">
        <v>8767.150726089134</v>
      </c>
      <c r="AD116" s="13">
        <v>0.11432868783794076</v>
      </c>
      <c r="AF116" s="1">
        <f t="shared" si="32"/>
        <v>249.625</v>
      </c>
      <c r="AG116" s="231"/>
      <c r="BC116" s="35"/>
      <c r="BD116" s="35"/>
      <c r="BE116" s="35"/>
      <c r="BF116" s="35"/>
      <c r="BG116" s="35"/>
      <c r="BZ116" s="278" t="s">
        <v>277</v>
      </c>
      <c r="CC116">
        <v>0</v>
      </c>
      <c r="CD116">
        <v>0</v>
      </c>
      <c r="CE116">
        <v>0</v>
      </c>
      <c r="CF116">
        <v>0</v>
      </c>
      <c r="CL116" s="26" t="s">
        <v>199</v>
      </c>
      <c r="DD116">
        <v>1</v>
      </c>
      <c r="EM116">
        <v>0</v>
      </c>
      <c r="EN116">
        <v>0</v>
      </c>
      <c r="EO116">
        <v>0</v>
      </c>
      <c r="EP116">
        <v>1</v>
      </c>
      <c r="GS116" s="26">
        <v>1</v>
      </c>
      <c r="GT116" s="16">
        <v>2042</v>
      </c>
      <c r="GU116">
        <v>12</v>
      </c>
      <c r="GV116" s="16">
        <v>914285.7142857142</v>
      </c>
      <c r="GW116" s="16">
        <v>586968.51612903224</v>
      </c>
      <c r="GX116" s="35">
        <v>5470254.2304147463</v>
      </c>
      <c r="GY116" s="313">
        <v>1217828.5714285714</v>
      </c>
      <c r="GZ116" s="332">
        <v>3514057.1428571427</v>
      </c>
      <c r="HA116" s="35">
        <v>1217828.5714285714</v>
      </c>
      <c r="HB116" s="35">
        <v>738368.51612903178</v>
      </c>
      <c r="HC116" s="13">
        <v>0.13497883005577418</v>
      </c>
      <c r="HD116" s="13">
        <v>8.9179138321995449E-2</v>
      </c>
      <c r="HE116" s="16">
        <v>9255.631733594515</v>
      </c>
      <c r="HF116" s="13">
        <v>9.674981103552531E-2</v>
      </c>
      <c r="HG116" s="13"/>
      <c r="HH116" s="1">
        <f t="shared" si="40"/>
        <v>-303542.85714285716</v>
      </c>
      <c r="HI116" s="27">
        <f t="shared" si="41"/>
        <v>-0.33200000000000007</v>
      </c>
      <c r="HJ116" s="1">
        <f t="shared" si="42"/>
        <v>283425.65898617497</v>
      </c>
      <c r="HK116" s="27">
        <f t="shared" si="43"/>
        <v>0.18879257972706856</v>
      </c>
      <c r="JO116"/>
      <c r="JP116"/>
      <c r="JS116"/>
      <c r="JT116"/>
      <c r="JV116"/>
      <c r="JZ116"/>
      <c r="KA116"/>
      <c r="KN116" s="278" t="s">
        <v>159</v>
      </c>
      <c r="MI116">
        <v>0</v>
      </c>
      <c r="MJ116">
        <v>0</v>
      </c>
      <c r="MK116">
        <v>0</v>
      </c>
      <c r="ML116">
        <v>0</v>
      </c>
    </row>
    <row r="117" spans="1:350">
      <c r="B117" s="27">
        <f t="shared" si="47"/>
        <v>0.10368210095982937</v>
      </c>
      <c r="C117" s="27">
        <f t="shared" si="48"/>
        <v>0.13446498400284393</v>
      </c>
      <c r="D117" s="1">
        <f t="shared" si="49"/>
        <v>315208.33333333331</v>
      </c>
      <c r="E117" s="278">
        <v>38</v>
      </c>
      <c r="F117" s="16">
        <v>6410</v>
      </c>
      <c r="G117">
        <v>24</v>
      </c>
      <c r="H117" s="16">
        <v>56260000</v>
      </c>
      <c r="I117" s="16">
        <v>14627600</v>
      </c>
      <c r="J117" s="16">
        <v>3575000</v>
      </c>
      <c r="K117" s="16">
        <v>0</v>
      </c>
      <c r="L117" s="123">
        <v>150000</v>
      </c>
      <c r="M117" s="16">
        <v>18352600</v>
      </c>
      <c r="N117" s="16">
        <v>5833155</v>
      </c>
      <c r="O117" s="16">
        <v>7565000</v>
      </c>
      <c r="P117" s="16">
        <v>0</v>
      </c>
      <c r="Q117" s="16"/>
      <c r="R117" s="16">
        <v>0</v>
      </c>
      <c r="S117"/>
      <c r="T117" s="12">
        <v>13398155</v>
      </c>
      <c r="U117" s="313">
        <v>5880000</v>
      </c>
      <c r="V117" s="16">
        <v>0</v>
      </c>
      <c r="W117" s="123">
        <v>375000</v>
      </c>
      <c r="X117" s="123">
        <v>425600</v>
      </c>
      <c r="Y117" s="12">
        <v>6680600</v>
      </c>
      <c r="Z117" s="12">
        <v>-1726155</v>
      </c>
      <c r="AA117" s="13">
        <v>-9.405506576724823E-2</v>
      </c>
      <c r="AB117" s="13">
        <v>0.10368210095982937</v>
      </c>
      <c r="AC117" s="16">
        <v>8776.911076443057</v>
      </c>
      <c r="AD117" s="13">
        <v>0.13446498400284393</v>
      </c>
      <c r="AF117" s="1">
        <f t="shared" si="32"/>
        <v>267.08333333333331</v>
      </c>
      <c r="AG117" s="231"/>
      <c r="BC117" s="35"/>
      <c r="BD117" s="35"/>
      <c r="BE117" s="35"/>
      <c r="BF117" s="35"/>
      <c r="BG117" s="35"/>
      <c r="BZ117" s="278" t="s">
        <v>199</v>
      </c>
      <c r="CC117">
        <v>0</v>
      </c>
      <c r="CD117">
        <v>0</v>
      </c>
      <c r="CE117">
        <v>0</v>
      </c>
      <c r="CF117">
        <v>0</v>
      </c>
      <c r="CL117" s="26" t="s">
        <v>196</v>
      </c>
      <c r="DE117">
        <v>6</v>
      </c>
      <c r="DF117">
        <v>4</v>
      </c>
      <c r="DG117">
        <v>5</v>
      </c>
      <c r="DH117">
        <v>4</v>
      </c>
      <c r="EM117">
        <v>0</v>
      </c>
      <c r="EN117">
        <v>0</v>
      </c>
      <c r="EO117">
        <v>0</v>
      </c>
      <c r="EP117">
        <v>6</v>
      </c>
      <c r="GS117" s="26">
        <v>2</v>
      </c>
      <c r="GT117" s="16">
        <v>4243</v>
      </c>
      <c r="GU117">
        <v>15</v>
      </c>
      <c r="GV117" s="16">
        <v>2000000</v>
      </c>
      <c r="GW117" s="16">
        <v>1027194.9032258064</v>
      </c>
      <c r="GX117" s="35">
        <v>11241134.903225806</v>
      </c>
      <c r="GY117" s="313">
        <v>2664000</v>
      </c>
      <c r="GZ117" s="332">
        <v>7394400</v>
      </c>
      <c r="HA117" s="35">
        <v>2664000</v>
      </c>
      <c r="HB117" s="35">
        <v>1182734.9032258056</v>
      </c>
      <c r="HC117" s="13">
        <v>0.10521490164542041</v>
      </c>
      <c r="HD117" s="13">
        <v>8.6782226312829169E-2</v>
      </c>
      <c r="HE117" s="16">
        <v>9218.4774923403256</v>
      </c>
      <c r="HF117" s="13">
        <v>0.10226517359513218</v>
      </c>
      <c r="HG117" s="13"/>
      <c r="HH117" s="1">
        <f t="shared" si="40"/>
        <v>-664000</v>
      </c>
      <c r="HI117" s="27">
        <f t="shared" si="41"/>
        <v>-0.33200000000000002</v>
      </c>
      <c r="HJ117" s="1">
        <f t="shared" si="42"/>
        <v>363194.90322580654</v>
      </c>
      <c r="HK117" s="27">
        <f t="shared" si="43"/>
        <v>0.11997737669245635</v>
      </c>
      <c r="JO117"/>
      <c r="JP117"/>
      <c r="JS117"/>
      <c r="JT117"/>
      <c r="JV117"/>
      <c r="JZ117"/>
      <c r="KA117"/>
      <c r="KN117" s="278" t="s">
        <v>160</v>
      </c>
      <c r="MI117">
        <v>0</v>
      </c>
      <c r="MJ117">
        <v>0</v>
      </c>
      <c r="MK117">
        <v>0</v>
      </c>
      <c r="ML117">
        <v>0</v>
      </c>
    </row>
    <row r="118" spans="1:350">
      <c r="B118" s="27">
        <f t="shared" si="47"/>
        <v>0.11173393296432964</v>
      </c>
      <c r="C118" s="27">
        <f t="shared" si="48"/>
        <v>0.11954182041820419</v>
      </c>
      <c r="D118" s="1">
        <f t="shared" si="49"/>
        <v>287962.96296296298</v>
      </c>
      <c r="E118" s="278">
        <v>39</v>
      </c>
      <c r="F118" s="16">
        <v>7415</v>
      </c>
      <c r="G118">
        <v>27</v>
      </c>
      <c r="H118" s="16">
        <v>65040000</v>
      </c>
      <c r="I118" s="16">
        <v>16910400</v>
      </c>
      <c r="J118" s="16">
        <v>4075000</v>
      </c>
      <c r="K118" s="16">
        <v>0</v>
      </c>
      <c r="L118" s="123">
        <v>225000</v>
      </c>
      <c r="M118" s="16">
        <v>21210400</v>
      </c>
      <c r="N118" s="16">
        <v>7267175</v>
      </c>
      <c r="O118" s="16">
        <v>7775000</v>
      </c>
      <c r="P118" s="16">
        <v>0</v>
      </c>
      <c r="Q118" s="16">
        <v>200000</v>
      </c>
      <c r="R118" s="16">
        <v>200000</v>
      </c>
      <c r="S118"/>
      <c r="T118" s="12">
        <v>15442175</v>
      </c>
      <c r="U118" s="313">
        <v>6615000</v>
      </c>
      <c r="V118" s="16">
        <v>0</v>
      </c>
      <c r="W118" s="123">
        <v>475000</v>
      </c>
      <c r="X118" s="123">
        <v>425600</v>
      </c>
      <c r="Y118" s="12">
        <v>7515600</v>
      </c>
      <c r="Z118" s="12">
        <v>-1747375</v>
      </c>
      <c r="AA118" s="13">
        <v>-8.2382934786708412E-2</v>
      </c>
      <c r="AB118" s="13">
        <v>0.11173393296432964</v>
      </c>
      <c r="AC118" s="16">
        <v>8771.4093054619007</v>
      </c>
      <c r="AD118" s="13">
        <v>0.11954182041820419</v>
      </c>
      <c r="AF118" s="1">
        <f t="shared" si="32"/>
        <v>274.62962962962962</v>
      </c>
      <c r="AG118" s="231"/>
      <c r="BC118" s="35"/>
      <c r="BD118" s="35"/>
      <c r="BE118" s="35"/>
      <c r="BF118" s="35"/>
      <c r="BG118" s="35"/>
      <c r="BZ118" s="278" t="s">
        <v>196</v>
      </c>
      <c r="CC118">
        <v>0</v>
      </c>
      <c r="CD118">
        <v>0</v>
      </c>
      <c r="CE118">
        <v>0</v>
      </c>
      <c r="CF118">
        <v>0</v>
      </c>
      <c r="CL118" s="26" t="s">
        <v>29</v>
      </c>
      <c r="DD118">
        <v>9</v>
      </c>
      <c r="DE118">
        <v>9</v>
      </c>
      <c r="DF118">
        <v>6</v>
      </c>
      <c r="DG118">
        <v>3</v>
      </c>
      <c r="DH118">
        <v>1</v>
      </c>
      <c r="EM118">
        <v>0</v>
      </c>
      <c r="EN118">
        <v>0</v>
      </c>
      <c r="EO118">
        <v>0</v>
      </c>
      <c r="EP118">
        <v>9</v>
      </c>
      <c r="GS118" s="26">
        <v>3</v>
      </c>
      <c r="GT118" s="16">
        <v>4410</v>
      </c>
      <c r="GU118">
        <v>14</v>
      </c>
      <c r="GV118" s="16">
        <v>1850000</v>
      </c>
      <c r="GW118" s="16">
        <v>1027194.9032258064</v>
      </c>
      <c r="GX118" s="35">
        <v>11639754.903225806</v>
      </c>
      <c r="GY118" s="313">
        <v>2464200</v>
      </c>
      <c r="GZ118" s="332">
        <v>7228000</v>
      </c>
      <c r="HA118" s="35">
        <v>2464200</v>
      </c>
      <c r="HB118" s="35">
        <v>1947554.9032258056</v>
      </c>
      <c r="HC118" s="13">
        <v>0.16731923648032024</v>
      </c>
      <c r="HD118" s="13">
        <v>8.7033747779751328E-2</v>
      </c>
      <c r="HE118" s="16">
        <v>9191.8367346938776</v>
      </c>
      <c r="HF118" s="13">
        <v>9.1276889678310644E-2</v>
      </c>
      <c r="HG118" s="13"/>
      <c r="HH118" s="1">
        <f t="shared" si="40"/>
        <v>-614200</v>
      </c>
      <c r="HI118" s="27">
        <f t="shared" si="41"/>
        <v>-0.33200000000000002</v>
      </c>
      <c r="HJ118" s="1">
        <f t="shared" si="42"/>
        <v>412994.90322580654</v>
      </c>
      <c r="HK118" s="27">
        <f t="shared" si="43"/>
        <v>0.14354081566138313</v>
      </c>
      <c r="JO118"/>
      <c r="JP118"/>
      <c r="JS118"/>
      <c r="JT118"/>
      <c r="JV118"/>
      <c r="JZ118"/>
      <c r="KA118"/>
      <c r="KN118" s="278" t="s">
        <v>161</v>
      </c>
      <c r="MI118">
        <v>0</v>
      </c>
      <c r="MJ118">
        <v>0</v>
      </c>
      <c r="MK118">
        <v>0</v>
      </c>
      <c r="ML118">
        <v>0</v>
      </c>
    </row>
    <row r="119" spans="1:350">
      <c r="B119" s="27">
        <f t="shared" si="47"/>
        <v>0.10539758993317219</v>
      </c>
      <c r="C119" s="27">
        <f t="shared" si="48"/>
        <v>0.1138383335703114</v>
      </c>
      <c r="D119" s="1">
        <f t="shared" si="49"/>
        <v>266875</v>
      </c>
      <c r="E119" s="278">
        <v>40</v>
      </c>
      <c r="F119" s="16">
        <v>6436</v>
      </c>
      <c r="G119">
        <v>24</v>
      </c>
      <c r="H119" s="16">
        <v>56264000</v>
      </c>
      <c r="I119" s="16">
        <v>14628640</v>
      </c>
      <c r="J119" s="16">
        <v>3775000</v>
      </c>
      <c r="K119" s="16">
        <v>0</v>
      </c>
      <c r="L119" s="123">
        <v>225000</v>
      </c>
      <c r="M119" s="16">
        <v>18628640</v>
      </c>
      <c r="N119" s="16">
        <v>5930090</v>
      </c>
      <c r="O119" s="16">
        <v>6405000</v>
      </c>
      <c r="P119" s="16">
        <v>0</v>
      </c>
      <c r="Q119" s="16"/>
      <c r="R119" s="16">
        <v>0</v>
      </c>
      <c r="S119"/>
      <c r="T119" s="12">
        <v>12335090</v>
      </c>
      <c r="U119" s="313">
        <v>5880000</v>
      </c>
      <c r="V119" s="16">
        <v>125000</v>
      </c>
      <c r="W119" s="123">
        <v>375000</v>
      </c>
      <c r="X119" s="123">
        <v>415793.54838709679</v>
      </c>
      <c r="Y119" s="12">
        <v>6795793.5483870972</v>
      </c>
      <c r="Z119" s="12">
        <v>-502243.54838709719</v>
      </c>
      <c r="AA119" s="13">
        <v>-2.6960827434911898E-2</v>
      </c>
      <c r="AB119" s="13">
        <v>0.10539758993317219</v>
      </c>
      <c r="AC119" s="16">
        <v>8742.0758234928526</v>
      </c>
      <c r="AD119" s="13">
        <v>0.1138383335703114</v>
      </c>
      <c r="AF119" s="1">
        <f t="shared" si="32"/>
        <v>268.16666666666669</v>
      </c>
      <c r="AG119" s="231"/>
      <c r="BC119" s="35"/>
      <c r="BD119" s="35"/>
      <c r="BE119" s="35"/>
      <c r="BF119" s="35"/>
      <c r="BG119" s="35"/>
      <c r="BZ119" s="278" t="s">
        <v>29</v>
      </c>
      <c r="CC119">
        <v>0</v>
      </c>
      <c r="CD119">
        <v>0</v>
      </c>
      <c r="CE119">
        <v>0</v>
      </c>
      <c r="CF119">
        <v>0</v>
      </c>
      <c r="CL119" s="26" t="s">
        <v>23</v>
      </c>
      <c r="DD119">
        <v>244</v>
      </c>
      <c r="DE119">
        <v>265</v>
      </c>
      <c r="DF119">
        <v>272</v>
      </c>
      <c r="DG119">
        <v>275</v>
      </c>
      <c r="DH119">
        <v>269</v>
      </c>
      <c r="EM119">
        <v>0</v>
      </c>
      <c r="EN119">
        <v>0</v>
      </c>
      <c r="EO119">
        <v>0</v>
      </c>
      <c r="EP119">
        <v>275</v>
      </c>
      <c r="GS119" s="26">
        <v>4</v>
      </c>
      <c r="GT119" s="16">
        <v>4531</v>
      </c>
      <c r="GU119">
        <v>15</v>
      </c>
      <c r="GV119" s="16">
        <v>1875000</v>
      </c>
      <c r="GW119" s="16">
        <v>1027194.9032258064</v>
      </c>
      <c r="GX119" s="35">
        <v>11614674.903225806</v>
      </c>
      <c r="GY119" s="313">
        <v>2497500</v>
      </c>
      <c r="GZ119" s="332">
        <v>41783677</v>
      </c>
      <c r="HA119" s="35">
        <v>2497500</v>
      </c>
      <c r="HB119" s="35">
        <v>-32666502.096774194</v>
      </c>
      <c r="HC119" s="13">
        <v>-2.8125197105346058</v>
      </c>
      <c r="HD119" s="13">
        <v>8.4014654839953726E-2</v>
      </c>
      <c r="HE119" s="16">
        <v>9156.4775987640696</v>
      </c>
      <c r="HF119" s="13">
        <v>0.90387581951407636</v>
      </c>
      <c r="HG119" s="13"/>
      <c r="HH119" s="1">
        <f t="shared" si="40"/>
        <v>-622500</v>
      </c>
      <c r="HI119" s="27">
        <f t="shared" si="41"/>
        <v>-0.33200000000000002</v>
      </c>
      <c r="HJ119" s="1">
        <f t="shared" si="42"/>
        <v>404694.90322580654</v>
      </c>
      <c r="HK119" s="27">
        <f t="shared" si="43"/>
        <v>0.13944442627749976</v>
      </c>
      <c r="JO119"/>
      <c r="JP119"/>
      <c r="JS119"/>
      <c r="JT119"/>
      <c r="JV119"/>
      <c r="JZ119"/>
      <c r="KA119"/>
      <c r="KN119" s="278" t="s">
        <v>156</v>
      </c>
      <c r="MI119">
        <v>0</v>
      </c>
      <c r="MJ119">
        <v>0</v>
      </c>
      <c r="MK119">
        <v>0</v>
      </c>
      <c r="ML119">
        <v>0</v>
      </c>
    </row>
    <row r="120" spans="1:350">
      <c r="B120" s="27">
        <f t="shared" si="47"/>
        <v>0.1122538685221726</v>
      </c>
      <c r="C120" s="27">
        <f t="shared" si="48"/>
        <v>0.11138228268771419</v>
      </c>
      <c r="D120" s="1">
        <f t="shared" si="49"/>
        <v>306428.57142857142</v>
      </c>
      <c r="E120" s="278">
        <v>41</v>
      </c>
      <c r="F120" s="16">
        <v>6591</v>
      </c>
      <c r="G120">
        <v>21</v>
      </c>
      <c r="H120" s="16">
        <v>57774000</v>
      </c>
      <c r="I120" s="16">
        <v>15021240</v>
      </c>
      <c r="J120" s="16">
        <v>3200000</v>
      </c>
      <c r="K120" s="16">
        <v>0</v>
      </c>
      <c r="L120" s="123">
        <v>0</v>
      </c>
      <c r="M120" s="16">
        <v>18221240</v>
      </c>
      <c r="N120" s="16">
        <v>6485355</v>
      </c>
      <c r="O120" s="16">
        <v>6435000</v>
      </c>
      <c r="P120" s="16">
        <v>0</v>
      </c>
      <c r="Q120" s="16"/>
      <c r="R120" s="16">
        <v>0</v>
      </c>
      <c r="S120"/>
      <c r="T120" s="12">
        <v>12920355</v>
      </c>
      <c r="U120" s="313">
        <v>5145000</v>
      </c>
      <c r="V120" s="16"/>
      <c r="W120" s="123">
        <v>375000</v>
      </c>
      <c r="X120" s="123">
        <v>411870.96774193551</v>
      </c>
      <c r="Y120" s="12">
        <v>5931870.9677419355</v>
      </c>
      <c r="Z120" s="12">
        <v>-630985.96774193645</v>
      </c>
      <c r="AA120" s="13">
        <v>-3.4629145312938987E-2</v>
      </c>
      <c r="AB120" s="13">
        <v>0.1122538685221726</v>
      </c>
      <c r="AC120" s="16">
        <v>8765.5894401456535</v>
      </c>
      <c r="AD120" s="13">
        <v>0.11138228268771419</v>
      </c>
      <c r="AF120" s="1">
        <f t="shared" si="32"/>
        <v>313.85714285714283</v>
      </c>
      <c r="AG120" s="231"/>
      <c r="BC120" s="35"/>
      <c r="BD120" s="35"/>
      <c r="BE120" s="35"/>
      <c r="BF120" s="35"/>
      <c r="BG120" s="35"/>
      <c r="BZ120" s="278" t="s">
        <v>23</v>
      </c>
      <c r="CC120">
        <v>0</v>
      </c>
      <c r="CD120">
        <v>0</v>
      </c>
      <c r="CE120">
        <v>0</v>
      </c>
      <c r="CF120">
        <v>0</v>
      </c>
      <c r="CL120" s="26" t="s">
        <v>172</v>
      </c>
      <c r="DD120">
        <v>23</v>
      </c>
      <c r="DE120">
        <v>25</v>
      </c>
      <c r="DF120">
        <v>22</v>
      </c>
      <c r="DG120">
        <v>21</v>
      </c>
      <c r="DH120">
        <v>22</v>
      </c>
      <c r="EM120">
        <v>0</v>
      </c>
      <c r="EN120">
        <v>0</v>
      </c>
      <c r="EO120">
        <v>0</v>
      </c>
      <c r="EP120">
        <v>25</v>
      </c>
      <c r="GS120" s="26">
        <v>5</v>
      </c>
      <c r="GT120" s="16">
        <v>7638</v>
      </c>
      <c r="GU120">
        <v>17</v>
      </c>
      <c r="GV120" s="16">
        <v>1899999.9999999998</v>
      </c>
      <c r="GW120" s="16">
        <v>1043003.2027649769</v>
      </c>
      <c r="GX120" s="35">
        <v>18412943.202764977</v>
      </c>
      <c r="GY120" s="313">
        <v>2530800</v>
      </c>
      <c r="GZ120" s="332">
        <v>6685600</v>
      </c>
      <c r="HA120" s="35">
        <v>2530800</v>
      </c>
      <c r="HB120" s="35">
        <v>9196543.2027649768</v>
      </c>
      <c r="HC120" s="13">
        <v>0.49946079241606411</v>
      </c>
      <c r="HD120" s="13">
        <v>4.0440620007287612E-2</v>
      </c>
      <c r="HE120" s="16">
        <v>9341.9743388321549</v>
      </c>
      <c r="HF120" s="13">
        <v>5.3255598845194374E-2</v>
      </c>
      <c r="HG120" s="13"/>
      <c r="HH120" s="1">
        <f t="shared" si="40"/>
        <v>-630800.00000000023</v>
      </c>
      <c r="HI120" s="27">
        <f t="shared" si="41"/>
        <v>-0.33200000000000018</v>
      </c>
      <c r="HJ120" s="1">
        <f t="shared" si="42"/>
        <v>412203.20276497677</v>
      </c>
      <c r="HK120" s="27">
        <f t="shared" si="43"/>
        <v>0.14006209792014779</v>
      </c>
      <c r="JO120"/>
      <c r="JP120"/>
      <c r="JS120"/>
      <c r="JT120"/>
      <c r="JV120"/>
      <c r="JZ120"/>
      <c r="KA120"/>
      <c r="KN120" s="278" t="s">
        <v>162</v>
      </c>
      <c r="MI120">
        <v>0</v>
      </c>
      <c r="MJ120">
        <v>0</v>
      </c>
      <c r="MK120">
        <v>0</v>
      </c>
      <c r="ML120">
        <v>0</v>
      </c>
    </row>
    <row r="121" spans="1:350">
      <c r="B121" s="27">
        <f t="shared" si="47"/>
        <v>0.11440436490903688</v>
      </c>
      <c r="C121" s="27">
        <f t="shared" si="48"/>
        <v>0.10169379601809357</v>
      </c>
      <c r="D121" s="1">
        <f t="shared" si="49"/>
        <v>280000</v>
      </c>
      <c r="E121" s="278">
        <v>42</v>
      </c>
      <c r="F121" s="16">
        <v>6907</v>
      </c>
      <c r="G121">
        <v>22</v>
      </c>
      <c r="H121" s="16">
        <v>60574000</v>
      </c>
      <c r="I121" s="16">
        <v>15749240</v>
      </c>
      <c r="J121" s="16">
        <v>3500000</v>
      </c>
      <c r="K121" s="16">
        <v>0</v>
      </c>
      <c r="L121" s="123">
        <v>200000</v>
      </c>
      <c r="M121" s="16">
        <v>19449240</v>
      </c>
      <c r="N121" s="16">
        <v>6929930</v>
      </c>
      <c r="O121" s="16">
        <v>6160000</v>
      </c>
      <c r="P121" s="16">
        <v>0</v>
      </c>
      <c r="Q121" s="16"/>
      <c r="R121" s="16">
        <v>0</v>
      </c>
      <c r="S121"/>
      <c r="T121" s="12">
        <v>13089930</v>
      </c>
      <c r="U121" s="313">
        <v>5390000</v>
      </c>
      <c r="V121" s="16">
        <v>0</v>
      </c>
      <c r="W121" s="123">
        <v>375000</v>
      </c>
      <c r="X121" s="123">
        <v>286021.50537634408</v>
      </c>
      <c r="Y121" s="12">
        <v>6051021.5053763445</v>
      </c>
      <c r="Z121" s="12">
        <v>308288.49462365359</v>
      </c>
      <c r="AA121" s="13">
        <v>1.5850927574735753E-2</v>
      </c>
      <c r="AB121" s="13">
        <v>0.11440436490903688</v>
      </c>
      <c r="AC121" s="16">
        <v>8769.9435355436508</v>
      </c>
      <c r="AD121" s="13">
        <v>0.10169379601809357</v>
      </c>
      <c r="AF121" s="1">
        <f t="shared" si="32"/>
        <v>313.95454545454544</v>
      </c>
      <c r="AG121" s="231"/>
      <c r="BC121" s="35"/>
      <c r="BD121" s="35"/>
      <c r="BE121" s="35"/>
      <c r="BF121" s="35"/>
      <c r="BG121" s="35"/>
      <c r="BZ121" s="278" t="s">
        <v>172</v>
      </c>
      <c r="CC121">
        <v>0</v>
      </c>
      <c r="CD121">
        <v>0</v>
      </c>
      <c r="CE121">
        <v>0</v>
      </c>
      <c r="CF121">
        <v>0</v>
      </c>
      <c r="CL121" s="26" t="s">
        <v>205</v>
      </c>
      <c r="EM121">
        <v>0</v>
      </c>
      <c r="EN121">
        <v>0</v>
      </c>
      <c r="EO121">
        <v>0</v>
      </c>
      <c r="EP121">
        <v>0</v>
      </c>
      <c r="GS121" s="26">
        <v>6</v>
      </c>
      <c r="GT121" s="16">
        <v>4227</v>
      </c>
      <c r="GU121">
        <v>15</v>
      </c>
      <c r="GV121" s="16">
        <v>2100000</v>
      </c>
      <c r="GW121" s="16">
        <v>1137853</v>
      </c>
      <c r="GX121" s="35">
        <v>11406873</v>
      </c>
      <c r="GY121" s="313">
        <v>2940000</v>
      </c>
      <c r="GZ121" s="332">
        <v>7581600</v>
      </c>
      <c r="HA121" s="35">
        <v>2940000</v>
      </c>
      <c r="HB121" s="35">
        <v>885273</v>
      </c>
      <c r="HC121" s="13">
        <v>7.7608736417070653E-2</v>
      </c>
      <c r="HD121" s="13">
        <v>8.7465728622419942E-2</v>
      </c>
      <c r="HE121" s="16">
        <v>9146.4395552401238</v>
      </c>
      <c r="HF121" s="13">
        <v>0.10863380063111065</v>
      </c>
      <c r="HG121" s="13"/>
      <c r="HH121" s="1">
        <f t="shared" si="40"/>
        <v>-840000</v>
      </c>
      <c r="HI121" s="27">
        <f t="shared" si="41"/>
        <v>-0.4</v>
      </c>
      <c r="HJ121" s="1">
        <f t="shared" si="42"/>
        <v>297853</v>
      </c>
      <c r="HK121" s="27">
        <f t="shared" si="43"/>
        <v>9.1990896436620187E-2</v>
      </c>
      <c r="JO121"/>
      <c r="JP121"/>
      <c r="JS121"/>
      <c r="JT121"/>
      <c r="JV121"/>
      <c r="JZ121"/>
      <c r="KA121"/>
      <c r="KN121" s="278" t="s">
        <v>163</v>
      </c>
      <c r="LV121" s="379"/>
      <c r="MI121">
        <v>0</v>
      </c>
      <c r="MJ121">
        <v>0</v>
      </c>
      <c r="MK121">
        <v>0</v>
      </c>
      <c r="ML121">
        <v>0</v>
      </c>
    </row>
    <row r="122" spans="1:350">
      <c r="B122" s="27">
        <f t="shared" si="47"/>
        <v>9.8927199886212777E-2</v>
      </c>
      <c r="C122" s="27">
        <f t="shared" si="48"/>
        <v>0.13749288829888109</v>
      </c>
      <c r="D122" s="1">
        <f t="shared" si="49"/>
        <v>290000</v>
      </c>
      <c r="E122" s="278">
        <v>43</v>
      </c>
      <c r="F122" s="16">
        <v>4832</v>
      </c>
      <c r="G122">
        <v>20</v>
      </c>
      <c r="H122" s="16">
        <v>42184000</v>
      </c>
      <c r="I122" s="16">
        <v>10967840</v>
      </c>
      <c r="J122" s="16">
        <v>3325000</v>
      </c>
      <c r="K122" s="16">
        <v>0</v>
      </c>
      <c r="L122" s="123">
        <v>150000</v>
      </c>
      <c r="M122" s="16">
        <v>14442840</v>
      </c>
      <c r="N122" s="16">
        <v>4173145</v>
      </c>
      <c r="O122" s="16">
        <v>5800000</v>
      </c>
      <c r="P122" s="16">
        <v>0</v>
      </c>
      <c r="Q122" s="16"/>
      <c r="R122" s="16">
        <v>400000</v>
      </c>
      <c r="S122"/>
      <c r="T122" s="12">
        <v>10373145</v>
      </c>
      <c r="U122" s="313">
        <v>4900000</v>
      </c>
      <c r="V122" s="16">
        <v>0</v>
      </c>
      <c r="W122" s="123">
        <v>1750000</v>
      </c>
      <c r="X122" s="123">
        <v>286022</v>
      </c>
      <c r="Y122" s="12">
        <v>6936022</v>
      </c>
      <c r="Z122" s="12">
        <v>-2866327</v>
      </c>
      <c r="AA122" s="13">
        <v>-0.19846006741056468</v>
      </c>
      <c r="AB122" s="13">
        <v>9.8927199886212777E-2</v>
      </c>
      <c r="AC122" s="16">
        <v>8730.1324503311262</v>
      </c>
      <c r="AD122" s="13">
        <v>0.13749288829888109</v>
      </c>
      <c r="AF122" s="1">
        <f t="shared" si="32"/>
        <v>241.6</v>
      </c>
      <c r="AG122" s="231"/>
      <c r="BC122" s="35"/>
      <c r="BD122" s="35"/>
      <c r="BE122" s="35"/>
      <c r="BF122" s="35"/>
      <c r="BG122" s="35"/>
      <c r="BZ122" s="278" t="s">
        <v>205</v>
      </c>
      <c r="CC122">
        <v>0</v>
      </c>
      <c r="CD122">
        <v>0</v>
      </c>
      <c r="CE122">
        <v>0</v>
      </c>
      <c r="CF122">
        <v>0</v>
      </c>
      <c r="CL122" s="26" t="s">
        <v>173</v>
      </c>
      <c r="DD122">
        <v>15</v>
      </c>
      <c r="DE122">
        <v>16</v>
      </c>
      <c r="DF122">
        <v>16</v>
      </c>
      <c r="DG122">
        <v>16</v>
      </c>
      <c r="DH122">
        <v>14</v>
      </c>
      <c r="EM122">
        <v>0</v>
      </c>
      <c r="EN122">
        <v>0</v>
      </c>
      <c r="EO122">
        <v>0</v>
      </c>
      <c r="EP122">
        <v>16</v>
      </c>
      <c r="GS122" s="26">
        <v>7</v>
      </c>
      <c r="GT122" s="16">
        <v>5060</v>
      </c>
      <c r="GU122">
        <v>15</v>
      </c>
      <c r="GV122" s="16">
        <v>2250000</v>
      </c>
      <c r="GW122" s="16">
        <v>1137853</v>
      </c>
      <c r="GX122" s="35">
        <v>13013013</v>
      </c>
      <c r="GY122" s="313">
        <v>3150000</v>
      </c>
      <c r="GZ122" s="332">
        <v>8548000</v>
      </c>
      <c r="HA122" s="35">
        <v>3150000</v>
      </c>
      <c r="HB122" s="35">
        <v>1315013</v>
      </c>
      <c r="HC122" s="13">
        <v>0.101053691408746</v>
      </c>
      <c r="HD122" s="13">
        <v>8.877971751908062E-2</v>
      </c>
      <c r="HE122" s="16">
        <v>9011.0671936758899</v>
      </c>
      <c r="HF122" s="13">
        <v>9.869286779542065E-2</v>
      </c>
      <c r="HG122" s="13"/>
      <c r="HH122" s="1">
        <f t="shared" si="40"/>
        <v>-900000</v>
      </c>
      <c r="HI122" s="27">
        <f t="shared" si="41"/>
        <v>-0.4</v>
      </c>
      <c r="HJ122" s="1">
        <f t="shared" si="42"/>
        <v>237853</v>
      </c>
      <c r="HK122" s="27">
        <f t="shared" si="43"/>
        <v>7.0207591651703899E-2</v>
      </c>
      <c r="JO122"/>
      <c r="JP122"/>
      <c r="JS122"/>
      <c r="JT122"/>
      <c r="JV122"/>
      <c r="JZ122"/>
      <c r="KA122"/>
      <c r="KN122" s="278" t="s">
        <v>164</v>
      </c>
      <c r="MI122">
        <v>0</v>
      </c>
      <c r="MJ122">
        <v>0</v>
      </c>
      <c r="MK122">
        <v>0</v>
      </c>
      <c r="ML122">
        <v>0</v>
      </c>
    </row>
    <row r="123" spans="1:350">
      <c r="B123" s="27">
        <f t="shared" ref="B123:B135" si="50">N123/H123</f>
        <v>9.8529690760766453E-2</v>
      </c>
      <c r="C123" s="27">
        <f t="shared" ref="C123:C134" si="51">O123/H123</f>
        <v>0.13149781825080631</v>
      </c>
      <c r="D123" s="1">
        <f t="shared" ref="D123:D135" si="52">O123/G123</f>
        <v>291842.10526315792</v>
      </c>
      <c r="E123" s="278">
        <v>44</v>
      </c>
      <c r="F123" s="16">
        <v>4819</v>
      </c>
      <c r="G123">
        <v>19</v>
      </c>
      <c r="H123" s="16">
        <v>42168000</v>
      </c>
      <c r="I123" s="16">
        <v>10963680</v>
      </c>
      <c r="J123" s="16">
        <v>2800000</v>
      </c>
      <c r="K123" s="16">
        <v>0</v>
      </c>
      <c r="L123" s="123">
        <v>125000</v>
      </c>
      <c r="M123" s="16">
        <v>13888680</v>
      </c>
      <c r="N123" s="16">
        <v>4154800</v>
      </c>
      <c r="O123" s="16">
        <v>5545000</v>
      </c>
      <c r="P123" s="16">
        <v>0</v>
      </c>
      <c r="Q123" s="16"/>
      <c r="R123" s="16">
        <v>0</v>
      </c>
      <c r="S123"/>
      <c r="T123" s="12">
        <v>9699800</v>
      </c>
      <c r="U123" s="313">
        <v>4655000</v>
      </c>
      <c r="V123" s="16">
        <v>0</v>
      </c>
      <c r="W123" s="123">
        <v>900000</v>
      </c>
      <c r="X123" s="123">
        <v>288745.51971326163</v>
      </c>
      <c r="Y123" s="12">
        <v>5843745.5197132612</v>
      </c>
      <c r="Z123" s="12">
        <v>-1654865.519713263</v>
      </c>
      <c r="AA123" s="13">
        <v>-0.11915210946708132</v>
      </c>
      <c r="AB123" s="13">
        <v>9.8529690760766453E-2</v>
      </c>
      <c r="AC123" s="16">
        <v>8750.3631458808886</v>
      </c>
      <c r="AD123" s="13">
        <v>0.13149781825080631</v>
      </c>
      <c r="AF123" s="1">
        <f t="shared" si="32"/>
        <v>253.63157894736841</v>
      </c>
      <c r="AG123" s="231"/>
      <c r="BC123" s="35"/>
      <c r="BD123" s="35"/>
      <c r="BE123" s="35"/>
      <c r="BF123" s="35"/>
      <c r="BG123" s="35"/>
      <c r="BZ123" s="278" t="s">
        <v>173</v>
      </c>
      <c r="CC123">
        <v>0</v>
      </c>
      <c r="CD123">
        <v>0</v>
      </c>
      <c r="CE123">
        <v>0</v>
      </c>
      <c r="CF123">
        <v>0</v>
      </c>
      <c r="CL123" s="26" t="s">
        <v>174</v>
      </c>
      <c r="DD123">
        <v>33</v>
      </c>
      <c r="DE123">
        <v>34</v>
      </c>
      <c r="DF123">
        <v>26</v>
      </c>
      <c r="DG123">
        <v>24</v>
      </c>
      <c r="DH123">
        <v>24</v>
      </c>
      <c r="EM123">
        <v>0</v>
      </c>
      <c r="EN123">
        <v>0</v>
      </c>
      <c r="EO123">
        <v>0</v>
      </c>
      <c r="EP123">
        <v>34</v>
      </c>
      <c r="GS123" s="26">
        <v>8</v>
      </c>
      <c r="GT123" s="16">
        <v>335</v>
      </c>
      <c r="GU123">
        <v>15</v>
      </c>
      <c r="GV123" s="16">
        <v>2125000</v>
      </c>
      <c r="GW123" s="16">
        <v>1137853</v>
      </c>
      <c r="GX123" s="35">
        <v>12662473</v>
      </c>
      <c r="GY123" s="313">
        <v>2975000</v>
      </c>
      <c r="GZ123" s="332">
        <v>10421291</v>
      </c>
      <c r="HA123" s="35">
        <v>3100000</v>
      </c>
      <c r="HB123" s="35">
        <v>-858818</v>
      </c>
      <c r="HC123" s="13">
        <v>-6.7823876110140568E-2</v>
      </c>
      <c r="HD123" s="13">
        <v>8.7902609945644847E-2</v>
      </c>
      <c r="HE123" s="16">
        <v>132901.49253731343</v>
      </c>
      <c r="HF123" s="13">
        <v>9.5458425048290732E-2</v>
      </c>
      <c r="HG123" s="13"/>
      <c r="HH123" s="1">
        <f t="shared" si="40"/>
        <v>-850000</v>
      </c>
      <c r="HI123" s="27">
        <f t="shared" si="41"/>
        <v>-0.4</v>
      </c>
      <c r="HJ123" s="1">
        <f t="shared" si="42"/>
        <v>287853</v>
      </c>
      <c r="HK123" s="27">
        <f t="shared" si="43"/>
        <v>8.8221259125066315E-2</v>
      </c>
      <c r="JO123"/>
      <c r="JP123"/>
      <c r="JS123"/>
      <c r="JT123"/>
      <c r="JV123"/>
      <c r="JZ123"/>
      <c r="KA123"/>
      <c r="KN123" s="278" t="s">
        <v>165</v>
      </c>
      <c r="MI123">
        <v>0</v>
      </c>
      <c r="MJ123">
        <v>0</v>
      </c>
      <c r="MK123">
        <v>0</v>
      </c>
      <c r="ML123">
        <v>0</v>
      </c>
    </row>
    <row r="124" spans="1:350">
      <c r="B124" s="27">
        <f t="shared" si="50"/>
        <v>0.11628524613777953</v>
      </c>
      <c r="C124" s="27">
        <f t="shared" si="51"/>
        <v>0.11541647160502719</v>
      </c>
      <c r="D124" s="1">
        <f t="shared" si="52"/>
        <v>305238.09523809527</v>
      </c>
      <c r="E124" s="278">
        <v>45</v>
      </c>
      <c r="F124" s="16">
        <v>6290</v>
      </c>
      <c r="G124">
        <v>21</v>
      </c>
      <c r="H124" s="16">
        <v>55538000</v>
      </c>
      <c r="I124" s="16">
        <v>14439880</v>
      </c>
      <c r="J124" s="16">
        <v>2850000</v>
      </c>
      <c r="K124" s="16">
        <v>0</v>
      </c>
      <c r="L124" s="123">
        <v>200000</v>
      </c>
      <c r="M124" s="16">
        <v>17489880</v>
      </c>
      <c r="N124" s="16">
        <v>6458250</v>
      </c>
      <c r="O124" s="16">
        <v>6410000</v>
      </c>
      <c r="P124" s="16">
        <v>0</v>
      </c>
      <c r="Q124" s="16"/>
      <c r="R124" s="16">
        <v>0</v>
      </c>
      <c r="S124"/>
      <c r="T124" s="12">
        <v>12868250</v>
      </c>
      <c r="U124" s="313">
        <v>5145000</v>
      </c>
      <c r="V124" s="16">
        <v>0</v>
      </c>
      <c r="W124" s="123">
        <v>900000</v>
      </c>
      <c r="X124" s="123">
        <v>295555.5555555555</v>
      </c>
      <c r="Y124" s="12">
        <v>6340555.555555556</v>
      </c>
      <c r="Z124" s="12">
        <v>-1718925.555555556</v>
      </c>
      <c r="AA124" s="13">
        <v>-9.8281152046529541E-2</v>
      </c>
      <c r="AB124" s="13">
        <v>0.11628524613777953</v>
      </c>
      <c r="AC124" s="16">
        <v>8829.5707472178055</v>
      </c>
      <c r="AD124" s="13">
        <v>0.11541647160502719</v>
      </c>
      <c r="AF124" s="1">
        <f t="shared" si="32"/>
        <v>299.52380952380952</v>
      </c>
      <c r="AG124" s="231"/>
      <c r="BC124" s="35"/>
      <c r="BD124" s="35"/>
      <c r="BE124" s="35"/>
      <c r="BF124" s="35"/>
      <c r="BG124" s="35"/>
      <c r="BZ124" s="278" t="s">
        <v>174</v>
      </c>
      <c r="CC124">
        <v>0</v>
      </c>
      <c r="CD124">
        <v>0</v>
      </c>
      <c r="CE124">
        <v>0</v>
      </c>
      <c r="CF124">
        <v>0</v>
      </c>
      <c r="CL124" s="26" t="s">
        <v>203</v>
      </c>
      <c r="EM124">
        <v>0</v>
      </c>
      <c r="EN124">
        <v>0</v>
      </c>
      <c r="EO124">
        <v>0</v>
      </c>
      <c r="EP124">
        <v>0</v>
      </c>
      <c r="GS124" s="26">
        <v>9</v>
      </c>
      <c r="GT124" s="16">
        <v>4190</v>
      </c>
      <c r="GU124">
        <v>13</v>
      </c>
      <c r="GV124" s="16">
        <v>1724999.9999999998</v>
      </c>
      <c r="GW124" s="16">
        <v>1128380.4423963134</v>
      </c>
      <c r="GX124" s="35">
        <v>11085900.442396313</v>
      </c>
      <c r="GY124" s="313">
        <v>2450000</v>
      </c>
      <c r="GZ124" s="332">
        <v>6851999.9999999991</v>
      </c>
      <c r="HA124" s="35">
        <v>2575000</v>
      </c>
      <c r="HB124" s="35">
        <v>1658900.4423963139</v>
      </c>
      <c r="HC124" s="13">
        <v>0.14964056830711789</v>
      </c>
      <c r="HD124" s="13">
        <v>8.8182679153951365E-2</v>
      </c>
      <c r="HE124" s="16">
        <v>9072.0763723150358</v>
      </c>
      <c r="HF124" s="13">
        <v>9.2076186467431334E-2</v>
      </c>
      <c r="HG124" s="13"/>
      <c r="HH124" s="1">
        <f t="shared" si="40"/>
        <v>-725000.00000000023</v>
      </c>
      <c r="HI124" s="27">
        <f t="shared" si="41"/>
        <v>-0.42028985507246397</v>
      </c>
      <c r="HJ124" s="1">
        <f t="shared" si="42"/>
        <v>403380.44239631295</v>
      </c>
      <c r="HK124" s="27">
        <f t="shared" si="43"/>
        <v>0.14136931633888533</v>
      </c>
      <c r="JO124"/>
      <c r="JP124"/>
      <c r="JS124"/>
      <c r="JT124"/>
      <c r="JV124"/>
      <c r="JZ124"/>
      <c r="KA124"/>
      <c r="KN124" s="278" t="s">
        <v>36</v>
      </c>
      <c r="MI124">
        <v>0</v>
      </c>
      <c r="MJ124">
        <v>0</v>
      </c>
      <c r="MK124">
        <v>0</v>
      </c>
      <c r="ML124">
        <v>0</v>
      </c>
    </row>
    <row r="125" spans="1:350">
      <c r="B125" s="27">
        <f t="shared" si="50"/>
        <v>0.10624496155855788</v>
      </c>
      <c r="C125" s="27">
        <f t="shared" si="51"/>
        <v>0.13127939090841234</v>
      </c>
      <c r="D125" s="1">
        <f t="shared" si="52"/>
        <v>270576.92307692306</v>
      </c>
      <c r="E125" s="278">
        <v>46</v>
      </c>
      <c r="F125" s="16">
        <v>6128</v>
      </c>
      <c r="G125">
        <v>26</v>
      </c>
      <c r="H125" s="16">
        <v>53588000</v>
      </c>
      <c r="I125" s="16">
        <v>13932880</v>
      </c>
      <c r="J125" s="16">
        <v>3750000</v>
      </c>
      <c r="K125" s="16">
        <v>0</v>
      </c>
      <c r="L125" s="123">
        <v>300000</v>
      </c>
      <c r="M125" s="16">
        <v>17982880</v>
      </c>
      <c r="N125" s="16">
        <v>5693455</v>
      </c>
      <c r="O125" s="16">
        <v>7035000</v>
      </c>
      <c r="P125" s="16">
        <v>0</v>
      </c>
      <c r="Q125" s="16"/>
      <c r="R125" s="16">
        <v>0</v>
      </c>
      <c r="S125"/>
      <c r="T125" s="12">
        <v>12728455</v>
      </c>
      <c r="U125" s="313">
        <v>6370000</v>
      </c>
      <c r="V125" s="16">
        <v>0</v>
      </c>
      <c r="W125" s="123">
        <v>900000</v>
      </c>
      <c r="X125" s="123">
        <v>295555.5555555555</v>
      </c>
      <c r="Y125" s="12">
        <v>7565555.555555556</v>
      </c>
      <c r="Z125" s="12">
        <v>-2311130.555555556</v>
      </c>
      <c r="AA125" s="13">
        <v>-0.12851837723187587</v>
      </c>
      <c r="AB125" s="13">
        <v>0.10624496155855788</v>
      </c>
      <c r="AC125" s="16">
        <v>8744.7780678851177</v>
      </c>
      <c r="AD125" s="13">
        <v>0.13127939090841234</v>
      </c>
      <c r="AF125" s="1">
        <f t="shared" si="32"/>
        <v>235.69230769230768</v>
      </c>
      <c r="AG125" s="231"/>
      <c r="BC125" s="35"/>
      <c r="BD125" s="35"/>
      <c r="BE125" s="35"/>
      <c r="BF125" s="35"/>
      <c r="BG125" s="35"/>
      <c r="BZ125" s="278" t="s">
        <v>203</v>
      </c>
      <c r="CC125">
        <v>0</v>
      </c>
      <c r="CD125">
        <v>0</v>
      </c>
      <c r="CE125">
        <v>0</v>
      </c>
      <c r="CF125">
        <v>0</v>
      </c>
      <c r="CL125" s="26" t="s">
        <v>175</v>
      </c>
      <c r="DD125">
        <v>5</v>
      </c>
      <c r="DE125">
        <v>6</v>
      </c>
      <c r="DF125">
        <v>6</v>
      </c>
      <c r="DG125">
        <v>7</v>
      </c>
      <c r="DH125">
        <v>4</v>
      </c>
      <c r="EM125">
        <v>0</v>
      </c>
      <c r="EN125">
        <v>0</v>
      </c>
      <c r="EO125">
        <v>0</v>
      </c>
      <c r="EP125">
        <v>7</v>
      </c>
      <c r="GS125" s="26">
        <v>10</v>
      </c>
      <c r="GT125" s="16">
        <v>2589</v>
      </c>
      <c r="GU125">
        <v>12</v>
      </c>
      <c r="GV125" s="16">
        <v>1725000</v>
      </c>
      <c r="GW125" s="16">
        <v>1071545.0967741935</v>
      </c>
      <c r="GX125" s="35">
        <v>7816425.0967741935</v>
      </c>
      <c r="GY125" s="313">
        <v>2450000</v>
      </c>
      <c r="GZ125" s="332">
        <v>5571200</v>
      </c>
      <c r="HA125" s="35">
        <v>2450000</v>
      </c>
      <c r="HB125" s="35">
        <v>-204774.90322580654</v>
      </c>
      <c r="HC125" s="13">
        <v>-2.6198025400424589E-2</v>
      </c>
      <c r="HD125" s="13">
        <v>8.8407034317910194E-2</v>
      </c>
      <c r="HE125" s="16">
        <v>9049.0536886828886</v>
      </c>
      <c r="HF125" s="13">
        <v>0.14939388765579648</v>
      </c>
      <c r="HG125" s="13"/>
      <c r="HH125" s="1">
        <f t="shared" si="40"/>
        <v>-725000</v>
      </c>
      <c r="HI125" s="27">
        <f t="shared" si="41"/>
        <v>-0.42028985507246375</v>
      </c>
      <c r="HJ125" s="1">
        <f t="shared" si="42"/>
        <v>346545.09677419346</v>
      </c>
      <c r="HK125" s="27">
        <f t="shared" si="43"/>
        <v>0.12391900891350982</v>
      </c>
      <c r="JO125"/>
      <c r="JP125"/>
      <c r="JS125"/>
      <c r="JT125"/>
      <c r="JV125"/>
      <c r="JZ125"/>
      <c r="KA125"/>
      <c r="KN125" s="278" t="s">
        <v>166</v>
      </c>
      <c r="MI125">
        <v>0</v>
      </c>
      <c r="MJ125">
        <v>0</v>
      </c>
      <c r="MK125">
        <v>0</v>
      </c>
      <c r="ML125">
        <v>0</v>
      </c>
    </row>
    <row r="126" spans="1:350">
      <c r="B126" s="27">
        <f t="shared" si="50"/>
        <v>9.3984530840536623E-2</v>
      </c>
      <c r="C126" s="27">
        <f t="shared" si="51"/>
        <v>0.15214925489889311</v>
      </c>
      <c r="D126" s="1">
        <f t="shared" si="52"/>
        <v>299230.76923076925</v>
      </c>
      <c r="E126" s="278">
        <v>47</v>
      </c>
      <c r="F126" s="16">
        <v>5846</v>
      </c>
      <c r="G126">
        <v>26</v>
      </c>
      <c r="H126" s="16">
        <v>51134000</v>
      </c>
      <c r="I126" s="16">
        <v>13294840</v>
      </c>
      <c r="J126" s="16">
        <v>3650000</v>
      </c>
      <c r="K126" s="16">
        <v>0</v>
      </c>
      <c r="L126" s="123">
        <v>325000</v>
      </c>
      <c r="M126" s="16">
        <v>17269840</v>
      </c>
      <c r="N126" s="16">
        <v>4805805</v>
      </c>
      <c r="O126" s="16">
        <v>7780000</v>
      </c>
      <c r="P126" s="16">
        <v>0</v>
      </c>
      <c r="Q126" s="16"/>
      <c r="R126" s="16">
        <v>0</v>
      </c>
      <c r="S126"/>
      <c r="T126" s="12">
        <v>12585805</v>
      </c>
      <c r="U126" s="313">
        <v>6370000</v>
      </c>
      <c r="V126" s="16">
        <v>0</v>
      </c>
      <c r="W126" s="123">
        <v>900000</v>
      </c>
      <c r="X126" s="123">
        <v>295556</v>
      </c>
      <c r="Y126" s="12">
        <v>7565556</v>
      </c>
      <c r="Z126" s="12">
        <v>-2881521</v>
      </c>
      <c r="AA126" s="13">
        <v>-0.1668527907612346</v>
      </c>
      <c r="AB126" s="13">
        <v>9.3984530840536623E-2</v>
      </c>
      <c r="AC126" s="16">
        <v>8746.835443037975</v>
      </c>
      <c r="AD126" s="13">
        <v>0.15214925489889311</v>
      </c>
      <c r="AF126" s="1">
        <f t="shared" si="32"/>
        <v>224.84615384615384</v>
      </c>
      <c r="AG126" s="231"/>
      <c r="BC126" s="35"/>
      <c r="BD126" s="35"/>
      <c r="BE126" s="35"/>
      <c r="BF126" s="35"/>
      <c r="BG126" s="35"/>
      <c r="BZ126" s="278" t="s">
        <v>175</v>
      </c>
      <c r="CC126">
        <v>0</v>
      </c>
      <c r="CD126">
        <v>0</v>
      </c>
      <c r="CE126">
        <v>0</v>
      </c>
      <c r="CF126">
        <v>0</v>
      </c>
      <c r="CL126" s="26" t="s">
        <v>200</v>
      </c>
      <c r="EM126">
        <v>0</v>
      </c>
      <c r="EN126">
        <v>0</v>
      </c>
      <c r="EO126">
        <v>0</v>
      </c>
      <c r="EP126">
        <v>0</v>
      </c>
      <c r="GS126" s="26">
        <v>11</v>
      </c>
      <c r="GT126" s="16">
        <v>2783</v>
      </c>
      <c r="GU126">
        <v>12</v>
      </c>
      <c r="GV126" s="16">
        <v>1650000</v>
      </c>
      <c r="GW126" s="16">
        <v>1071545.0967741935</v>
      </c>
      <c r="GX126" s="35">
        <v>8136225.0967741935</v>
      </c>
      <c r="GY126" s="313">
        <v>2345000</v>
      </c>
      <c r="GZ126" s="332">
        <v>5576400</v>
      </c>
      <c r="HA126" s="35">
        <v>2345000</v>
      </c>
      <c r="HB126" s="35">
        <v>214825.09677419346</v>
      </c>
      <c r="HC126" s="13">
        <v>2.6403534098308829E-2</v>
      </c>
      <c r="HD126" s="13">
        <v>0.13236921131657975</v>
      </c>
      <c r="HE126" s="16">
        <v>9093.7836866690614</v>
      </c>
      <c r="HF126" s="13">
        <v>8.7972182709024821E-2</v>
      </c>
      <c r="HG126" s="85"/>
      <c r="HH126" s="1">
        <f t="shared" ref="HH126:HH165" si="53">GV126-GY126</f>
        <v>-695000</v>
      </c>
      <c r="HI126" s="27">
        <f t="shared" ref="HI126:HI165" si="54">HH126/GV126</f>
        <v>-0.4212121212121212</v>
      </c>
      <c r="HJ126" s="1">
        <f t="shared" ref="HJ126:HJ165" si="55">GV126+GW126-GY126</f>
        <v>376545.09677419346</v>
      </c>
      <c r="HK126" s="27">
        <f t="shared" ref="HK126:HK165" si="56">HJ126/(GV126+GW126)</f>
        <v>0.13835710355140052</v>
      </c>
      <c r="JO126"/>
      <c r="JP126"/>
      <c r="JS126"/>
      <c r="JT126"/>
      <c r="JV126"/>
      <c r="JZ126"/>
      <c r="KA126"/>
      <c r="KN126" s="26" t="s">
        <v>29</v>
      </c>
      <c r="MI126">
        <v>0</v>
      </c>
      <c r="MJ126">
        <v>0</v>
      </c>
      <c r="MK126">
        <v>0</v>
      </c>
      <c r="ML126">
        <v>0</v>
      </c>
    </row>
    <row r="127" spans="1:350">
      <c r="B127" s="27">
        <f t="shared" si="50"/>
        <v>0.10582125563252405</v>
      </c>
      <c r="C127" s="27">
        <f t="shared" si="51"/>
        <v>0.13761853520747866</v>
      </c>
      <c r="D127" s="1">
        <f t="shared" si="52"/>
        <v>327400</v>
      </c>
      <c r="E127" s="278">
        <v>48</v>
      </c>
      <c r="F127" s="16">
        <v>6813</v>
      </c>
      <c r="G127">
        <v>25</v>
      </c>
      <c r="H127" s="16">
        <v>59476000</v>
      </c>
      <c r="I127" s="16">
        <v>15463760</v>
      </c>
      <c r="J127" s="16">
        <v>3675000</v>
      </c>
      <c r="K127" s="16">
        <v>0</v>
      </c>
      <c r="L127" s="123">
        <v>250000</v>
      </c>
      <c r="M127" s="16">
        <v>19388760</v>
      </c>
      <c r="N127" s="16">
        <v>6293825</v>
      </c>
      <c r="O127" s="16">
        <v>8185000</v>
      </c>
      <c r="P127" s="16">
        <v>0</v>
      </c>
      <c r="Q127" s="16">
        <v>100000</v>
      </c>
      <c r="R127" s="16">
        <v>200000</v>
      </c>
      <c r="S127"/>
      <c r="T127" s="12">
        <v>14778825</v>
      </c>
      <c r="U127" s="313">
        <v>6125000</v>
      </c>
      <c r="V127" s="16">
        <v>0</v>
      </c>
      <c r="W127" s="123">
        <v>900000</v>
      </c>
      <c r="X127" s="123">
        <v>295555.5555555555</v>
      </c>
      <c r="Y127" s="12">
        <v>7320555.555555556</v>
      </c>
      <c r="Z127" s="12">
        <v>-2710620.555555556</v>
      </c>
      <c r="AA127" s="13">
        <v>-0.13980370872379441</v>
      </c>
      <c r="AB127" s="13">
        <v>0.10582125563252405</v>
      </c>
      <c r="AC127" s="16">
        <v>8729.7813004550117</v>
      </c>
      <c r="AD127" s="13">
        <v>0.13761853520747866</v>
      </c>
      <c r="AF127" s="1">
        <f t="shared" si="32"/>
        <v>272.52</v>
      </c>
      <c r="AG127" s="231"/>
      <c r="BC127" s="35"/>
      <c r="BD127" s="35"/>
      <c r="BE127" s="35"/>
      <c r="BF127" s="35"/>
      <c r="BG127" s="35"/>
      <c r="BZ127" s="278" t="s">
        <v>200</v>
      </c>
      <c r="CC127">
        <v>0</v>
      </c>
      <c r="CD127">
        <v>0</v>
      </c>
      <c r="CE127">
        <v>0</v>
      </c>
      <c r="CF127">
        <v>0</v>
      </c>
      <c r="CL127" s="26" t="s">
        <v>176</v>
      </c>
      <c r="EM127">
        <v>0</v>
      </c>
      <c r="EN127">
        <v>0</v>
      </c>
      <c r="EO127">
        <v>0</v>
      </c>
      <c r="EP127">
        <v>0</v>
      </c>
      <c r="GS127" s="26">
        <v>12</v>
      </c>
      <c r="GT127" s="16">
        <v>2824</v>
      </c>
      <c r="GU127">
        <v>16</v>
      </c>
      <c r="GV127" s="16">
        <v>2050000</v>
      </c>
      <c r="GW127" s="16">
        <v>1071545.0967741935</v>
      </c>
      <c r="GX127" s="35">
        <v>8725265.0967741944</v>
      </c>
      <c r="GY127" s="313">
        <v>2905000</v>
      </c>
      <c r="GZ127" s="332">
        <v>6409200</v>
      </c>
      <c r="HA127" s="35">
        <v>2905000</v>
      </c>
      <c r="HB127" s="35">
        <v>-588934.90322580561</v>
      </c>
      <c r="HC127" s="13">
        <v>-6.749765155485532E-2</v>
      </c>
      <c r="HD127" s="13">
        <v>8.7797295196642311E-2</v>
      </c>
      <c r="HE127" s="16">
        <v>9111.8980169971674</v>
      </c>
      <c r="HF127" s="13">
        <v>0.16127778641380383</v>
      </c>
      <c r="HG127" s="13"/>
      <c r="HH127" s="1">
        <f t="shared" si="53"/>
        <v>-855000</v>
      </c>
      <c r="HI127" s="27">
        <f t="shared" si="54"/>
        <v>-0.4170731707317073</v>
      </c>
      <c r="HJ127" s="1">
        <f t="shared" si="55"/>
        <v>216545.09677419346</v>
      </c>
      <c r="HK127" s="27">
        <f t="shared" si="56"/>
        <v>6.9371125535867245E-2</v>
      </c>
      <c r="JO127"/>
      <c r="JP127"/>
      <c r="JS127"/>
      <c r="JT127"/>
      <c r="JV127"/>
      <c r="JZ127"/>
      <c r="KA127"/>
      <c r="KN127" s="278" t="s">
        <v>21</v>
      </c>
      <c r="MI127">
        <v>0</v>
      </c>
      <c r="MJ127">
        <v>0</v>
      </c>
      <c r="MK127">
        <v>0</v>
      </c>
      <c r="ML127">
        <v>0</v>
      </c>
    </row>
    <row r="128" spans="1:350">
      <c r="B128" s="27">
        <f t="shared" ref="B128" si="57">N128/H128</f>
        <v>9.9959469183880795E-2</v>
      </c>
      <c r="C128" s="27">
        <f t="shared" ref="C128" si="58">O128/H128</f>
        <v>0.13037588892651542</v>
      </c>
      <c r="D128" s="1">
        <f t="shared" ref="D128" si="59">O128/G128</f>
        <v>267826.08695652173</v>
      </c>
      <c r="E128" s="278">
        <v>49</v>
      </c>
      <c r="F128" s="16">
        <v>5385</v>
      </c>
      <c r="G128">
        <v>23</v>
      </c>
      <c r="H128" s="16">
        <v>47248000</v>
      </c>
      <c r="I128" s="16">
        <v>12284480</v>
      </c>
      <c r="J128" s="16">
        <v>3725000</v>
      </c>
      <c r="K128" s="16">
        <v>0</v>
      </c>
      <c r="L128" s="123">
        <v>175000</v>
      </c>
      <c r="M128" s="16">
        <v>16184480</v>
      </c>
      <c r="N128" s="16">
        <v>4722885</v>
      </c>
      <c r="O128" s="16">
        <v>6160000</v>
      </c>
      <c r="P128" s="16">
        <v>0</v>
      </c>
      <c r="Q128" s="16">
        <v>0</v>
      </c>
      <c r="R128" s="16">
        <v>0</v>
      </c>
      <c r="S128"/>
      <c r="T128" s="12">
        <v>10882885</v>
      </c>
      <c r="U128" s="313">
        <v>5635000</v>
      </c>
      <c r="V128" s="16">
        <v>0</v>
      </c>
      <c r="W128" s="123">
        <v>1050000</v>
      </c>
      <c r="X128" s="123">
        <v>286021.50537634408</v>
      </c>
      <c r="Y128" s="12">
        <v>6971021.5053763445</v>
      </c>
      <c r="Z128" s="12">
        <v>-1669426.5053763464</v>
      </c>
      <c r="AA128" s="13">
        <v>-0.10314983894300876</v>
      </c>
      <c r="AB128" s="13">
        <v>9.9959469183880795E-2</v>
      </c>
      <c r="AC128" s="16">
        <v>8774.0018570102129</v>
      </c>
      <c r="AD128" s="13">
        <v>0.13037588892651542</v>
      </c>
      <c r="AF128" s="1">
        <f t="shared" si="32"/>
        <v>234.13043478260869</v>
      </c>
      <c r="AG128" s="231"/>
      <c r="BC128" s="35"/>
      <c r="BD128" s="35"/>
      <c r="BE128" s="35"/>
      <c r="BF128" s="35"/>
      <c r="BG128" s="35"/>
      <c r="BZ128" s="278" t="s">
        <v>176</v>
      </c>
      <c r="CC128">
        <v>0</v>
      </c>
      <c r="CD128">
        <v>0</v>
      </c>
      <c r="CE128">
        <v>0</v>
      </c>
      <c r="CF128">
        <v>0</v>
      </c>
      <c r="CL128" s="26" t="s">
        <v>201</v>
      </c>
      <c r="EM128">
        <v>0</v>
      </c>
      <c r="EN128">
        <v>0</v>
      </c>
      <c r="EO128">
        <v>0</v>
      </c>
      <c r="EP128">
        <v>0</v>
      </c>
      <c r="GS128" s="26">
        <v>13</v>
      </c>
      <c r="GT128" s="16">
        <v>3440</v>
      </c>
      <c r="GU128">
        <v>16</v>
      </c>
      <c r="GV128" s="16">
        <v>2100000</v>
      </c>
      <c r="GW128" s="16">
        <v>1071545.0967741935</v>
      </c>
      <c r="GX128" s="35">
        <v>9794945.0967741944</v>
      </c>
      <c r="GY128" s="313">
        <v>2940000</v>
      </c>
      <c r="GZ128" s="332">
        <v>7202000</v>
      </c>
      <c r="HA128" s="35">
        <v>2940000</v>
      </c>
      <c r="HB128" s="35">
        <v>-347054.90322580561</v>
      </c>
      <c r="HC128" s="13">
        <v>-3.5432041710994636E-2</v>
      </c>
      <c r="HD128" s="13">
        <v>8.7254280279010776E-2</v>
      </c>
      <c r="HE128" s="16">
        <v>9168.6046511627901</v>
      </c>
      <c r="HF128" s="13">
        <v>0.13316423589093215</v>
      </c>
      <c r="HG128" s="85"/>
      <c r="HH128" s="1">
        <f t="shared" si="53"/>
        <v>-840000</v>
      </c>
      <c r="HI128" s="27">
        <f t="shared" si="54"/>
        <v>-0.4</v>
      </c>
      <c r="HJ128" s="1">
        <f t="shared" si="55"/>
        <v>231545.09677419346</v>
      </c>
      <c r="HK128" s="27">
        <f t="shared" si="56"/>
        <v>7.3007032758165738E-2</v>
      </c>
      <c r="JO128"/>
      <c r="JP128"/>
      <c r="JS128"/>
      <c r="JT128"/>
      <c r="JV128"/>
      <c r="JZ128"/>
      <c r="KA128"/>
      <c r="KN128" s="278" t="s">
        <v>158</v>
      </c>
      <c r="MI128">
        <v>0</v>
      </c>
      <c r="MJ128">
        <v>0</v>
      </c>
      <c r="MK128">
        <v>0</v>
      </c>
      <c r="ML128">
        <v>0</v>
      </c>
    </row>
    <row r="129" spans="2:350">
      <c r="B129" s="27">
        <f t="shared" si="50"/>
        <v>0.11357743837084673</v>
      </c>
      <c r="C129" s="27">
        <f t="shared" si="51"/>
        <v>0.11459449803501251</v>
      </c>
      <c r="D129" s="1">
        <f t="shared" si="52"/>
        <v>320750</v>
      </c>
      <c r="E129" s="278">
        <v>50</v>
      </c>
      <c r="F129" s="16">
        <v>6349</v>
      </c>
      <c r="G129">
        <v>20</v>
      </c>
      <c r="H129" s="16">
        <v>55980000</v>
      </c>
      <c r="I129" s="16">
        <v>14554800</v>
      </c>
      <c r="J129" s="16">
        <v>3025000</v>
      </c>
      <c r="K129" s="16">
        <v>0</v>
      </c>
      <c r="L129" s="123">
        <v>75000</v>
      </c>
      <c r="M129" s="16">
        <v>17654800</v>
      </c>
      <c r="N129" s="16">
        <v>6358065</v>
      </c>
      <c r="O129" s="16">
        <v>6415000</v>
      </c>
      <c r="P129" s="16">
        <v>0</v>
      </c>
      <c r="Q129" s="16">
        <v>0</v>
      </c>
      <c r="R129" s="16">
        <v>0</v>
      </c>
      <c r="S129"/>
      <c r="T129" s="12">
        <v>12773065</v>
      </c>
      <c r="U129" s="313">
        <v>4900000</v>
      </c>
      <c r="V129" s="16"/>
      <c r="W129" s="313">
        <v>600000</v>
      </c>
      <c r="X129" s="123">
        <v>286021.50537634408</v>
      </c>
      <c r="Y129" s="12">
        <v>5786021.5053763445</v>
      </c>
      <c r="Z129" s="12">
        <v>-904286.50537634641</v>
      </c>
      <c r="AA129" s="13">
        <v>-5.1220433274596508E-2</v>
      </c>
      <c r="AB129" s="13">
        <v>0.11357743837084673</v>
      </c>
      <c r="AC129" s="16">
        <v>8817.1365569380996</v>
      </c>
      <c r="AD129" s="13">
        <v>0.11459449803501251</v>
      </c>
      <c r="AF129" s="1">
        <f t="shared" si="32"/>
        <v>317.45</v>
      </c>
      <c r="AG129" s="231"/>
      <c r="BC129" s="35"/>
      <c r="BD129" s="35"/>
      <c r="BE129" s="35"/>
      <c r="BF129" s="35"/>
      <c r="BG129" s="35"/>
      <c r="BZ129" s="278" t="s">
        <v>201</v>
      </c>
      <c r="CC129">
        <v>0</v>
      </c>
      <c r="CD129">
        <v>0</v>
      </c>
      <c r="CE129">
        <v>0</v>
      </c>
      <c r="CF129">
        <v>0</v>
      </c>
      <c r="CL129" s="26" t="s">
        <v>178</v>
      </c>
      <c r="EM129">
        <v>0</v>
      </c>
      <c r="EN129">
        <v>0</v>
      </c>
      <c r="EO129">
        <v>0</v>
      </c>
      <c r="EP129">
        <v>0</v>
      </c>
      <c r="GS129" s="26">
        <v>14</v>
      </c>
      <c r="GT129" s="16">
        <v>2774</v>
      </c>
      <c r="GU129">
        <v>14</v>
      </c>
      <c r="GV129" s="16">
        <v>1250000</v>
      </c>
      <c r="GW129" s="16">
        <v>1137110.5752688171</v>
      </c>
      <c r="GX129" s="35">
        <v>7740430.5752688171</v>
      </c>
      <c r="GY129" s="313">
        <v>1855000</v>
      </c>
      <c r="GZ129" s="332">
        <v>4869200</v>
      </c>
      <c r="HA129" s="35">
        <v>1855000</v>
      </c>
      <c r="HB129" s="35">
        <v>1016230.5752688169</v>
      </c>
      <c r="HC129" s="13">
        <v>0.13128863638616439</v>
      </c>
      <c r="HD129" s="13">
        <v>8.7054762278361841E-2</v>
      </c>
      <c r="HE129" s="16">
        <v>9189.6178803172315</v>
      </c>
      <c r="HF129" s="13">
        <v>0.10395418170406402</v>
      </c>
      <c r="HG129" s="13"/>
      <c r="HH129" s="1">
        <f t="shared" si="53"/>
        <v>-605000</v>
      </c>
      <c r="HI129" s="27">
        <f t="shared" si="54"/>
        <v>-0.48399999999999999</v>
      </c>
      <c r="HJ129" s="1">
        <f t="shared" si="55"/>
        <v>532110.57526881713</v>
      </c>
      <c r="HK129" s="27">
        <f t="shared" si="56"/>
        <v>0.22290989817633192</v>
      </c>
      <c r="JO129"/>
      <c r="JP129"/>
      <c r="JS129"/>
      <c r="JT129"/>
      <c r="JV129"/>
      <c r="JZ129"/>
      <c r="KA129"/>
      <c r="KN129" s="278" t="s">
        <v>159</v>
      </c>
      <c r="MI129">
        <v>0</v>
      </c>
      <c r="MJ129">
        <v>0</v>
      </c>
      <c r="MK129">
        <v>0</v>
      </c>
      <c r="ML129">
        <v>0</v>
      </c>
    </row>
    <row r="130" spans="2:350">
      <c r="B130" s="27">
        <f t="shared" si="50"/>
        <v>0.1123681161019755</v>
      </c>
      <c r="C130" s="27">
        <f t="shared" si="51"/>
        <v>0.12149137328477357</v>
      </c>
      <c r="D130" s="1">
        <f t="shared" si="52"/>
        <v>314523.80952380953</v>
      </c>
      <c r="E130" s="278">
        <v>51</v>
      </c>
      <c r="F130" s="16">
        <v>6189</v>
      </c>
      <c r="G130">
        <v>21</v>
      </c>
      <c r="H130" s="16">
        <v>54366000</v>
      </c>
      <c r="I130" s="16">
        <v>14135160</v>
      </c>
      <c r="J130" s="16">
        <v>3100000</v>
      </c>
      <c r="K130" s="16">
        <v>0</v>
      </c>
      <c r="L130" s="123">
        <v>100000</v>
      </c>
      <c r="M130" s="16">
        <v>17335160</v>
      </c>
      <c r="N130" s="16">
        <v>6109005</v>
      </c>
      <c r="O130" s="16">
        <v>6605000</v>
      </c>
      <c r="P130" s="16">
        <v>0</v>
      </c>
      <c r="Q130" s="16">
        <v>0</v>
      </c>
      <c r="R130" s="16">
        <v>0</v>
      </c>
      <c r="S130"/>
      <c r="T130" s="12">
        <v>12714005</v>
      </c>
      <c r="U130" s="313">
        <v>5145000</v>
      </c>
      <c r="V130" s="16">
        <v>0</v>
      </c>
      <c r="W130" s="123">
        <v>900000</v>
      </c>
      <c r="X130" s="123">
        <v>286021.50537634408</v>
      </c>
      <c r="Y130" s="12">
        <v>6331021.5053763445</v>
      </c>
      <c r="Z130" s="12">
        <v>-1709866.5053763464</v>
      </c>
      <c r="AA130" s="13">
        <v>-9.8635749850381912E-2</v>
      </c>
      <c r="AB130" s="13">
        <v>0.1123681161019755</v>
      </c>
      <c r="AC130" s="16">
        <v>8784.2947164323796</v>
      </c>
      <c r="AD130" s="13">
        <v>0.12149137328477357</v>
      </c>
      <c r="AF130" s="1">
        <f t="shared" si="32"/>
        <v>294.71428571428572</v>
      </c>
      <c r="AG130" s="231"/>
      <c r="BC130" s="35"/>
      <c r="BD130" s="35"/>
      <c r="BE130" s="35"/>
      <c r="BF130" s="35"/>
      <c r="BG130" s="35"/>
      <c r="BZ130" s="278" t="s">
        <v>178</v>
      </c>
      <c r="CC130">
        <v>0</v>
      </c>
      <c r="CD130">
        <v>0</v>
      </c>
      <c r="CE130">
        <v>0</v>
      </c>
      <c r="CF130">
        <v>0</v>
      </c>
      <c r="CL130" s="26" t="s">
        <v>177</v>
      </c>
      <c r="EM130">
        <v>0</v>
      </c>
      <c r="EN130">
        <v>0</v>
      </c>
      <c r="EO130">
        <v>0</v>
      </c>
      <c r="EP130">
        <v>0</v>
      </c>
      <c r="GS130" s="26">
        <v>15</v>
      </c>
      <c r="GT130" s="16">
        <v>3667</v>
      </c>
      <c r="GU130">
        <v>17</v>
      </c>
      <c r="GV130" s="16">
        <v>2075000</v>
      </c>
      <c r="GW130" s="16">
        <v>1163336.7666666666</v>
      </c>
      <c r="GX130" s="35">
        <v>10555256.766666666</v>
      </c>
      <c r="GY130" s="313">
        <v>2940000</v>
      </c>
      <c r="GZ130" s="332">
        <v>7351200</v>
      </c>
      <c r="HA130" s="35">
        <v>2940000</v>
      </c>
      <c r="HB130" s="35">
        <v>264056.76666666567</v>
      </c>
      <c r="HC130" s="13">
        <v>2.5016612338655066E-2</v>
      </c>
      <c r="HD130" s="13">
        <v>9.3640794009271361E-2</v>
      </c>
      <c r="HE130" s="16">
        <v>9176.9839105535866</v>
      </c>
      <c r="HF130" s="13">
        <v>0.12480684654701057</v>
      </c>
      <c r="HG130" s="13"/>
      <c r="HH130" s="1">
        <f t="shared" si="53"/>
        <v>-865000</v>
      </c>
      <c r="HI130" s="27">
        <f t="shared" si="54"/>
        <v>-0.41686746987951806</v>
      </c>
      <c r="HJ130" s="1">
        <f t="shared" si="55"/>
        <v>298336.7666666666</v>
      </c>
      <c r="HK130" s="27">
        <f t="shared" si="56"/>
        <v>9.2126541543656404E-2</v>
      </c>
      <c r="JO130"/>
      <c r="JP130"/>
      <c r="JS130"/>
      <c r="JT130"/>
      <c r="JV130"/>
      <c r="JZ130"/>
      <c r="KA130"/>
      <c r="KN130" s="278" t="s">
        <v>160</v>
      </c>
      <c r="MI130">
        <v>0</v>
      </c>
      <c r="MJ130">
        <v>0</v>
      </c>
      <c r="MK130">
        <v>0</v>
      </c>
      <c r="ML130">
        <v>0</v>
      </c>
    </row>
    <row r="131" spans="2:350">
      <c r="B131" s="27">
        <f t="shared" si="50"/>
        <v>0.10987404700839687</v>
      </c>
      <c r="C131" s="27">
        <f t="shared" si="51"/>
        <v>0.12217615852158943</v>
      </c>
      <c r="D131" s="1">
        <f t="shared" si="52"/>
        <v>302391.30434782611</v>
      </c>
      <c r="E131" s="278">
        <v>52</v>
      </c>
      <c r="F131" s="16">
        <v>6463</v>
      </c>
      <c r="G131">
        <v>23</v>
      </c>
      <c r="H131" s="16">
        <v>56926000</v>
      </c>
      <c r="I131" s="16">
        <v>14800760</v>
      </c>
      <c r="J131" s="16">
        <v>3375000</v>
      </c>
      <c r="K131" s="16">
        <v>0</v>
      </c>
      <c r="L131" s="123">
        <v>150000</v>
      </c>
      <c r="M131" s="16">
        <v>18325760</v>
      </c>
      <c r="N131" s="16">
        <v>6254690</v>
      </c>
      <c r="O131" s="16">
        <v>6955000</v>
      </c>
      <c r="P131" s="16">
        <v>0</v>
      </c>
      <c r="Q131" s="16">
        <v>200000</v>
      </c>
      <c r="R131" s="16">
        <v>200000</v>
      </c>
      <c r="S131"/>
      <c r="T131" s="12">
        <v>13609690</v>
      </c>
      <c r="U131" s="313">
        <v>5635000</v>
      </c>
      <c r="V131" s="16"/>
      <c r="W131" s="123">
        <v>900000</v>
      </c>
      <c r="X131" s="123">
        <v>286021.50537634408</v>
      </c>
      <c r="Y131" s="12">
        <v>6821021.5053763445</v>
      </c>
      <c r="Z131" s="12">
        <v>-2104951.5053763464</v>
      </c>
      <c r="AA131" s="13">
        <v>-0.11486298551199767</v>
      </c>
      <c r="AB131" s="13">
        <v>0.10987404700839687</v>
      </c>
      <c r="AC131" s="16">
        <v>8807.9839084016712</v>
      </c>
      <c r="AD131" s="13">
        <v>0.12217615852158943</v>
      </c>
      <c r="AF131" s="1">
        <f t="shared" si="32"/>
        <v>281</v>
      </c>
      <c r="AG131" s="231"/>
      <c r="BC131" s="35"/>
      <c r="BD131" s="35"/>
      <c r="BE131" s="35"/>
      <c r="BF131" s="35"/>
      <c r="BG131" s="35"/>
      <c r="BZ131" s="278" t="s">
        <v>177</v>
      </c>
      <c r="CC131">
        <v>0</v>
      </c>
      <c r="CD131">
        <v>0</v>
      </c>
      <c r="CE131">
        <v>0</v>
      </c>
      <c r="CF131">
        <v>0</v>
      </c>
      <c r="CL131" s="26" t="s">
        <v>202</v>
      </c>
      <c r="EM131">
        <v>0</v>
      </c>
      <c r="EN131">
        <v>0</v>
      </c>
      <c r="EO131">
        <v>0</v>
      </c>
      <c r="EP131">
        <v>0</v>
      </c>
      <c r="GS131" s="26">
        <v>16</v>
      </c>
      <c r="GT131" s="16">
        <v>5015</v>
      </c>
      <c r="GU131">
        <v>17</v>
      </c>
      <c r="GV131" s="16">
        <v>2300000</v>
      </c>
      <c r="GW131" s="16">
        <v>1163336.7666666666</v>
      </c>
      <c r="GX131" s="35">
        <v>12941896.766666666</v>
      </c>
      <c r="GY131" s="313">
        <v>3290000</v>
      </c>
      <c r="GZ131" s="332">
        <v>8712000</v>
      </c>
      <c r="HA131" s="35">
        <v>3290000</v>
      </c>
      <c r="HB131" s="35">
        <v>939896.76666666567</v>
      </c>
      <c r="HC131" s="13">
        <v>7.2624344299166199E-2</v>
      </c>
      <c r="HD131" s="13">
        <v>8.8886919532080819E-2</v>
      </c>
      <c r="HE131" s="16">
        <v>9000.1994017946163</v>
      </c>
      <c r="HF131" s="13">
        <v>0.10412974122651542</v>
      </c>
      <c r="HG131" s="13"/>
      <c r="HH131" s="1">
        <f t="shared" si="53"/>
        <v>-990000</v>
      </c>
      <c r="HI131" s="27">
        <f t="shared" si="54"/>
        <v>-0.43043478260869567</v>
      </c>
      <c r="HJ131" s="1">
        <f t="shared" si="55"/>
        <v>173336.7666666666</v>
      </c>
      <c r="HK131" s="27">
        <f t="shared" si="56"/>
        <v>5.0049064917673837E-2</v>
      </c>
      <c r="JO131"/>
      <c r="JP131"/>
      <c r="JS131"/>
      <c r="JT131"/>
      <c r="JV131"/>
      <c r="JZ131"/>
      <c r="KA131"/>
      <c r="KN131" s="278" t="s">
        <v>161</v>
      </c>
      <c r="MI131">
        <v>0</v>
      </c>
      <c r="MJ131">
        <v>0</v>
      </c>
      <c r="MK131">
        <v>0</v>
      </c>
      <c r="ML131">
        <v>0</v>
      </c>
    </row>
    <row r="132" spans="2:350">
      <c r="B132" s="27">
        <f t="shared" si="50"/>
        <v>0.11386608525294657</v>
      </c>
      <c r="C132" s="27">
        <f t="shared" si="51"/>
        <v>0.11723070117230701</v>
      </c>
      <c r="D132" s="1">
        <f t="shared" si="52"/>
        <v>309166.66666666669</v>
      </c>
      <c r="E132" s="278">
        <v>12026</v>
      </c>
      <c r="F132" s="16">
        <v>7175</v>
      </c>
      <c r="G132">
        <v>24</v>
      </c>
      <c r="H132" s="16">
        <v>63294000</v>
      </c>
      <c r="I132" s="16">
        <v>16456440</v>
      </c>
      <c r="J132" s="16">
        <v>3550000</v>
      </c>
      <c r="K132" s="16">
        <v>0</v>
      </c>
      <c r="L132" s="123">
        <v>175000</v>
      </c>
      <c r="M132" s="16">
        <v>20181440</v>
      </c>
      <c r="N132" s="16">
        <v>7207040</v>
      </c>
      <c r="O132" s="16">
        <v>7420000</v>
      </c>
      <c r="P132" s="16">
        <v>0</v>
      </c>
      <c r="Q132" s="16">
        <v>0</v>
      </c>
      <c r="R132" s="16">
        <v>0</v>
      </c>
      <c r="S132"/>
      <c r="T132" s="12">
        <v>14627040</v>
      </c>
      <c r="U132" s="313">
        <v>5880000</v>
      </c>
      <c r="V132" s="16">
        <v>0</v>
      </c>
      <c r="W132" s="123">
        <v>900000</v>
      </c>
      <c r="X132" s="123">
        <v>286021.50537634402</v>
      </c>
      <c r="Y132" s="12">
        <v>7066021.5053763445</v>
      </c>
      <c r="Z132" s="12">
        <v>-1511621.5053763445</v>
      </c>
      <c r="AA132" s="13">
        <v>-7.4901568241728264E-2</v>
      </c>
      <c r="AB132" s="13">
        <v>0.11386608525294657</v>
      </c>
      <c r="AC132" s="16">
        <v>8821.4634146341468</v>
      </c>
      <c r="AD132" s="13">
        <v>0.11723070117230701</v>
      </c>
      <c r="AF132" s="1">
        <f t="shared" si="32"/>
        <v>298.95833333333331</v>
      </c>
      <c r="AG132" s="231"/>
      <c r="BC132" s="35"/>
      <c r="BD132" s="35"/>
      <c r="BE132" s="35"/>
      <c r="BF132" s="35"/>
      <c r="BG132" s="35"/>
      <c r="BZ132" s="278" t="s">
        <v>202</v>
      </c>
      <c r="CC132">
        <v>0</v>
      </c>
      <c r="CD132">
        <v>0</v>
      </c>
      <c r="CE132">
        <v>0</v>
      </c>
      <c r="CF132">
        <v>0</v>
      </c>
      <c r="CL132" s="26" t="s">
        <v>204</v>
      </c>
      <c r="EM132">
        <v>0</v>
      </c>
      <c r="EN132">
        <v>0</v>
      </c>
      <c r="EO132">
        <v>0</v>
      </c>
      <c r="EP132">
        <v>0</v>
      </c>
      <c r="GS132" s="26">
        <v>17</v>
      </c>
      <c r="GT132" s="16">
        <v>4600</v>
      </c>
      <c r="GU132">
        <v>16</v>
      </c>
      <c r="GV132" s="16">
        <v>1548000</v>
      </c>
      <c r="GW132" s="16">
        <v>1163336.7666666666</v>
      </c>
      <c r="GX132" s="35">
        <v>11703616.766666666</v>
      </c>
      <c r="GY132" s="313">
        <v>1155000</v>
      </c>
      <c r="GZ132" s="332">
        <v>5205000</v>
      </c>
      <c r="HA132" s="35">
        <v>1155000</v>
      </c>
      <c r="HB132" s="35">
        <v>5343616.7666666657</v>
      </c>
      <c r="HC132" s="13">
        <v>0.45657824185476925</v>
      </c>
      <c r="HD132" s="13">
        <v>8.7895289958918502E-2</v>
      </c>
      <c r="HE132" s="16">
        <v>9101.7391304347821</v>
      </c>
      <c r="HF132" s="13">
        <v>3.0452851820005733E-2</v>
      </c>
      <c r="HG132" s="13"/>
      <c r="HH132" s="1">
        <f t="shared" si="53"/>
        <v>393000</v>
      </c>
      <c r="HI132" s="27">
        <f t="shared" si="54"/>
        <v>0.25387596899224807</v>
      </c>
      <c r="HJ132" s="1">
        <f t="shared" si="55"/>
        <v>1556336.7666666666</v>
      </c>
      <c r="HK132" s="27">
        <f t="shared" si="56"/>
        <v>0.57401086644800536</v>
      </c>
      <c r="JO132"/>
      <c r="JP132"/>
      <c r="JS132"/>
      <c r="JT132"/>
      <c r="JV132"/>
      <c r="JZ132"/>
      <c r="KA132"/>
      <c r="KN132" s="278" t="s">
        <v>156</v>
      </c>
      <c r="MI132">
        <v>0</v>
      </c>
      <c r="MJ132">
        <v>0</v>
      </c>
      <c r="MK132">
        <v>0</v>
      </c>
      <c r="ML132">
        <v>0</v>
      </c>
    </row>
    <row r="133" spans="2:350">
      <c r="B133" s="27">
        <f t="shared" si="50"/>
        <v>0.108352409082518</v>
      </c>
      <c r="C133" s="27">
        <f t="shared" si="51"/>
        <v>0.12022337086948495</v>
      </c>
      <c r="D133" s="1">
        <f t="shared" si="52"/>
        <v>289444.44444444444</v>
      </c>
      <c r="E133" s="278">
        <v>22026</v>
      </c>
      <c r="F133" s="16">
        <v>7382</v>
      </c>
      <c r="G133">
        <v>27</v>
      </c>
      <c r="H133" s="16">
        <v>65004000</v>
      </c>
      <c r="I133" s="16">
        <v>16901040</v>
      </c>
      <c r="J133" s="16">
        <v>3975000</v>
      </c>
      <c r="K133" s="16">
        <v>0</v>
      </c>
      <c r="L133" s="123">
        <v>250000</v>
      </c>
      <c r="M133" s="16">
        <v>21126040</v>
      </c>
      <c r="N133" s="16">
        <v>7043340</v>
      </c>
      <c r="O133" s="16">
        <v>7815000</v>
      </c>
      <c r="P133" s="16">
        <v>0</v>
      </c>
      <c r="Q133" s="16">
        <v>0</v>
      </c>
      <c r="R133" s="16">
        <v>0</v>
      </c>
      <c r="S133"/>
      <c r="T133" s="12">
        <v>14858340</v>
      </c>
      <c r="U133" s="313">
        <v>6615000</v>
      </c>
      <c r="V133" s="16">
        <v>0</v>
      </c>
      <c r="W133" s="123">
        <v>900000</v>
      </c>
      <c r="X133" s="123">
        <v>286021.50537634408</v>
      </c>
      <c r="Y133" s="12">
        <v>7801021.5053763445</v>
      </c>
      <c r="Z133" s="12">
        <v>-1533321.5053763464</v>
      </c>
      <c r="AA133" s="13">
        <v>-7.2579693372555695E-2</v>
      </c>
      <c r="AB133" s="13">
        <v>0.108352409082518</v>
      </c>
      <c r="AC133" s="16">
        <v>8805.7437008940669</v>
      </c>
      <c r="AD133" s="13">
        <v>0.12022337086948495</v>
      </c>
      <c r="AF133" s="1">
        <f t="shared" si="32"/>
        <v>273.40740740740739</v>
      </c>
      <c r="AG133" s="231"/>
      <c r="BC133" s="35"/>
      <c r="BD133" s="35"/>
      <c r="BE133" s="35"/>
      <c r="BF133" s="35"/>
      <c r="BG133" s="35"/>
      <c r="BZ133" s="278" t="s">
        <v>204</v>
      </c>
      <c r="CC133">
        <v>0</v>
      </c>
      <c r="CD133">
        <v>0</v>
      </c>
      <c r="CE133">
        <v>0</v>
      </c>
      <c r="CF133">
        <v>0</v>
      </c>
      <c r="CL133" s="11" t="s">
        <v>156</v>
      </c>
      <c r="DH133">
        <v>212</v>
      </c>
      <c r="DI133">
        <v>275</v>
      </c>
      <c r="DJ133">
        <v>271</v>
      </c>
      <c r="DK133">
        <v>263</v>
      </c>
      <c r="DL133">
        <v>251</v>
      </c>
      <c r="DM133">
        <v>168</v>
      </c>
      <c r="EM133">
        <v>0</v>
      </c>
      <c r="EN133">
        <v>0</v>
      </c>
      <c r="EO133">
        <v>0</v>
      </c>
      <c r="EP133">
        <v>275</v>
      </c>
      <c r="GS133" s="26">
        <v>18</v>
      </c>
      <c r="GT133" s="16">
        <v>7526</v>
      </c>
      <c r="GU133">
        <v>16</v>
      </c>
      <c r="GV133" s="16">
        <v>1836000</v>
      </c>
      <c r="GW133" s="16">
        <v>1371049.5440860214</v>
      </c>
      <c r="GX133" s="35">
        <v>17668109.544086024</v>
      </c>
      <c r="GY133" s="313">
        <v>3570000</v>
      </c>
      <c r="GZ133" s="332">
        <v>6346100</v>
      </c>
      <c r="HA133" s="35">
        <v>3570000</v>
      </c>
      <c r="HB133" s="35">
        <v>7752009.5440860223</v>
      </c>
      <c r="HC133" s="13">
        <v>0.43875715875221194</v>
      </c>
      <c r="HD133" s="13">
        <v>6.8816716871874364E-2</v>
      </c>
      <c r="HE133" s="16">
        <v>9086.6330055806538</v>
      </c>
      <c r="HF133" s="13">
        <v>2.3981516684701547E-2</v>
      </c>
      <c r="HG133" s="13"/>
      <c r="HH133" s="1">
        <f t="shared" si="53"/>
        <v>-1734000</v>
      </c>
      <c r="HI133" s="27">
        <f t="shared" si="54"/>
        <v>-0.94444444444444442</v>
      </c>
      <c r="HJ133" s="1">
        <f t="shared" si="55"/>
        <v>-362950.45591397863</v>
      </c>
      <c r="HK133" s="27">
        <f t="shared" si="56"/>
        <v>-0.11317269999251479</v>
      </c>
      <c r="JO133"/>
      <c r="JP133"/>
      <c r="JS133"/>
      <c r="JT133"/>
      <c r="JV133"/>
      <c r="JZ133"/>
      <c r="KA133"/>
      <c r="KN133" s="278" t="s">
        <v>162</v>
      </c>
      <c r="MI133">
        <v>0</v>
      </c>
      <c r="MJ133">
        <v>0</v>
      </c>
      <c r="MK133">
        <v>0</v>
      </c>
      <c r="ML133">
        <v>0</v>
      </c>
    </row>
    <row r="134" spans="2:350">
      <c r="B134" s="27">
        <f t="shared" si="50"/>
        <v>0.1082047208352247</v>
      </c>
      <c r="C134" s="27">
        <f t="shared" si="51"/>
        <v>0.12610644575578756</v>
      </c>
      <c r="D134" s="1">
        <f t="shared" si="52"/>
        <v>296333.33333333331</v>
      </c>
      <c r="E134" s="278">
        <v>32026</v>
      </c>
      <c r="F134" s="16">
        <v>8023</v>
      </c>
      <c r="G134">
        <v>30</v>
      </c>
      <c r="H134" s="16">
        <v>70496000</v>
      </c>
      <c r="I134" s="16">
        <v>18328960</v>
      </c>
      <c r="J134" s="16">
        <v>4525000</v>
      </c>
      <c r="K134" s="16">
        <v>0</v>
      </c>
      <c r="L134" s="123">
        <v>250000</v>
      </c>
      <c r="M134" s="16">
        <v>23103960</v>
      </c>
      <c r="N134" s="16">
        <v>7628000</v>
      </c>
      <c r="O134" s="16">
        <v>8890000</v>
      </c>
      <c r="P134" s="16">
        <v>0</v>
      </c>
      <c r="Q134" s="16">
        <v>0</v>
      </c>
      <c r="R134" s="16">
        <v>0</v>
      </c>
      <c r="S134"/>
      <c r="T134" s="12">
        <v>16518000</v>
      </c>
      <c r="U134" s="313">
        <v>7350000</v>
      </c>
      <c r="V134" s="16">
        <v>0</v>
      </c>
      <c r="W134" s="123">
        <v>900000</v>
      </c>
      <c r="X134" s="123">
        <v>286021.50537634408</v>
      </c>
      <c r="Y134" s="12">
        <v>8536021.5053763445</v>
      </c>
      <c r="Z134" s="12">
        <v>-1950061.5053763464</v>
      </c>
      <c r="AA134" s="13">
        <v>-8.4403777766943258E-2</v>
      </c>
      <c r="AB134" s="13">
        <v>0.1082047208352247</v>
      </c>
      <c r="AC134" s="16">
        <v>8786.7381278823377</v>
      </c>
      <c r="AD134" s="13">
        <v>0.12610644575578756</v>
      </c>
      <c r="AF134" s="1">
        <f t="shared" ref="AF134:AF145" si="60">F134/G134</f>
        <v>267.43333333333334</v>
      </c>
      <c r="AG134" s="231"/>
      <c r="BC134" s="35"/>
      <c r="BD134" s="35"/>
      <c r="BE134" s="35"/>
      <c r="BF134" s="35"/>
      <c r="BG134" s="35"/>
      <c r="BZ134" s="26" t="s">
        <v>29</v>
      </c>
      <c r="CC134">
        <v>0</v>
      </c>
      <c r="CD134">
        <v>0</v>
      </c>
      <c r="CE134">
        <v>0</v>
      </c>
      <c r="CF134">
        <v>0</v>
      </c>
      <c r="CL134" s="26" t="s">
        <v>34</v>
      </c>
      <c r="EM134">
        <v>0</v>
      </c>
      <c r="EN134">
        <v>0</v>
      </c>
      <c r="EO134">
        <v>0</v>
      </c>
      <c r="EP134">
        <v>0</v>
      </c>
      <c r="GS134" s="26">
        <v>19</v>
      </c>
      <c r="GT134" s="16">
        <v>4656</v>
      </c>
      <c r="GU134">
        <v>16</v>
      </c>
      <c r="GV134" s="16">
        <v>1584000</v>
      </c>
      <c r="GW134" s="16">
        <v>1235999.935483871</v>
      </c>
      <c r="GX134" s="35">
        <v>11965199.935483871</v>
      </c>
      <c r="GY134" s="313">
        <v>3115000</v>
      </c>
      <c r="GZ134" s="332">
        <v>6405400</v>
      </c>
      <c r="HA134" s="35">
        <v>3115000</v>
      </c>
      <c r="HB134" s="35">
        <v>2444799.935483871</v>
      </c>
      <c r="HC134" s="13">
        <v>0.20432587409037756</v>
      </c>
      <c r="HD134" s="13">
        <v>9.9487179487179486E-2</v>
      </c>
      <c r="HE134" s="16">
        <v>9046.3917525773195</v>
      </c>
      <c r="HF134" s="13">
        <v>3.5493827160493825E-2</v>
      </c>
      <c r="HG134" s="13"/>
      <c r="HH134" s="1">
        <f t="shared" si="53"/>
        <v>-1531000</v>
      </c>
      <c r="HI134" s="27">
        <f t="shared" si="54"/>
        <v>-0.96654040404040409</v>
      </c>
      <c r="HJ134" s="1">
        <f t="shared" si="55"/>
        <v>-295000.06451612897</v>
      </c>
      <c r="HK134" s="27">
        <f t="shared" si="56"/>
        <v>-0.1046099543493469</v>
      </c>
      <c r="JO134"/>
      <c r="JP134"/>
      <c r="JS134"/>
      <c r="JT134"/>
      <c r="JV134"/>
      <c r="JZ134"/>
      <c r="KA134"/>
      <c r="KN134" s="278" t="s">
        <v>163</v>
      </c>
      <c r="LV134" s="379"/>
      <c r="MI134">
        <v>0</v>
      </c>
      <c r="MJ134">
        <v>0</v>
      </c>
      <c r="MK134">
        <v>0</v>
      </c>
      <c r="ML134">
        <v>0</v>
      </c>
    </row>
    <row r="135" spans="2:350">
      <c r="B135" s="27">
        <f t="shared" si="50"/>
        <v>9.0150051614806076E-2</v>
      </c>
      <c r="C135" s="27">
        <f>O135/H135</f>
        <v>0.16443002507004867</v>
      </c>
      <c r="D135" s="1">
        <f t="shared" si="52"/>
        <v>262352.9411764706</v>
      </c>
      <c r="E135" s="278">
        <v>42026</v>
      </c>
      <c r="F135" s="16">
        <v>6162</v>
      </c>
      <c r="G135">
        <v>34</v>
      </c>
      <c r="H135" s="16">
        <v>54248000</v>
      </c>
      <c r="I135" s="16">
        <v>14104480</v>
      </c>
      <c r="J135" s="16">
        <v>5050000</v>
      </c>
      <c r="K135" s="16">
        <v>0</v>
      </c>
      <c r="L135" s="123">
        <v>300000</v>
      </c>
      <c r="M135" s="16">
        <v>19454480</v>
      </c>
      <c r="N135" s="16">
        <v>4890460</v>
      </c>
      <c r="O135" s="16">
        <v>8920000</v>
      </c>
      <c r="P135" s="16">
        <v>0</v>
      </c>
      <c r="Q135" s="16">
        <v>100000</v>
      </c>
      <c r="R135" s="16">
        <v>200000</v>
      </c>
      <c r="S135"/>
      <c r="T135" s="12">
        <v>14110460</v>
      </c>
      <c r="U135" s="313">
        <v>8330000</v>
      </c>
      <c r="V135" s="16">
        <v>0</v>
      </c>
      <c r="W135" s="123">
        <v>900000</v>
      </c>
      <c r="X135" s="123">
        <v>286021.50537634408</v>
      </c>
      <c r="Y135" s="12">
        <v>9516021.5053763445</v>
      </c>
      <c r="Z135" s="12">
        <v>-4172001.5053763464</v>
      </c>
      <c r="AA135" s="13">
        <v>-0.21444939702198909</v>
      </c>
      <c r="AB135" s="13">
        <v>9.0150051614806076E-2</v>
      </c>
      <c r="AC135" s="16">
        <v>8803.635183382019</v>
      </c>
      <c r="AD135" s="13">
        <v>0.16443002507004867</v>
      </c>
      <c r="AF135" s="1">
        <f t="shared" si="60"/>
        <v>181.23529411764707</v>
      </c>
      <c r="AG135" s="231"/>
      <c r="BC135" s="35"/>
      <c r="BD135" s="35"/>
      <c r="BE135" s="35"/>
      <c r="BF135" s="35"/>
      <c r="BG135" s="35"/>
      <c r="BZ135" s="278" t="s">
        <v>34</v>
      </c>
      <c r="CC135">
        <v>0</v>
      </c>
      <c r="CD135">
        <v>0</v>
      </c>
      <c r="CE135">
        <v>0</v>
      </c>
      <c r="CF135">
        <v>0</v>
      </c>
      <c r="CL135" s="26" t="s">
        <v>170</v>
      </c>
      <c r="DH135">
        <v>3</v>
      </c>
      <c r="DI135">
        <v>3</v>
      </c>
      <c r="DJ135">
        <v>2</v>
      </c>
      <c r="EM135">
        <v>0</v>
      </c>
      <c r="EN135">
        <v>0</v>
      </c>
      <c r="EO135">
        <v>0</v>
      </c>
      <c r="EP135">
        <v>3</v>
      </c>
      <c r="GS135" s="26">
        <v>20</v>
      </c>
      <c r="GT135" s="16">
        <v>4825</v>
      </c>
      <c r="GU135">
        <v>16</v>
      </c>
      <c r="GV135" s="16">
        <v>1692000</v>
      </c>
      <c r="GW135" s="16">
        <v>1235999.935483871</v>
      </c>
      <c r="GX135" s="35">
        <v>12137759.935483871</v>
      </c>
      <c r="GY135" s="313">
        <v>3360000</v>
      </c>
      <c r="GZ135" s="332">
        <v>6702500</v>
      </c>
      <c r="HA135" s="35">
        <v>3360000</v>
      </c>
      <c r="HB135" s="35">
        <v>2075259.935483871</v>
      </c>
      <c r="HC135" s="13">
        <v>0.17097552979417541</v>
      </c>
      <c r="HD135" s="13">
        <v>9.9017238234221081E-2</v>
      </c>
      <c r="HE135" s="16">
        <v>9089.3264248704654</v>
      </c>
      <c r="HF135" s="13">
        <v>3.3290769792046697E-2</v>
      </c>
      <c r="HG135" s="13"/>
      <c r="HH135" s="1">
        <f t="shared" si="53"/>
        <v>-1668000</v>
      </c>
      <c r="HI135" s="27">
        <f t="shared" si="54"/>
        <v>-0.98581560283687941</v>
      </c>
      <c r="HJ135" s="1">
        <f t="shared" si="55"/>
        <v>-432000.06451612897</v>
      </c>
      <c r="HK135" s="27">
        <f t="shared" si="56"/>
        <v>-0.1475410088917021</v>
      </c>
      <c r="JO135"/>
      <c r="JP135"/>
      <c r="JS135"/>
      <c r="JT135"/>
      <c r="JV135"/>
      <c r="JZ135"/>
      <c r="KA135"/>
      <c r="KN135" s="278" t="s">
        <v>164</v>
      </c>
      <c r="MI135">
        <v>0</v>
      </c>
      <c r="MJ135">
        <v>0</v>
      </c>
      <c r="MK135">
        <v>0</v>
      </c>
      <c r="ML135">
        <v>0</v>
      </c>
    </row>
    <row r="136" spans="2:350">
      <c r="B136" s="27">
        <f t="shared" ref="B136:B161" si="61">N136/H136</f>
        <v>0.10016211164109835</v>
      </c>
      <c r="C136" s="27">
        <f t="shared" ref="C136:C161" si="62">O136/H136</f>
        <v>0.13568389841433545</v>
      </c>
      <c r="D136" s="1">
        <f t="shared" ref="D136:D161" si="63">O136/G136</f>
        <v>290344.8275862069</v>
      </c>
      <c r="E136" s="382">
        <v>52026</v>
      </c>
      <c r="F136" s="383">
        <v>7076</v>
      </c>
      <c r="G136" s="384">
        <v>29</v>
      </c>
      <c r="H136" s="383">
        <v>62056000</v>
      </c>
      <c r="I136" s="383">
        <v>15817040</v>
      </c>
      <c r="J136" s="383">
        <v>4300000</v>
      </c>
      <c r="K136" s="383">
        <v>0</v>
      </c>
      <c r="L136" s="385">
        <v>175000</v>
      </c>
      <c r="M136" s="383">
        <v>20292039.999999996</v>
      </c>
      <c r="N136" s="383">
        <v>6215659.9999999991</v>
      </c>
      <c r="O136" s="383">
        <v>8420000</v>
      </c>
      <c r="P136" s="383">
        <v>0</v>
      </c>
      <c r="Q136" s="383">
        <v>0</v>
      </c>
      <c r="R136" s="383">
        <v>0</v>
      </c>
      <c r="S136" s="384"/>
      <c r="T136" s="386">
        <v>14635660</v>
      </c>
      <c r="U136" s="387">
        <v>7105000</v>
      </c>
      <c r="V136" s="383">
        <v>0</v>
      </c>
      <c r="W136" s="385">
        <v>1100000</v>
      </c>
      <c r="X136" s="385">
        <v>290399.38556067582</v>
      </c>
      <c r="Y136" s="386">
        <v>8495399.3855606746</v>
      </c>
      <c r="Z136" s="386">
        <v>-2839019.3855606797</v>
      </c>
      <c r="AA136" s="388">
        <v>-0.1399080321919669</v>
      </c>
      <c r="AB136" s="388">
        <v>0.10016211164109835</v>
      </c>
      <c r="AC136" s="383">
        <v>8769.9265121537592</v>
      </c>
      <c r="AD136" s="388">
        <v>0.13568389841433545</v>
      </c>
      <c r="AF136" s="1">
        <f t="shared" si="60"/>
        <v>244</v>
      </c>
      <c r="AG136" s="231"/>
      <c r="BC136" s="35"/>
      <c r="BD136" s="35"/>
      <c r="BE136" s="35"/>
      <c r="BF136" s="35"/>
      <c r="BG136" s="35"/>
      <c r="BZ136" s="278" t="s">
        <v>170</v>
      </c>
      <c r="CC136">
        <v>0</v>
      </c>
      <c r="CD136">
        <v>0</v>
      </c>
      <c r="CE136">
        <v>0</v>
      </c>
      <c r="CF136">
        <v>0</v>
      </c>
      <c r="CL136" s="26" t="s">
        <v>27</v>
      </c>
      <c r="DI136">
        <v>4</v>
      </c>
      <c r="DJ136">
        <v>4</v>
      </c>
      <c r="DK136">
        <v>5</v>
      </c>
      <c r="DL136">
        <v>5</v>
      </c>
      <c r="EM136">
        <v>0</v>
      </c>
      <c r="EN136">
        <v>0</v>
      </c>
      <c r="EO136">
        <v>0</v>
      </c>
      <c r="EP136">
        <v>5</v>
      </c>
      <c r="GS136" s="26">
        <v>21</v>
      </c>
      <c r="GT136" s="16">
        <v>4605</v>
      </c>
      <c r="GU136">
        <v>16</v>
      </c>
      <c r="GV136" s="16">
        <v>1584000</v>
      </c>
      <c r="GW136" s="16">
        <v>1235999.935483871</v>
      </c>
      <c r="GX136" s="35">
        <v>11616519.935483871</v>
      </c>
      <c r="GY136" s="313">
        <v>3080000</v>
      </c>
      <c r="GZ136" s="332">
        <v>6384500</v>
      </c>
      <c r="HA136" s="35">
        <v>3080000</v>
      </c>
      <c r="HB136" s="35">
        <v>2152019.935483871</v>
      </c>
      <c r="HC136" s="13">
        <v>0.18525513212526773</v>
      </c>
      <c r="HD136" s="13">
        <v>0.10007968704723269</v>
      </c>
      <c r="HE136" s="16">
        <v>8992.8338762214989</v>
      </c>
      <c r="HF136" s="13">
        <v>3.5255481502946003E-2</v>
      </c>
      <c r="HG136" s="13"/>
      <c r="HH136" s="1">
        <f t="shared" si="53"/>
        <v>-1496000</v>
      </c>
      <c r="HI136" s="27">
        <f t="shared" si="54"/>
        <v>-0.94444444444444442</v>
      </c>
      <c r="HJ136" s="1">
        <f t="shared" si="55"/>
        <v>-260000.06451612897</v>
      </c>
      <c r="HK136" s="27">
        <f t="shared" si="56"/>
        <v>-9.2198606547668857E-2</v>
      </c>
      <c r="JO136"/>
      <c r="JP136"/>
      <c r="JS136"/>
      <c r="JT136"/>
      <c r="JV136"/>
      <c r="JZ136"/>
      <c r="KA136"/>
      <c r="KN136" s="278" t="s">
        <v>165</v>
      </c>
      <c r="MI136">
        <v>0</v>
      </c>
      <c r="MJ136">
        <v>0</v>
      </c>
      <c r="MK136">
        <v>0</v>
      </c>
      <c r="ML136">
        <v>0</v>
      </c>
    </row>
    <row r="137" spans="2:350">
      <c r="B137" s="27">
        <f t="shared" si="61"/>
        <v>0.10847425914206311</v>
      </c>
      <c r="C137" s="27">
        <f t="shared" si="62"/>
        <v>0.12959854717552211</v>
      </c>
      <c r="D137" s="1">
        <f t="shared" si="63"/>
        <v>303870.96774193546</v>
      </c>
      <c r="E137" s="278">
        <v>62026</v>
      </c>
      <c r="F137" s="16">
        <v>8276</v>
      </c>
      <c r="G137">
        <v>31</v>
      </c>
      <c r="H137" s="16">
        <v>72686000</v>
      </c>
      <c r="I137" s="16">
        <v>18898360</v>
      </c>
      <c r="J137" s="16">
        <v>4800000</v>
      </c>
      <c r="K137" s="16">
        <v>0</v>
      </c>
      <c r="L137" s="123">
        <v>275000</v>
      </c>
      <c r="M137" s="16">
        <v>23973360</v>
      </c>
      <c r="N137" s="16">
        <v>7884560</v>
      </c>
      <c r="O137" s="16">
        <v>9420000</v>
      </c>
      <c r="P137" s="16">
        <v>0</v>
      </c>
      <c r="Q137" s="16">
        <v>0</v>
      </c>
      <c r="R137" s="16">
        <v>0</v>
      </c>
      <c r="S137">
        <v>0</v>
      </c>
      <c r="T137" s="12">
        <v>17304560</v>
      </c>
      <c r="U137" s="313">
        <v>7595000</v>
      </c>
      <c r="V137" s="16"/>
      <c r="W137" s="123">
        <v>900000</v>
      </c>
      <c r="X137" s="123">
        <v>316666.66666666663</v>
      </c>
      <c r="Y137" s="12">
        <v>8811666.666666666</v>
      </c>
      <c r="Z137" s="12">
        <v>-2142866.6666666642</v>
      </c>
      <c r="AA137" s="13">
        <v>-8.9385328826107988E-2</v>
      </c>
      <c r="AB137" s="13">
        <v>0.10847425914206311</v>
      </c>
      <c r="AC137" s="16">
        <v>8782.7452875785402</v>
      </c>
      <c r="AD137" s="13">
        <v>0.12959854717552211</v>
      </c>
      <c r="AF137" s="1">
        <f t="shared" si="60"/>
        <v>266.96774193548384</v>
      </c>
      <c r="AG137" s="231"/>
      <c r="BC137" s="35"/>
      <c r="BD137" s="35"/>
      <c r="BE137" s="35"/>
      <c r="BF137" s="35"/>
      <c r="BG137" s="35"/>
      <c r="BZ137" s="278" t="s">
        <v>27</v>
      </c>
      <c r="CC137">
        <v>0</v>
      </c>
      <c r="CD137">
        <v>0</v>
      </c>
      <c r="CE137">
        <v>0</v>
      </c>
      <c r="CF137">
        <v>0</v>
      </c>
      <c r="CL137" s="26" t="s">
        <v>33</v>
      </c>
      <c r="DI137">
        <v>2</v>
      </c>
      <c r="DJ137">
        <v>2</v>
      </c>
      <c r="DK137">
        <v>3</v>
      </c>
      <c r="DL137">
        <v>1</v>
      </c>
      <c r="DM137">
        <v>1</v>
      </c>
      <c r="EM137">
        <v>0</v>
      </c>
      <c r="EN137">
        <v>0</v>
      </c>
      <c r="EO137">
        <v>0</v>
      </c>
      <c r="EP137">
        <v>3</v>
      </c>
      <c r="GS137" s="26">
        <v>22</v>
      </c>
      <c r="GT137" s="16">
        <v>4243</v>
      </c>
      <c r="GU137">
        <v>14</v>
      </c>
      <c r="GV137" s="16">
        <v>1421999.9999999998</v>
      </c>
      <c r="GW137" s="16">
        <v>1213714.2661290322</v>
      </c>
      <c r="GX137" s="35">
        <v>10713594.266129032</v>
      </c>
      <c r="GY137" s="313">
        <v>2765000</v>
      </c>
      <c r="GZ137" s="332">
        <v>5943699.9999999991</v>
      </c>
      <c r="HA137" s="35">
        <v>2765000</v>
      </c>
      <c r="HB137" s="35">
        <v>2004894.2661290334</v>
      </c>
      <c r="HC137" s="13">
        <v>0.18713554166107405</v>
      </c>
      <c r="HD137" s="13">
        <v>9.9892748770534681E-2</v>
      </c>
      <c r="HE137" s="16">
        <v>9009.6629743106296</v>
      </c>
      <c r="HF137" s="13">
        <v>3.5183635031913775E-2</v>
      </c>
      <c r="HG137" s="13"/>
      <c r="HH137" s="1">
        <f t="shared" si="53"/>
        <v>-1343000.0000000002</v>
      </c>
      <c r="HI137" s="27">
        <f t="shared" si="54"/>
        <v>-0.94444444444444475</v>
      </c>
      <c r="HJ137" s="1">
        <f t="shared" si="55"/>
        <v>-129285.73387096822</v>
      </c>
      <c r="HK137" s="27">
        <f t="shared" si="56"/>
        <v>-4.9051498310112733E-2</v>
      </c>
      <c r="JO137"/>
      <c r="JP137"/>
      <c r="JS137"/>
      <c r="JT137"/>
      <c r="JV137"/>
      <c r="JZ137"/>
      <c r="KA137"/>
      <c r="KN137" s="278" t="s">
        <v>36</v>
      </c>
      <c r="MI137">
        <v>0</v>
      </c>
      <c r="MJ137">
        <v>0</v>
      </c>
      <c r="MK137">
        <v>0</v>
      </c>
      <c r="ML137">
        <v>0</v>
      </c>
    </row>
    <row r="138" spans="2:350">
      <c r="B138" s="27">
        <f t="shared" si="61"/>
        <v>0.1045051850527445</v>
      </c>
      <c r="C138" s="27">
        <f t="shared" si="62"/>
        <v>0.10645747660766434</v>
      </c>
      <c r="D138" s="1">
        <f t="shared" si="63"/>
        <v>246379.31034482759</v>
      </c>
      <c r="E138" s="278">
        <v>72026</v>
      </c>
      <c r="F138" s="16">
        <v>7616</v>
      </c>
      <c r="G138">
        <v>29</v>
      </c>
      <c r="H138" s="16">
        <v>67116000</v>
      </c>
      <c r="I138" s="16">
        <v>17450160</v>
      </c>
      <c r="J138" s="16">
        <v>4550000</v>
      </c>
      <c r="K138" s="16">
        <v>0</v>
      </c>
      <c r="L138" s="123">
        <v>225000</v>
      </c>
      <c r="M138" s="16">
        <v>22225160</v>
      </c>
      <c r="N138" s="16">
        <v>7013970</v>
      </c>
      <c r="O138" s="16">
        <v>7145000</v>
      </c>
      <c r="P138" s="16">
        <v>0</v>
      </c>
      <c r="Q138" s="16">
        <v>0</v>
      </c>
      <c r="R138" s="16">
        <v>0</v>
      </c>
      <c r="S138">
        <v>0</v>
      </c>
      <c r="T138" s="12">
        <v>14158970</v>
      </c>
      <c r="U138" s="313">
        <v>7105000</v>
      </c>
      <c r="V138" s="16">
        <v>0</v>
      </c>
      <c r="W138" s="123">
        <v>900000</v>
      </c>
      <c r="X138" s="123">
        <v>316666.66666666663</v>
      </c>
      <c r="Y138" s="12">
        <v>8321666.666666667</v>
      </c>
      <c r="Z138" s="12">
        <v>-255476.66666666791</v>
      </c>
      <c r="AA138" s="13">
        <v>-1.1494930370205115E-2</v>
      </c>
      <c r="AB138" s="13">
        <v>0.1045051850527445</v>
      </c>
      <c r="AC138" s="16">
        <v>8812.5</v>
      </c>
      <c r="AD138" s="13">
        <v>0.10645747660766434</v>
      </c>
      <c r="AF138" s="1">
        <f t="shared" si="60"/>
        <v>262.62068965517244</v>
      </c>
      <c r="AG138" s="231"/>
      <c r="BC138" s="123"/>
      <c r="BD138" s="123"/>
      <c r="BE138" s="123"/>
      <c r="BF138" s="123"/>
      <c r="BG138" s="123"/>
      <c r="BZ138" s="278" t="s">
        <v>33</v>
      </c>
      <c r="CC138">
        <v>0</v>
      </c>
      <c r="CD138">
        <v>0</v>
      </c>
      <c r="CE138">
        <v>0</v>
      </c>
      <c r="CF138">
        <v>0</v>
      </c>
      <c r="CL138" s="26" t="s">
        <v>171</v>
      </c>
      <c r="DI138">
        <v>2</v>
      </c>
      <c r="DJ138">
        <v>2</v>
      </c>
      <c r="EM138">
        <v>0</v>
      </c>
      <c r="EN138">
        <v>0</v>
      </c>
      <c r="EO138">
        <v>0</v>
      </c>
      <c r="EP138">
        <v>2</v>
      </c>
      <c r="GS138" s="26">
        <v>23</v>
      </c>
      <c r="GT138" s="16">
        <v>3966</v>
      </c>
      <c r="GU138">
        <v>13</v>
      </c>
      <c r="GV138" s="16">
        <v>2275000</v>
      </c>
      <c r="GW138" s="16">
        <v>1080000.25</v>
      </c>
      <c r="GX138" s="35">
        <v>10831000.25</v>
      </c>
      <c r="GY138" s="313">
        <v>2485000</v>
      </c>
      <c r="GZ138" s="332">
        <v>5408940</v>
      </c>
      <c r="HA138" s="35">
        <v>2485000</v>
      </c>
      <c r="HB138" s="35">
        <v>2937060.25</v>
      </c>
      <c r="HC138" s="13">
        <v>0.27117165379070135</v>
      </c>
      <c r="HD138" s="13">
        <v>8.0869101123595508E-2</v>
      </c>
      <c r="HE138" s="16">
        <v>8976.2985375693388</v>
      </c>
      <c r="HF138" s="13">
        <v>5.4213483146067415E-2</v>
      </c>
      <c r="HG138" s="13"/>
      <c r="HH138" s="1">
        <f t="shared" si="53"/>
        <v>-210000</v>
      </c>
      <c r="HI138" s="27">
        <f t="shared" si="54"/>
        <v>-9.2307692307692313E-2</v>
      </c>
      <c r="HJ138" s="1">
        <f t="shared" si="55"/>
        <v>870000.25</v>
      </c>
      <c r="HK138" s="27">
        <f t="shared" si="56"/>
        <v>0.25931451122842686</v>
      </c>
      <c r="JO138"/>
      <c r="JP138"/>
      <c r="JS138"/>
      <c r="JT138"/>
      <c r="JV138"/>
      <c r="JZ138"/>
      <c r="KA138"/>
      <c r="KN138" s="278" t="s">
        <v>166</v>
      </c>
      <c r="MI138">
        <v>0</v>
      </c>
      <c r="MJ138">
        <v>0</v>
      </c>
      <c r="MK138">
        <v>0</v>
      </c>
      <c r="ML138">
        <v>0</v>
      </c>
    </row>
    <row r="139" spans="2:350">
      <c r="B139" s="27">
        <f t="shared" si="61"/>
        <v>8.3666679947408257E-2</v>
      </c>
      <c r="C139" s="27">
        <f t="shared" si="62"/>
        <v>0.13118052512052272</v>
      </c>
      <c r="D139" s="1">
        <f t="shared" si="63"/>
        <v>219500</v>
      </c>
      <c r="E139" s="278">
        <v>82026</v>
      </c>
      <c r="F139" s="16">
        <v>5682</v>
      </c>
      <c r="G139">
        <v>30</v>
      </c>
      <c r="H139" s="16">
        <v>50198000</v>
      </c>
      <c r="I139" s="16">
        <v>13051480</v>
      </c>
      <c r="J139" s="16">
        <v>4150000</v>
      </c>
      <c r="K139" s="16">
        <v>0</v>
      </c>
      <c r="L139" s="123">
        <v>250000</v>
      </c>
      <c r="M139" s="16">
        <v>17451480</v>
      </c>
      <c r="N139" s="16">
        <v>4199900</v>
      </c>
      <c r="O139" s="16">
        <v>6585000</v>
      </c>
      <c r="P139" s="16">
        <v>0</v>
      </c>
      <c r="Q139" s="16">
        <v>0</v>
      </c>
      <c r="R139" s="16">
        <v>0</v>
      </c>
      <c r="S139">
        <v>0</v>
      </c>
      <c r="T139" s="12">
        <v>10784900</v>
      </c>
      <c r="U139" s="313">
        <v>7350000</v>
      </c>
      <c r="V139" s="16">
        <v>0</v>
      </c>
      <c r="W139" s="123">
        <v>900000</v>
      </c>
      <c r="X139" s="123">
        <v>316666.66666666663</v>
      </c>
      <c r="Y139" s="12">
        <v>8566666.666666666</v>
      </c>
      <c r="Z139" s="12">
        <v>-1900086.6666666642</v>
      </c>
      <c r="AA139" s="13">
        <v>-0.10887825368774821</v>
      </c>
      <c r="AB139" s="13">
        <v>8.3666679947408257E-2</v>
      </c>
      <c r="AC139" s="16">
        <v>8834.5652939105948</v>
      </c>
      <c r="AD139" s="13">
        <v>0.13118052512052272</v>
      </c>
      <c r="AF139" s="1">
        <f t="shared" si="60"/>
        <v>189.4</v>
      </c>
      <c r="AG139" s="16"/>
      <c r="BC139" s="123"/>
      <c r="BD139" s="123"/>
      <c r="BE139" s="123"/>
      <c r="BF139" s="123"/>
      <c r="BG139" s="123"/>
      <c r="BZ139" s="278" t="s">
        <v>171</v>
      </c>
      <c r="CC139">
        <v>0</v>
      </c>
      <c r="CD139">
        <v>0</v>
      </c>
      <c r="CE139">
        <v>0</v>
      </c>
      <c r="CF139">
        <v>0</v>
      </c>
      <c r="CL139" s="26" t="s">
        <v>276</v>
      </c>
      <c r="EM139">
        <v>0</v>
      </c>
      <c r="EN139">
        <v>0</v>
      </c>
      <c r="EO139">
        <v>0</v>
      </c>
      <c r="EP139">
        <v>0</v>
      </c>
      <c r="GS139" s="26">
        <v>24</v>
      </c>
      <c r="GT139" s="16">
        <v>3303</v>
      </c>
      <c r="GU139">
        <v>12</v>
      </c>
      <c r="GV139" s="16">
        <v>2100000</v>
      </c>
      <c r="GW139" s="16">
        <v>0</v>
      </c>
      <c r="GX139" s="35">
        <v>7838720</v>
      </c>
      <c r="GY139" s="313">
        <v>2135000</v>
      </c>
      <c r="GZ139" s="332">
        <v>4021060</v>
      </c>
      <c r="HA139" s="35">
        <v>2135000</v>
      </c>
      <c r="HB139" s="35">
        <v>1682660</v>
      </c>
      <c r="HC139" s="13">
        <v>0.21466004653821033</v>
      </c>
      <c r="HD139" s="13">
        <v>8.4770750271837628E-2</v>
      </c>
      <c r="HE139" s="16">
        <v>6682.4099303663334</v>
      </c>
      <c r="HF139" s="13">
        <v>7.5661471547662201E-2</v>
      </c>
      <c r="HG139" s="13"/>
      <c r="HH139" s="1">
        <f t="shared" si="53"/>
        <v>-35000</v>
      </c>
      <c r="HI139" s="27">
        <f t="shared" si="54"/>
        <v>-1.6666666666666666E-2</v>
      </c>
      <c r="HJ139" s="1">
        <f t="shared" si="55"/>
        <v>-35000</v>
      </c>
      <c r="HK139" s="27">
        <f t="shared" si="56"/>
        <v>-1.6666666666666666E-2</v>
      </c>
      <c r="JO139"/>
      <c r="JP139"/>
      <c r="JS139"/>
      <c r="JT139"/>
      <c r="JV139"/>
      <c r="JZ139"/>
      <c r="KA139"/>
      <c r="KN139" s="26" t="s">
        <v>23</v>
      </c>
      <c r="KO139">
        <v>237</v>
      </c>
      <c r="KP139">
        <v>257</v>
      </c>
      <c r="KQ139">
        <v>256</v>
      </c>
      <c r="KR139">
        <v>255</v>
      </c>
      <c r="KS139">
        <v>454</v>
      </c>
      <c r="KT139">
        <v>270</v>
      </c>
      <c r="KU139">
        <v>269</v>
      </c>
      <c r="KV139">
        <v>275</v>
      </c>
      <c r="KW139">
        <v>504</v>
      </c>
      <c r="KX139">
        <v>293</v>
      </c>
      <c r="KY139">
        <v>279</v>
      </c>
      <c r="KZ139">
        <v>278</v>
      </c>
      <c r="LA139">
        <v>262</v>
      </c>
      <c r="LB139">
        <v>481</v>
      </c>
      <c r="LC139">
        <v>242</v>
      </c>
      <c r="LD139">
        <v>244</v>
      </c>
      <c r="LE139">
        <v>253</v>
      </c>
      <c r="LF139">
        <v>489</v>
      </c>
      <c r="LG139">
        <v>265</v>
      </c>
      <c r="LH139">
        <v>272</v>
      </c>
      <c r="LI139">
        <v>275</v>
      </c>
      <c r="LJ139">
        <v>481</v>
      </c>
      <c r="LK139">
        <v>275</v>
      </c>
      <c r="LL139">
        <v>271</v>
      </c>
      <c r="LM139">
        <v>263</v>
      </c>
      <c r="LN139">
        <v>251</v>
      </c>
      <c r="LO139">
        <v>414</v>
      </c>
      <c r="LP139">
        <v>247</v>
      </c>
      <c r="LQ139">
        <v>261</v>
      </c>
      <c r="LR139">
        <v>265</v>
      </c>
      <c r="LS139">
        <v>524</v>
      </c>
      <c r="LT139">
        <v>263</v>
      </c>
      <c r="LU139">
        <v>254</v>
      </c>
      <c r="LV139">
        <v>248</v>
      </c>
      <c r="LW139">
        <v>251</v>
      </c>
      <c r="LX139">
        <v>244</v>
      </c>
      <c r="LY139">
        <v>247</v>
      </c>
      <c r="LZ139">
        <v>239</v>
      </c>
      <c r="MA139">
        <v>251</v>
      </c>
      <c r="MB139">
        <v>467</v>
      </c>
      <c r="MC139">
        <v>252</v>
      </c>
      <c r="MD139">
        <v>243</v>
      </c>
      <c r="ME139">
        <v>246</v>
      </c>
      <c r="MF139">
        <v>466</v>
      </c>
      <c r="MG139">
        <v>251</v>
      </c>
      <c r="MH139">
        <v>244</v>
      </c>
      <c r="MI139">
        <v>0</v>
      </c>
      <c r="MJ139">
        <v>0</v>
      </c>
      <c r="MK139">
        <v>0</v>
      </c>
      <c r="ML139">
        <v>13828</v>
      </c>
    </row>
    <row r="140" spans="2:350">
      <c r="B140" s="27">
        <f t="shared" si="61"/>
        <v>5.7162499350210533E-2</v>
      </c>
      <c r="C140" s="27">
        <f t="shared" si="62"/>
        <v>0.11982117793834797</v>
      </c>
      <c r="D140" s="1">
        <f t="shared" si="63"/>
        <v>170740.74074074073</v>
      </c>
      <c r="E140" s="278">
        <v>92026</v>
      </c>
      <c r="F140" s="16">
        <v>4335</v>
      </c>
      <c r="G140">
        <v>27</v>
      </c>
      <c r="H140" s="16">
        <v>38474000</v>
      </c>
      <c r="I140" s="16">
        <v>10003240</v>
      </c>
      <c r="J140" s="16">
        <v>3949999.9999999995</v>
      </c>
      <c r="K140" s="16">
        <v>0</v>
      </c>
      <c r="L140" s="123">
        <v>175000</v>
      </c>
      <c r="M140" s="16">
        <v>14128240</v>
      </c>
      <c r="N140" s="16">
        <v>2199270</v>
      </c>
      <c r="O140" s="16">
        <v>4610000</v>
      </c>
      <c r="P140" s="16">
        <v>0</v>
      </c>
      <c r="Q140" s="16">
        <v>542857.14285714284</v>
      </c>
      <c r="R140" s="16">
        <v>0</v>
      </c>
      <c r="S140">
        <v>0</v>
      </c>
      <c r="T140" s="12">
        <v>7352127.1428571418</v>
      </c>
      <c r="U140" s="313">
        <v>6615000</v>
      </c>
      <c r="V140" s="16">
        <v>0</v>
      </c>
      <c r="W140" s="123">
        <v>899999.99999999988</v>
      </c>
      <c r="X140" s="123">
        <v>312288.78648233478</v>
      </c>
      <c r="Y140" s="12">
        <v>7827288.7864823341</v>
      </c>
      <c r="Z140" s="12">
        <v>-1051175.9293394764</v>
      </c>
      <c r="AA140" s="13">
        <v>-7.4402468342799691E-2</v>
      </c>
      <c r="AB140" s="13">
        <v>5.7162499350210533E-2</v>
      </c>
      <c r="AC140" s="16">
        <v>8875.2018454440604</v>
      </c>
      <c r="AD140" s="13">
        <v>0.11982117793834797</v>
      </c>
      <c r="AF140" s="1">
        <f t="shared" si="60"/>
        <v>160.55555555555554</v>
      </c>
      <c r="AG140" s="16"/>
      <c r="BC140" s="85"/>
      <c r="BD140" s="85"/>
      <c r="BE140" s="85"/>
      <c r="BF140" s="85"/>
      <c r="BG140" s="85"/>
      <c r="BZ140" s="278" t="s">
        <v>276</v>
      </c>
      <c r="CC140">
        <v>0</v>
      </c>
      <c r="CD140">
        <v>0</v>
      </c>
      <c r="CE140">
        <v>0</v>
      </c>
      <c r="CF140">
        <v>0</v>
      </c>
      <c r="CL140" s="26" t="s">
        <v>277</v>
      </c>
      <c r="EM140">
        <v>0</v>
      </c>
      <c r="EN140">
        <v>0</v>
      </c>
      <c r="EO140">
        <v>0</v>
      </c>
      <c r="EP140">
        <v>0</v>
      </c>
      <c r="GS140" s="26">
        <v>25</v>
      </c>
      <c r="GT140" s="16">
        <v>3323</v>
      </c>
      <c r="GU140">
        <v>12</v>
      </c>
      <c r="GV140" s="16">
        <v>1900000</v>
      </c>
      <c r="GW140" s="16">
        <v>0</v>
      </c>
      <c r="GX140" s="35">
        <v>9704800</v>
      </c>
      <c r="GY140" s="313">
        <v>2240000</v>
      </c>
      <c r="GZ140" s="332">
        <v>5974940</v>
      </c>
      <c r="HA140" s="35">
        <v>2240000</v>
      </c>
      <c r="HB140" s="35">
        <v>1489860</v>
      </c>
      <c r="HC140" s="13">
        <v>0.15351784683867778</v>
      </c>
      <c r="HD140" s="13">
        <v>0.11267877564749411</v>
      </c>
      <c r="HE140" s="16">
        <v>8946.734878122179</v>
      </c>
      <c r="HF140" s="13">
        <v>8.8294651866801216E-2</v>
      </c>
      <c r="HG140" s="13"/>
      <c r="HH140" s="1">
        <f t="shared" si="53"/>
        <v>-340000</v>
      </c>
      <c r="HI140" s="27">
        <f t="shared" si="54"/>
        <v>-0.17894736842105263</v>
      </c>
      <c r="HJ140" s="1">
        <f t="shared" si="55"/>
        <v>-340000</v>
      </c>
      <c r="HK140" s="27">
        <f t="shared" si="56"/>
        <v>-0.17894736842105263</v>
      </c>
      <c r="JO140"/>
      <c r="JP140"/>
      <c r="JS140"/>
      <c r="JT140"/>
      <c r="JV140"/>
      <c r="JZ140"/>
      <c r="KA140"/>
      <c r="KN140" s="278" t="s">
        <v>21</v>
      </c>
      <c r="KO140">
        <v>237</v>
      </c>
      <c r="KP140">
        <v>257</v>
      </c>
      <c r="KQ140">
        <v>256</v>
      </c>
      <c r="KR140">
        <v>255</v>
      </c>
      <c r="KS140">
        <v>250</v>
      </c>
      <c r="MI140">
        <v>0</v>
      </c>
      <c r="MJ140">
        <v>0</v>
      </c>
      <c r="MK140">
        <v>0</v>
      </c>
      <c r="ML140">
        <v>1255</v>
      </c>
    </row>
    <row r="141" spans="2:350">
      <c r="B141" s="27">
        <f t="shared" si="61"/>
        <v>7.290595329740826E-2</v>
      </c>
      <c r="C141" s="27">
        <f t="shared" si="62"/>
        <v>0.12022068257634078</v>
      </c>
      <c r="D141" s="1">
        <f t="shared" si="63"/>
        <v>156166.66666666666</v>
      </c>
      <c r="E141" s="278">
        <v>102026</v>
      </c>
      <c r="F141" s="16">
        <v>4403</v>
      </c>
      <c r="G141">
        <v>30</v>
      </c>
      <c r="H141" s="16">
        <v>38970000</v>
      </c>
      <c r="I141" s="16">
        <v>10132200</v>
      </c>
      <c r="J141" s="16">
        <v>4275000</v>
      </c>
      <c r="K141" s="16">
        <v>0</v>
      </c>
      <c r="L141" s="123">
        <v>325000</v>
      </c>
      <c r="M141" s="16">
        <v>14732200</v>
      </c>
      <c r="N141" s="16">
        <v>2841145</v>
      </c>
      <c r="O141" s="16">
        <v>4685000</v>
      </c>
      <c r="P141" s="16">
        <v>0</v>
      </c>
      <c r="Q141" s="16">
        <v>0</v>
      </c>
      <c r="R141" s="16">
        <v>0</v>
      </c>
      <c r="S141">
        <v>0</v>
      </c>
      <c r="T141" s="12">
        <v>7526145</v>
      </c>
      <c r="U141" s="313">
        <v>7350000</v>
      </c>
      <c r="V141" s="16">
        <v>0</v>
      </c>
      <c r="W141" s="123">
        <v>900000</v>
      </c>
      <c r="X141" s="123">
        <v>286021.50537634408</v>
      </c>
      <c r="Y141" s="12">
        <v>8536021.5053763445</v>
      </c>
      <c r="Z141" s="12">
        <v>-1329966.5053763445</v>
      </c>
      <c r="AA141" s="13">
        <v>-9.0276164142242474E-2</v>
      </c>
      <c r="AB141" s="13">
        <v>7.290595329740826E-2</v>
      </c>
      <c r="AC141" s="16">
        <v>8850.7835566659105</v>
      </c>
      <c r="AD141" s="13">
        <v>0.12022068257634078</v>
      </c>
      <c r="AF141" s="1">
        <f t="shared" si="60"/>
        <v>146.76666666666668</v>
      </c>
      <c r="AG141" s="231"/>
      <c r="BC141" s="35"/>
      <c r="BD141" s="35"/>
      <c r="BE141" s="35"/>
      <c r="BF141" s="35"/>
      <c r="BG141" s="35"/>
      <c r="BZ141" s="278" t="s">
        <v>277</v>
      </c>
      <c r="CC141">
        <v>0</v>
      </c>
      <c r="CD141">
        <v>0</v>
      </c>
      <c r="CE141">
        <v>0</v>
      </c>
      <c r="CF141">
        <v>0</v>
      </c>
      <c r="CL141" s="26" t="s">
        <v>199</v>
      </c>
      <c r="EM141">
        <v>0</v>
      </c>
      <c r="EN141">
        <v>0</v>
      </c>
      <c r="EO141">
        <v>0</v>
      </c>
      <c r="EP141">
        <v>0</v>
      </c>
      <c r="GS141" s="26">
        <v>26</v>
      </c>
      <c r="GT141" s="16">
        <v>4380</v>
      </c>
      <c r="GU141">
        <v>18</v>
      </c>
      <c r="GV141" s="16">
        <v>2475000</v>
      </c>
      <c r="GW141" s="16">
        <v>0</v>
      </c>
      <c r="GX141" s="35">
        <v>12692520</v>
      </c>
      <c r="GY141" s="313">
        <v>3465000</v>
      </c>
      <c r="GZ141" s="332">
        <v>8175860</v>
      </c>
      <c r="HA141" s="35">
        <v>3465000</v>
      </c>
      <c r="HB141" s="35">
        <v>1051660</v>
      </c>
      <c r="HC141" s="13">
        <v>8.2856674639866623E-2</v>
      </c>
      <c r="HD141" s="13">
        <v>0.10671292281006071</v>
      </c>
      <c r="HE141" s="16">
        <v>8950.2283105022834</v>
      </c>
      <c r="HF141" s="13">
        <v>9.6742513137084846E-2</v>
      </c>
      <c r="HG141" s="13"/>
      <c r="HH141" s="1">
        <f t="shared" si="53"/>
        <v>-990000</v>
      </c>
      <c r="HI141" s="27">
        <f t="shared" si="54"/>
        <v>-0.4</v>
      </c>
      <c r="HJ141" s="1">
        <f t="shared" si="55"/>
        <v>-990000</v>
      </c>
      <c r="HK141" s="27">
        <f t="shared" si="56"/>
        <v>-0.4</v>
      </c>
      <c r="JO141"/>
      <c r="JP141"/>
      <c r="JS141"/>
      <c r="JT141"/>
      <c r="JV141"/>
      <c r="JZ141"/>
      <c r="KA141"/>
      <c r="KN141" s="278" t="s">
        <v>158</v>
      </c>
      <c r="KS141">
        <v>204</v>
      </c>
      <c r="KT141">
        <v>270</v>
      </c>
      <c r="KU141">
        <v>269</v>
      </c>
      <c r="KV141">
        <v>275</v>
      </c>
      <c r="KW141">
        <v>265</v>
      </c>
      <c r="MI141">
        <v>0</v>
      </c>
      <c r="MJ141">
        <v>0</v>
      </c>
      <c r="MK141">
        <v>0</v>
      </c>
      <c r="ML141">
        <v>1283</v>
      </c>
    </row>
    <row r="142" spans="2:350">
      <c r="B142" s="27">
        <f t="shared" si="61"/>
        <v>8.1444373808010173E-2</v>
      </c>
      <c r="C142" s="27">
        <f t="shared" si="62"/>
        <v>0.12703962703962704</v>
      </c>
      <c r="D142" s="1">
        <f t="shared" si="63"/>
        <v>199833.33333333334</v>
      </c>
      <c r="E142" s="278">
        <v>112026</v>
      </c>
      <c r="F142" s="16">
        <v>5314</v>
      </c>
      <c r="G142">
        <v>30</v>
      </c>
      <c r="H142" s="16">
        <v>47190000</v>
      </c>
      <c r="I142" s="16">
        <v>12269400</v>
      </c>
      <c r="J142" s="16">
        <v>4400000</v>
      </c>
      <c r="K142" s="16">
        <v>0</v>
      </c>
      <c r="L142" s="123">
        <v>350000</v>
      </c>
      <c r="M142" s="16">
        <v>17019400</v>
      </c>
      <c r="N142" s="16">
        <v>3843360</v>
      </c>
      <c r="O142" s="16">
        <v>5995000</v>
      </c>
      <c r="P142" s="16">
        <v>0</v>
      </c>
      <c r="Q142" s="16">
        <v>0</v>
      </c>
      <c r="R142" s="16">
        <v>0</v>
      </c>
      <c r="S142">
        <v>0</v>
      </c>
      <c r="T142" s="12">
        <v>9838360</v>
      </c>
      <c r="U142" s="313">
        <v>7350000</v>
      </c>
      <c r="V142" s="16">
        <v>0</v>
      </c>
      <c r="W142" s="123">
        <v>900000</v>
      </c>
      <c r="X142" s="123">
        <v>286021.50537634408</v>
      </c>
      <c r="Y142" s="12">
        <v>8536021.5053763445</v>
      </c>
      <c r="Z142" s="12">
        <v>-1354981.5053763464</v>
      </c>
      <c r="AA142" s="13">
        <v>-7.961394087784214E-2</v>
      </c>
      <c r="AB142" s="13">
        <v>8.1444373808010173E-2</v>
      </c>
      <c r="AC142" s="16">
        <v>8880.3161460293559</v>
      </c>
      <c r="AD142" s="13">
        <v>0.12703962703962704</v>
      </c>
      <c r="AF142" s="1">
        <f t="shared" si="60"/>
        <v>177.13333333333333</v>
      </c>
      <c r="AG142" s="231"/>
      <c r="BC142" s="85"/>
      <c r="BD142" s="85"/>
      <c r="BE142" s="85"/>
      <c r="BF142" s="85"/>
      <c r="BG142" s="85"/>
      <c r="BZ142" s="278" t="s">
        <v>199</v>
      </c>
      <c r="CC142">
        <v>0</v>
      </c>
      <c r="CD142">
        <v>0</v>
      </c>
      <c r="CE142">
        <v>0</v>
      </c>
      <c r="CF142">
        <v>0</v>
      </c>
      <c r="CL142" s="26" t="s">
        <v>196</v>
      </c>
      <c r="EM142">
        <v>0</v>
      </c>
      <c r="EN142">
        <v>0</v>
      </c>
      <c r="EO142">
        <v>0</v>
      </c>
      <c r="EP142">
        <v>0</v>
      </c>
      <c r="GS142" s="26">
        <v>27</v>
      </c>
      <c r="GT142" s="16">
        <v>3809</v>
      </c>
      <c r="GU142">
        <v>19</v>
      </c>
      <c r="GV142" s="16">
        <v>3225000</v>
      </c>
      <c r="GW142" s="16">
        <v>0</v>
      </c>
      <c r="GX142" s="35">
        <v>12105560</v>
      </c>
      <c r="GY142" s="313">
        <v>3325000</v>
      </c>
      <c r="GZ142" s="332">
        <v>5709760</v>
      </c>
      <c r="HA142" s="35">
        <v>3325000</v>
      </c>
      <c r="HB142" s="35">
        <v>3070800</v>
      </c>
      <c r="HC142" s="13">
        <v>0.25366856221438744</v>
      </c>
      <c r="HD142" s="13">
        <v>8.006675254713666E-2</v>
      </c>
      <c r="HE142" s="16">
        <v>8967.1829876608026</v>
      </c>
      <c r="HF142" s="13">
        <v>8.7100363040168632E-2</v>
      </c>
      <c r="HG142" s="13"/>
      <c r="HH142" s="1">
        <f t="shared" si="53"/>
        <v>-100000</v>
      </c>
      <c r="HI142" s="27">
        <f t="shared" si="54"/>
        <v>-3.1007751937984496E-2</v>
      </c>
      <c r="HJ142" s="1">
        <f t="shared" si="55"/>
        <v>-100000</v>
      </c>
      <c r="HK142" s="27">
        <f t="shared" si="56"/>
        <v>-3.1007751937984496E-2</v>
      </c>
      <c r="JO142"/>
      <c r="JP142"/>
      <c r="JS142"/>
      <c r="JT142"/>
      <c r="JV142"/>
      <c r="JZ142"/>
      <c r="KA142"/>
      <c r="KN142" s="278" t="s">
        <v>159</v>
      </c>
      <c r="KW142">
        <v>239</v>
      </c>
      <c r="KX142">
        <v>293</v>
      </c>
      <c r="KY142">
        <v>279</v>
      </c>
      <c r="KZ142">
        <v>278</v>
      </c>
      <c r="LA142">
        <v>262</v>
      </c>
      <c r="LB142">
        <v>253</v>
      </c>
      <c r="MI142">
        <v>0</v>
      </c>
      <c r="MJ142">
        <v>0</v>
      </c>
      <c r="MK142">
        <v>0</v>
      </c>
      <c r="ML142">
        <v>1604</v>
      </c>
    </row>
    <row r="143" spans="2:350">
      <c r="B143" s="27">
        <f t="shared" si="61"/>
        <v>0.10034885770130411</v>
      </c>
      <c r="C143" s="27">
        <f t="shared" si="62"/>
        <v>0.10285494568874363</v>
      </c>
      <c r="D143" s="1">
        <f t="shared" si="63"/>
        <v>214000</v>
      </c>
      <c r="E143" s="278">
        <v>122026</v>
      </c>
      <c r="F143" s="16">
        <v>6992</v>
      </c>
      <c r="G143">
        <v>30</v>
      </c>
      <c r="H143" s="16">
        <v>62418000</v>
      </c>
      <c r="I143" s="16">
        <v>16228680</v>
      </c>
      <c r="J143" s="16">
        <v>4450000</v>
      </c>
      <c r="K143" s="16">
        <v>0</v>
      </c>
      <c r="L143" s="123">
        <v>275000</v>
      </c>
      <c r="M143" s="16">
        <v>20953680</v>
      </c>
      <c r="N143" s="16">
        <v>6263575</v>
      </c>
      <c r="O143" s="16">
        <v>6420000</v>
      </c>
      <c r="P143" s="16">
        <v>0</v>
      </c>
      <c r="Q143" s="16">
        <v>0</v>
      </c>
      <c r="R143" s="16">
        <v>0</v>
      </c>
      <c r="S143">
        <v>0</v>
      </c>
      <c r="T143" s="12">
        <v>12683575</v>
      </c>
      <c r="U143" s="313">
        <v>7350000</v>
      </c>
      <c r="V143" s="16">
        <v>0</v>
      </c>
      <c r="W143" s="123">
        <v>750000</v>
      </c>
      <c r="X143" s="123">
        <v>286021.50537634408</v>
      </c>
      <c r="Y143" s="12">
        <v>8386021.5053763445</v>
      </c>
      <c r="Z143" s="12">
        <v>-115916.50537634641</v>
      </c>
      <c r="AA143" s="13">
        <v>-5.5320356794771328E-3</v>
      </c>
      <c r="AB143" s="13">
        <v>0.10034885770130411</v>
      </c>
      <c r="AC143" s="16">
        <v>8927.0594965675064</v>
      </c>
      <c r="AD143" s="13">
        <v>0.10285494568874363</v>
      </c>
      <c r="AF143" s="1">
        <f t="shared" si="60"/>
        <v>233.06666666666666</v>
      </c>
      <c r="AG143" s="231"/>
      <c r="BC143" s="35"/>
      <c r="BD143" s="35"/>
      <c r="BE143" s="35"/>
      <c r="BF143" s="35"/>
      <c r="BG143" s="35"/>
      <c r="BZ143" s="278" t="s">
        <v>196</v>
      </c>
      <c r="CC143">
        <v>0</v>
      </c>
      <c r="CD143">
        <v>0</v>
      </c>
      <c r="CE143">
        <v>0</v>
      </c>
      <c r="CF143">
        <v>0</v>
      </c>
      <c r="CL143" s="26" t="s">
        <v>29</v>
      </c>
      <c r="DI143">
        <v>1</v>
      </c>
      <c r="DJ143">
        <v>4</v>
      </c>
      <c r="DK143">
        <v>6</v>
      </c>
      <c r="DL143">
        <v>5</v>
      </c>
      <c r="DM143">
        <v>1</v>
      </c>
      <c r="EM143">
        <v>0</v>
      </c>
      <c r="EN143">
        <v>0</v>
      </c>
      <c r="EO143">
        <v>0</v>
      </c>
      <c r="EP143">
        <v>6</v>
      </c>
      <c r="GS143" s="26">
        <v>28</v>
      </c>
      <c r="GT143" s="16">
        <v>4929</v>
      </c>
      <c r="GU143">
        <v>23</v>
      </c>
      <c r="GV143" s="16">
        <v>3400000</v>
      </c>
      <c r="GW143" s="16">
        <v>0</v>
      </c>
      <c r="GX143" s="35">
        <v>14808280</v>
      </c>
      <c r="GY143" s="313">
        <v>4760000</v>
      </c>
      <c r="GZ143" s="332">
        <v>9085520</v>
      </c>
      <c r="HA143" s="35">
        <v>5600000</v>
      </c>
      <c r="HB143" s="35">
        <v>122760</v>
      </c>
      <c r="HC143" s="13">
        <v>8.2899566999003263E-3</v>
      </c>
      <c r="HD143" s="13">
        <v>0.10376544053967821</v>
      </c>
      <c r="HE143" s="16">
        <v>8902.0085209981735</v>
      </c>
      <c r="HF143" s="13">
        <v>0.10329778020876065</v>
      </c>
      <c r="HG143" s="13"/>
      <c r="HH143" s="1">
        <f t="shared" si="53"/>
        <v>-1360000</v>
      </c>
      <c r="HI143" s="27">
        <f t="shared" si="54"/>
        <v>-0.4</v>
      </c>
      <c r="HJ143" s="1">
        <f t="shared" si="55"/>
        <v>-1360000</v>
      </c>
      <c r="HK143" s="27">
        <f t="shared" si="56"/>
        <v>-0.4</v>
      </c>
      <c r="JO143"/>
      <c r="JP143"/>
      <c r="JS143"/>
      <c r="JT143"/>
      <c r="JV143"/>
      <c r="JZ143"/>
      <c r="KA143"/>
      <c r="KN143" s="278" t="s">
        <v>160</v>
      </c>
      <c r="LB143">
        <v>228</v>
      </c>
      <c r="LC143">
        <v>242</v>
      </c>
      <c r="LD143">
        <v>244</v>
      </c>
      <c r="LE143">
        <v>253</v>
      </c>
      <c r="LF143">
        <v>245</v>
      </c>
      <c r="MI143">
        <v>0</v>
      </c>
      <c r="MJ143">
        <v>0</v>
      </c>
      <c r="MK143">
        <v>0</v>
      </c>
      <c r="ML143">
        <v>1212</v>
      </c>
    </row>
    <row r="144" spans="2:350">
      <c r="B144" s="27">
        <f t="shared" si="61"/>
        <v>0.12034145345371862</v>
      </c>
      <c r="C144" s="27">
        <f t="shared" si="62"/>
        <v>9.3931433364974948E-2</v>
      </c>
      <c r="D144" s="1">
        <f t="shared" si="63"/>
        <v>274516.12903225806</v>
      </c>
      <c r="E144" s="278">
        <v>132026</v>
      </c>
      <c r="F144" s="16">
        <v>10208</v>
      </c>
      <c r="G144">
        <v>31</v>
      </c>
      <c r="H144" s="16">
        <v>90598000</v>
      </c>
      <c r="I144" s="16">
        <v>23555480</v>
      </c>
      <c r="J144" s="16">
        <v>4500000</v>
      </c>
      <c r="K144" s="16">
        <v>0</v>
      </c>
      <c r="L144" s="123">
        <v>375000</v>
      </c>
      <c r="M144" s="16">
        <v>28430480</v>
      </c>
      <c r="N144" s="16">
        <v>10902695</v>
      </c>
      <c r="O144" s="16">
        <v>8510000</v>
      </c>
      <c r="P144" s="16">
        <v>0</v>
      </c>
      <c r="Q144" s="16"/>
      <c r="R144" s="16">
        <v>200000</v>
      </c>
      <c r="S144">
        <v>0</v>
      </c>
      <c r="T144" s="12">
        <v>19612695</v>
      </c>
      <c r="U144" s="313">
        <v>7595000</v>
      </c>
      <c r="V144" s="16">
        <v>0</v>
      </c>
      <c r="W144" s="123">
        <v>900000</v>
      </c>
      <c r="X144" s="123">
        <v>286021.50537634408</v>
      </c>
      <c r="Y144" s="12">
        <v>8781021.5053763445</v>
      </c>
      <c r="Z144" s="12">
        <v>36763.494623653591</v>
      </c>
      <c r="AA144" s="13">
        <v>1.2931014398509485E-3</v>
      </c>
      <c r="AB144" s="13">
        <v>0.12034145345371862</v>
      </c>
      <c r="AC144" s="16">
        <v>8875.1959247648902</v>
      </c>
      <c r="AD144" s="13">
        <v>9.3931433364974948E-2</v>
      </c>
      <c r="AF144" s="13"/>
      <c r="AG144" s="231"/>
      <c r="BC144" s="85"/>
      <c r="BD144" s="85"/>
      <c r="BE144" s="85"/>
      <c r="BF144" s="85"/>
      <c r="BG144" s="85"/>
      <c r="BZ144" s="278" t="s">
        <v>29</v>
      </c>
      <c r="CC144">
        <v>0</v>
      </c>
      <c r="CD144">
        <v>0</v>
      </c>
      <c r="CE144">
        <v>0</v>
      </c>
      <c r="CF144">
        <v>0</v>
      </c>
      <c r="CL144" s="26" t="s">
        <v>23</v>
      </c>
      <c r="DH144">
        <v>212</v>
      </c>
      <c r="DI144">
        <v>275</v>
      </c>
      <c r="DJ144">
        <v>271</v>
      </c>
      <c r="DK144">
        <v>263</v>
      </c>
      <c r="DL144">
        <v>251</v>
      </c>
      <c r="DM144">
        <v>168</v>
      </c>
      <c r="EM144">
        <v>0</v>
      </c>
      <c r="EN144">
        <v>0</v>
      </c>
      <c r="EO144">
        <v>0</v>
      </c>
      <c r="EP144">
        <v>275</v>
      </c>
      <c r="GS144" s="26">
        <v>29</v>
      </c>
      <c r="GT144" s="16">
        <v>4821</v>
      </c>
      <c r="GU144">
        <v>22</v>
      </c>
      <c r="GV144" s="16">
        <v>3650000</v>
      </c>
      <c r="GW144" s="16">
        <v>0</v>
      </c>
      <c r="GX144" s="35">
        <v>15075720</v>
      </c>
      <c r="GY144" s="313">
        <v>4095000</v>
      </c>
      <c r="GZ144" s="332">
        <v>8723340</v>
      </c>
      <c r="HA144" s="35">
        <v>4935000</v>
      </c>
      <c r="HB144" s="35">
        <v>1417380</v>
      </c>
      <c r="HC144" s="13">
        <v>9.4017400163972267E-2</v>
      </c>
      <c r="HD144" s="13">
        <v>0.10002634498058791</v>
      </c>
      <c r="HE144" s="16">
        <v>8975.7311761045421</v>
      </c>
      <c r="HF144" s="13">
        <v>0.10156683305601776</v>
      </c>
      <c r="HG144" s="13"/>
      <c r="HH144" s="1">
        <f t="shared" si="53"/>
        <v>-445000</v>
      </c>
      <c r="HI144" s="27">
        <f t="shared" si="54"/>
        <v>-0.12191780821917808</v>
      </c>
      <c r="HJ144" s="1">
        <f t="shared" si="55"/>
        <v>-445000</v>
      </c>
      <c r="HK144" s="27">
        <f t="shared" si="56"/>
        <v>-0.12191780821917808</v>
      </c>
      <c r="JO144"/>
      <c r="JP144"/>
      <c r="JS144"/>
      <c r="JT144"/>
      <c r="JV144"/>
      <c r="JZ144"/>
      <c r="KA144"/>
      <c r="KN144" s="278" t="s">
        <v>161</v>
      </c>
      <c r="LF144">
        <v>244</v>
      </c>
      <c r="LG144">
        <v>265</v>
      </c>
      <c r="LH144">
        <v>272</v>
      </c>
      <c r="LI144">
        <v>275</v>
      </c>
      <c r="LJ144">
        <v>269</v>
      </c>
      <c r="MI144">
        <v>0</v>
      </c>
      <c r="MJ144">
        <v>0</v>
      </c>
      <c r="MK144">
        <v>0</v>
      </c>
      <c r="ML144">
        <v>1325</v>
      </c>
    </row>
    <row r="145" spans="2:350">
      <c r="B145" s="27">
        <f t="shared" si="61"/>
        <v>0.11264872626445176</v>
      </c>
      <c r="C145" s="27">
        <f t="shared" si="62"/>
        <v>0.10639219666773946</v>
      </c>
      <c r="D145" s="1">
        <f t="shared" si="63"/>
        <v>277258.06451612903</v>
      </c>
      <c r="E145" s="341">
        <v>142026</v>
      </c>
      <c r="F145" s="81">
        <v>9139</v>
      </c>
      <c r="G145" s="91">
        <v>31</v>
      </c>
      <c r="H145" s="81">
        <v>80786000</v>
      </c>
      <c r="I145" s="81">
        <v>21004360</v>
      </c>
      <c r="J145" s="81">
        <v>4600000</v>
      </c>
      <c r="K145" s="81">
        <v>0</v>
      </c>
      <c r="L145" s="310">
        <v>300000</v>
      </c>
      <c r="M145" s="81">
        <v>25904360</v>
      </c>
      <c r="N145" s="81">
        <v>9100440</v>
      </c>
      <c r="O145" s="81">
        <v>8595000</v>
      </c>
      <c r="P145" s="81">
        <v>0</v>
      </c>
      <c r="Q145" s="81">
        <v>0</v>
      </c>
      <c r="R145" s="81">
        <v>0</v>
      </c>
      <c r="S145" s="91">
        <v>0</v>
      </c>
      <c r="T145" s="246">
        <v>17695440</v>
      </c>
      <c r="U145" s="322">
        <v>7595000</v>
      </c>
      <c r="V145" s="81">
        <v>0</v>
      </c>
      <c r="W145" s="310">
        <v>900000</v>
      </c>
      <c r="X145" s="310">
        <v>164391</v>
      </c>
      <c r="Y145" s="246">
        <v>8659391</v>
      </c>
      <c r="Z145" s="246">
        <v>-450470.99999999907</v>
      </c>
      <c r="AA145" s="244">
        <v>-1.7389775311955173E-2</v>
      </c>
      <c r="AB145" s="244">
        <v>0.11264872626445176</v>
      </c>
      <c r="AC145" s="81">
        <v>8839.6979975927352</v>
      </c>
      <c r="AD145" s="244">
        <v>0.10639219666773946</v>
      </c>
      <c r="AF145" s="1">
        <f t="shared" si="60"/>
        <v>294.80645161290323</v>
      </c>
      <c r="AG145" s="231"/>
      <c r="BC145" s="35"/>
      <c r="BD145" s="35"/>
      <c r="BE145" s="35"/>
      <c r="BF145" s="35"/>
      <c r="BG145" s="35"/>
      <c r="BZ145" s="278" t="s">
        <v>23</v>
      </c>
      <c r="CC145">
        <v>0</v>
      </c>
      <c r="CD145">
        <v>0</v>
      </c>
      <c r="CE145">
        <v>0</v>
      </c>
      <c r="CF145">
        <v>0</v>
      </c>
      <c r="CL145" s="26" t="s">
        <v>172</v>
      </c>
      <c r="DH145">
        <v>22</v>
      </c>
      <c r="DI145">
        <v>23</v>
      </c>
      <c r="DJ145">
        <v>23</v>
      </c>
      <c r="DK145">
        <v>22</v>
      </c>
      <c r="DL145">
        <v>20</v>
      </c>
      <c r="DM145">
        <v>15</v>
      </c>
      <c r="EM145">
        <v>0</v>
      </c>
      <c r="EN145">
        <v>0</v>
      </c>
      <c r="EO145">
        <v>0</v>
      </c>
      <c r="EP145">
        <v>23</v>
      </c>
      <c r="GS145" s="26">
        <v>30</v>
      </c>
      <c r="GT145" s="16">
        <v>4464</v>
      </c>
      <c r="GU145">
        <v>23</v>
      </c>
      <c r="GV145" s="16">
        <v>3325000</v>
      </c>
      <c r="GW145" s="16">
        <v>0</v>
      </c>
      <c r="GX145" s="35">
        <v>13895720</v>
      </c>
      <c r="GY145" s="313">
        <v>4025000</v>
      </c>
      <c r="GZ145" s="332">
        <v>7931040</v>
      </c>
      <c r="HA145" s="35">
        <v>4865000</v>
      </c>
      <c r="HB145" s="35">
        <v>1099680</v>
      </c>
      <c r="HC145" s="13">
        <v>7.9138036748005861E-2</v>
      </c>
      <c r="HD145" s="13">
        <v>9.0659515295987286E-2</v>
      </c>
      <c r="HE145" s="16">
        <v>9021.5053763440865</v>
      </c>
      <c r="HF145" s="13">
        <v>0.10627731426301153</v>
      </c>
      <c r="HG145" s="13"/>
      <c r="HH145" s="1">
        <f t="shared" si="53"/>
        <v>-700000</v>
      </c>
      <c r="HI145" s="27">
        <f t="shared" si="54"/>
        <v>-0.21052631578947367</v>
      </c>
      <c r="HJ145" s="1">
        <f t="shared" si="55"/>
        <v>-700000</v>
      </c>
      <c r="HK145" s="27">
        <f t="shared" si="56"/>
        <v>-0.21052631578947367</v>
      </c>
      <c r="JO145"/>
      <c r="JP145"/>
      <c r="JS145"/>
      <c r="JT145"/>
      <c r="JV145"/>
      <c r="JZ145"/>
      <c r="KA145"/>
      <c r="KN145" s="278" t="s">
        <v>156</v>
      </c>
      <c r="LJ145">
        <v>212</v>
      </c>
      <c r="LK145">
        <v>275</v>
      </c>
      <c r="LL145">
        <v>271</v>
      </c>
      <c r="LM145">
        <v>263</v>
      </c>
      <c r="LN145">
        <v>251</v>
      </c>
      <c r="LO145">
        <v>168</v>
      </c>
      <c r="MI145">
        <v>0</v>
      </c>
      <c r="MJ145">
        <v>0</v>
      </c>
      <c r="MK145">
        <v>0</v>
      </c>
      <c r="ML145">
        <v>1440</v>
      </c>
    </row>
    <row r="146" spans="2:350">
      <c r="B146" s="27">
        <f t="shared" si="61"/>
        <v>1.5263124510607715</v>
      </c>
      <c r="C146" s="27">
        <f t="shared" si="62"/>
        <v>-9.2225376442572768E-2</v>
      </c>
      <c r="D146" s="1" t="e">
        <f t="shared" si="63"/>
        <v>#DIV/0!</v>
      </c>
      <c r="E146" s="371" t="s">
        <v>181</v>
      </c>
      <c r="F146" s="85">
        <v>-0.1047217868338558</v>
      </c>
      <c r="G146" s="85">
        <v>0</v>
      </c>
      <c r="H146" s="85">
        <v>-0.10830261153667851</v>
      </c>
      <c r="I146" s="85">
        <v>-0.10830261153667851</v>
      </c>
      <c r="J146" s="85">
        <v>2.2222222222222223E-2</v>
      </c>
      <c r="K146" s="85">
        <v>0</v>
      </c>
      <c r="L146" s="85">
        <v>-0.2</v>
      </c>
      <c r="M146" s="85">
        <v>-8.8852527287615266E-2</v>
      </c>
      <c r="N146" s="85">
        <v>-0.16530362447083038</v>
      </c>
      <c r="O146" s="85">
        <v>9.9882491186839006E-3</v>
      </c>
      <c r="P146" s="85">
        <v>0</v>
      </c>
      <c r="Q146" s="85">
        <v>0</v>
      </c>
      <c r="R146" s="85">
        <v>-1</v>
      </c>
      <c r="S146" s="85">
        <v>0</v>
      </c>
      <c r="T146" s="85">
        <v>-9.7755815812156366E-2</v>
      </c>
      <c r="U146" s="372">
        <v>0</v>
      </c>
      <c r="V146" s="85">
        <v>0</v>
      </c>
      <c r="W146" s="85">
        <v>0</v>
      </c>
      <c r="X146" s="85">
        <v>-0.42524951127819549</v>
      </c>
      <c r="Y146" s="85">
        <v>-1.3851521181433617E-2</v>
      </c>
      <c r="Z146" s="85">
        <v>-13.253214897317365</v>
      </c>
      <c r="AA146" s="85">
        <v>149.15968405059277</v>
      </c>
      <c r="AB146" s="85">
        <v>1.5263124510607715</v>
      </c>
      <c r="AC146" s="85">
        <v>1.0341936937010423</v>
      </c>
      <c r="AD146" s="85">
        <v>-9.2225376442572768E-2</v>
      </c>
      <c r="AF146" s="335"/>
      <c r="AG146" s="231"/>
      <c r="BC146" s="85"/>
      <c r="BD146" s="85"/>
      <c r="BE146" s="85"/>
      <c r="BF146" s="85"/>
      <c r="BG146" s="85"/>
      <c r="BZ146" s="278" t="s">
        <v>172</v>
      </c>
      <c r="CC146">
        <v>0</v>
      </c>
      <c r="CD146">
        <v>0</v>
      </c>
      <c r="CE146">
        <v>0</v>
      </c>
      <c r="CF146">
        <v>0</v>
      </c>
      <c r="CL146" s="26" t="s">
        <v>205</v>
      </c>
      <c r="EM146">
        <v>0</v>
      </c>
      <c r="EN146">
        <v>0</v>
      </c>
      <c r="EO146">
        <v>0</v>
      </c>
      <c r="EP146">
        <v>0</v>
      </c>
      <c r="GS146" s="26">
        <v>31</v>
      </c>
      <c r="GT146" s="16">
        <v>4186</v>
      </c>
      <c r="GU146">
        <v>21</v>
      </c>
      <c r="GV146" s="16">
        <v>3150000</v>
      </c>
      <c r="GW146" s="16">
        <v>0</v>
      </c>
      <c r="GX146" s="35">
        <v>12959360</v>
      </c>
      <c r="GY146" s="313">
        <v>3815000</v>
      </c>
      <c r="GZ146" s="332">
        <v>5170540</v>
      </c>
      <c r="HA146" s="35">
        <v>4655000</v>
      </c>
      <c r="HB146" s="35">
        <v>3133820</v>
      </c>
      <c r="HC146" s="13">
        <v>0.24181904044644181</v>
      </c>
      <c r="HD146" s="13">
        <v>6.062286871270247E-2</v>
      </c>
      <c r="HE146" s="16">
        <v>8967.0329670329666</v>
      </c>
      <c r="HF146" s="13">
        <v>7.7125959079283893E-2</v>
      </c>
      <c r="HG146" s="13"/>
      <c r="HH146" s="1">
        <f t="shared" si="53"/>
        <v>-665000</v>
      </c>
      <c r="HI146" s="27">
        <f t="shared" si="54"/>
        <v>-0.21111111111111111</v>
      </c>
      <c r="HJ146" s="1">
        <f t="shared" si="55"/>
        <v>-665000</v>
      </c>
      <c r="HK146" s="27">
        <f t="shared" si="56"/>
        <v>-0.21111111111111111</v>
      </c>
      <c r="JO146"/>
      <c r="JP146"/>
      <c r="JS146"/>
      <c r="JT146"/>
      <c r="JV146"/>
      <c r="JZ146"/>
      <c r="KA146"/>
      <c r="KN146" s="278" t="s">
        <v>162</v>
      </c>
      <c r="LO146">
        <v>246</v>
      </c>
      <c r="LP146">
        <v>247</v>
      </c>
      <c r="LQ146">
        <v>261</v>
      </c>
      <c r="LR146">
        <v>265</v>
      </c>
      <c r="LS146">
        <v>262</v>
      </c>
      <c r="MI146">
        <v>0</v>
      </c>
      <c r="MJ146">
        <v>0</v>
      </c>
      <c r="MK146">
        <v>0</v>
      </c>
      <c r="ML146">
        <v>1281</v>
      </c>
    </row>
    <row r="147" spans="2:350">
      <c r="B147" s="27">
        <f t="shared" si="61"/>
        <v>0.11285898208857739</v>
      </c>
      <c r="C147" s="27">
        <f t="shared" si="62"/>
        <v>0.1059487024895119</v>
      </c>
      <c r="D147" s="1">
        <f t="shared" si="63"/>
        <v>281166.66666666669</v>
      </c>
      <c r="E147" s="341">
        <v>152026</v>
      </c>
      <c r="F147" s="81">
        <v>9043</v>
      </c>
      <c r="G147" s="91">
        <v>30</v>
      </c>
      <c r="H147" s="81">
        <v>79614000</v>
      </c>
      <c r="I147" s="81">
        <v>20699640</v>
      </c>
      <c r="J147" s="81">
        <v>4425000</v>
      </c>
      <c r="K147" s="81">
        <v>0</v>
      </c>
      <c r="L147" s="310">
        <v>300000</v>
      </c>
      <c r="M147" s="81">
        <v>25424640</v>
      </c>
      <c r="N147" s="81">
        <v>8985155</v>
      </c>
      <c r="O147" s="81">
        <v>8435000</v>
      </c>
      <c r="P147" s="81">
        <v>0</v>
      </c>
      <c r="Q147" s="81">
        <v>0</v>
      </c>
      <c r="R147" s="81">
        <v>0</v>
      </c>
      <c r="S147" s="91">
        <v>0</v>
      </c>
      <c r="T147" s="246">
        <v>17420155</v>
      </c>
      <c r="U147" s="322">
        <v>7350000</v>
      </c>
      <c r="V147" s="81">
        <v>0</v>
      </c>
      <c r="W147" s="310">
        <v>900000</v>
      </c>
      <c r="X147" s="310">
        <v>286021.50537634408</v>
      </c>
      <c r="Y147" s="246">
        <v>8536021.5053763445</v>
      </c>
      <c r="Z147" s="246">
        <v>-531536.50537634641</v>
      </c>
      <c r="AA147" s="244">
        <v>-2.090635326110208E-2</v>
      </c>
      <c r="AB147" s="244">
        <v>0.11285898208857739</v>
      </c>
      <c r="AC147" s="81">
        <v>8803.936746654872</v>
      </c>
      <c r="AD147" s="244">
        <v>0.1059487024895119</v>
      </c>
      <c r="AF147" s="244"/>
      <c r="AG147" s="231"/>
      <c r="BC147" s="35"/>
      <c r="BD147" s="35"/>
      <c r="BE147" s="35"/>
      <c r="BF147" s="35"/>
      <c r="BG147" s="35"/>
      <c r="BZ147" s="278" t="s">
        <v>205</v>
      </c>
      <c r="CC147">
        <v>0</v>
      </c>
      <c r="CD147">
        <v>0</v>
      </c>
      <c r="CE147">
        <v>0</v>
      </c>
      <c r="CF147">
        <v>0</v>
      </c>
      <c r="CL147" s="26" t="s">
        <v>173</v>
      </c>
      <c r="DH147">
        <v>9</v>
      </c>
      <c r="DI147">
        <v>13</v>
      </c>
      <c r="DJ147">
        <v>12</v>
      </c>
      <c r="DK147">
        <v>12</v>
      </c>
      <c r="DL147">
        <v>18</v>
      </c>
      <c r="DM147">
        <v>19</v>
      </c>
      <c r="EM147">
        <v>0</v>
      </c>
      <c r="EN147">
        <v>0</v>
      </c>
      <c r="EO147">
        <v>0</v>
      </c>
      <c r="EP147">
        <v>19</v>
      </c>
      <c r="GS147" s="26">
        <v>32</v>
      </c>
      <c r="GT147" s="16">
        <v>4992</v>
      </c>
      <c r="GU147">
        <v>25</v>
      </c>
      <c r="GV147" s="16">
        <v>3525000</v>
      </c>
      <c r="GW147" s="16">
        <v>0</v>
      </c>
      <c r="GX147" s="35">
        <v>15155840</v>
      </c>
      <c r="GY147" s="313">
        <v>4515000</v>
      </c>
      <c r="GZ147" s="332">
        <v>8959580</v>
      </c>
      <c r="HA147" s="35">
        <v>5355000</v>
      </c>
      <c r="HB147" s="35">
        <v>841260</v>
      </c>
      <c r="HC147" s="13">
        <v>5.5507315991723323E-2</v>
      </c>
      <c r="HD147" s="13">
        <v>9.7120311172709792E-2</v>
      </c>
      <c r="HE147" s="16">
        <v>8961.1378205128203</v>
      </c>
      <c r="HF147" s="13">
        <v>0.10316537756516296</v>
      </c>
      <c r="HG147" s="13"/>
      <c r="HH147" s="1">
        <f t="shared" si="53"/>
        <v>-990000</v>
      </c>
      <c r="HI147" s="27">
        <f t="shared" si="54"/>
        <v>-0.28085106382978725</v>
      </c>
      <c r="HJ147" s="1">
        <f t="shared" si="55"/>
        <v>-990000</v>
      </c>
      <c r="HK147" s="27">
        <f t="shared" si="56"/>
        <v>-0.28085106382978725</v>
      </c>
      <c r="JO147"/>
      <c r="JP147"/>
      <c r="JS147"/>
      <c r="JT147"/>
      <c r="JV147"/>
      <c r="JZ147"/>
      <c r="KA147"/>
      <c r="KN147" s="278" t="s">
        <v>163</v>
      </c>
      <c r="LS147">
        <v>262</v>
      </c>
      <c r="LT147">
        <v>263</v>
      </c>
      <c r="LU147">
        <v>254</v>
      </c>
      <c r="LV147" s="379">
        <v>248</v>
      </c>
      <c r="LW147">
        <v>251</v>
      </c>
      <c r="MI147">
        <v>0</v>
      </c>
      <c r="MJ147">
        <v>0</v>
      </c>
      <c r="MK147">
        <v>0</v>
      </c>
      <c r="ML147">
        <v>1278</v>
      </c>
    </row>
    <row r="148" spans="2:350">
      <c r="B148" s="27">
        <f t="shared" si="61"/>
        <v>0.87321041451200576</v>
      </c>
      <c r="C148" s="27">
        <f t="shared" si="62"/>
        <v>1.2831652659395989</v>
      </c>
      <c r="D148" s="1">
        <f t="shared" si="63"/>
        <v>0.57707969749854571</v>
      </c>
      <c r="E148" s="390" t="s">
        <v>182</v>
      </c>
      <c r="F148" s="349">
        <v>-1.0504431557063137E-2</v>
      </c>
      <c r="G148" s="349">
        <v>-3.2258064516129031E-2</v>
      </c>
      <c r="H148" s="349">
        <v>-1.4507464164582972E-2</v>
      </c>
      <c r="I148" s="349">
        <v>-1.4507464164582972E-2</v>
      </c>
      <c r="J148" s="349">
        <v>-3.8043478260869568E-2</v>
      </c>
      <c r="K148" s="349">
        <v>0</v>
      </c>
      <c r="L148" s="349">
        <v>0</v>
      </c>
      <c r="M148" s="349">
        <v>-1.8518890256312065E-2</v>
      </c>
      <c r="N148" s="349">
        <v>-1.2668068796673567E-2</v>
      </c>
      <c r="O148" s="349">
        <v>-1.8615474112856311E-2</v>
      </c>
      <c r="P148" s="349">
        <v>0</v>
      </c>
      <c r="Q148" s="349">
        <v>0</v>
      </c>
      <c r="R148" s="349">
        <v>0</v>
      </c>
      <c r="S148" s="349">
        <v>0</v>
      </c>
      <c r="T148" s="349">
        <v>-1.5556832720746136E-2</v>
      </c>
      <c r="U148" s="391">
        <v>-3.2258064516129031E-2</v>
      </c>
      <c r="V148" s="349">
        <v>0</v>
      </c>
      <c r="W148" s="349">
        <v>0</v>
      </c>
      <c r="X148" s="349">
        <v>0.73988542789048106</v>
      </c>
      <c r="Y148" s="349">
        <v>-1.4246901961541575E-2</v>
      </c>
      <c r="Z148" s="349">
        <v>0.17995721228746692</v>
      </c>
      <c r="AA148" s="349">
        <v>-9.7174943960872309</v>
      </c>
      <c r="AB148" s="349">
        <v>0.87321041451200576</v>
      </c>
      <c r="AC148" s="349">
        <v>1.3810803645846226</v>
      </c>
      <c r="AD148" s="349">
        <v>1.2831652659395989</v>
      </c>
      <c r="AF148" s="85"/>
      <c r="AG148" s="231"/>
      <c r="BC148" s="85"/>
      <c r="BD148" s="85"/>
      <c r="BE148" s="85"/>
      <c r="BF148" s="85"/>
      <c r="BG148" s="85"/>
      <c r="BZ148" s="278" t="s">
        <v>173</v>
      </c>
      <c r="CC148">
        <v>0</v>
      </c>
      <c r="CD148">
        <v>0</v>
      </c>
      <c r="CE148">
        <v>0</v>
      </c>
      <c r="CF148">
        <v>0</v>
      </c>
      <c r="CL148" s="26" t="s">
        <v>174</v>
      </c>
      <c r="DH148">
        <v>19</v>
      </c>
      <c r="DI148">
        <v>22</v>
      </c>
      <c r="DJ148">
        <v>22</v>
      </c>
      <c r="DK148">
        <v>28</v>
      </c>
      <c r="DL148">
        <v>26</v>
      </c>
      <c r="DM148">
        <v>25</v>
      </c>
      <c r="EM148">
        <v>0</v>
      </c>
      <c r="EN148">
        <v>0</v>
      </c>
      <c r="EO148">
        <v>0</v>
      </c>
      <c r="EP148">
        <v>28</v>
      </c>
      <c r="GS148" s="26">
        <v>33</v>
      </c>
      <c r="GT148" s="16">
        <v>4767</v>
      </c>
      <c r="GU148">
        <v>24</v>
      </c>
      <c r="GV148" s="16">
        <v>3550000</v>
      </c>
      <c r="GW148" s="16">
        <v>0</v>
      </c>
      <c r="GX148" s="35">
        <v>14698800</v>
      </c>
      <c r="GY148" s="313">
        <v>4305000</v>
      </c>
      <c r="GZ148" s="332">
        <v>8568960</v>
      </c>
      <c r="HA148" s="35">
        <v>5005000</v>
      </c>
      <c r="HB148" s="35">
        <v>1124840</v>
      </c>
      <c r="HC148" s="13">
        <v>7.6525974909516417E-2</v>
      </c>
      <c r="HD148" s="13">
        <v>9.7340485074626865E-2</v>
      </c>
      <c r="HE148" s="16">
        <v>8995.1751625760444</v>
      </c>
      <c r="HF148" s="13">
        <v>0.10249533582089553</v>
      </c>
      <c r="HG148" s="13"/>
      <c r="HH148" s="1">
        <f t="shared" si="53"/>
        <v>-755000</v>
      </c>
      <c r="HI148" s="27">
        <f t="shared" si="54"/>
        <v>-0.21267605633802816</v>
      </c>
      <c r="HJ148" s="1">
        <f t="shared" si="55"/>
        <v>-755000</v>
      </c>
      <c r="HK148" s="27">
        <f t="shared" si="56"/>
        <v>-0.21267605633802816</v>
      </c>
      <c r="JO148"/>
      <c r="JP148"/>
      <c r="JS148"/>
      <c r="JT148"/>
      <c r="JV148"/>
      <c r="JZ148"/>
      <c r="KA148"/>
      <c r="KN148" s="278" t="s">
        <v>164</v>
      </c>
      <c r="LX148">
        <v>244</v>
      </c>
      <c r="LY148">
        <v>247</v>
      </c>
      <c r="LZ148">
        <v>239</v>
      </c>
      <c r="MA148">
        <v>251</v>
      </c>
      <c r="MB148">
        <v>224</v>
      </c>
      <c r="MI148">
        <v>0</v>
      </c>
      <c r="MJ148">
        <v>0</v>
      </c>
      <c r="MK148">
        <v>0</v>
      </c>
      <c r="ML148">
        <v>1205</v>
      </c>
    </row>
    <row r="149" spans="2:350">
      <c r="B149" s="27"/>
      <c r="C149" s="27"/>
      <c r="D149" s="1"/>
      <c r="E149" s="26" t="s">
        <v>205</v>
      </c>
      <c r="F149" s="16">
        <v>30877.435820552284</v>
      </c>
      <c r="G149">
        <v>12</v>
      </c>
      <c r="H149" s="16">
        <v>61862939.268173002</v>
      </c>
      <c r="I149" s="16">
        <v>4844448.768172998</v>
      </c>
      <c r="J149" s="16">
        <v>0</v>
      </c>
      <c r="K149" s="16">
        <v>0</v>
      </c>
      <c r="L149" s="123">
        <v>0</v>
      </c>
      <c r="M149" s="16">
        <v>4844448.768172998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>
        <v>0</v>
      </c>
      <c r="T149" s="12">
        <v>0</v>
      </c>
      <c r="U149" s="313">
        <v>0</v>
      </c>
      <c r="V149" s="16">
        <v>0</v>
      </c>
      <c r="W149" s="123">
        <v>5541666.7809523819</v>
      </c>
      <c r="X149" s="123">
        <v>0</v>
      </c>
      <c r="Y149" s="12">
        <v>5416666.7809523819</v>
      </c>
      <c r="Z149" s="12">
        <v>-572123.8791397243</v>
      </c>
      <c r="AA149" s="13">
        <v>-0.11809886047272436</v>
      </c>
      <c r="AB149" s="13">
        <v>0</v>
      </c>
      <c r="AC149" s="16">
        <v>2003.4998899421728</v>
      </c>
      <c r="AD149" s="13">
        <v>0</v>
      </c>
      <c r="AF149" s="13"/>
      <c r="AG149" s="231"/>
      <c r="BC149" s="157"/>
      <c r="BD149" s="157"/>
      <c r="BE149" s="157"/>
      <c r="BF149" s="157"/>
      <c r="BG149" s="157"/>
      <c r="BZ149" s="278" t="s">
        <v>174</v>
      </c>
      <c r="CC149">
        <v>0</v>
      </c>
      <c r="CD149">
        <v>0</v>
      </c>
      <c r="CE149">
        <v>0</v>
      </c>
      <c r="CF149">
        <v>0</v>
      </c>
      <c r="CL149" s="26" t="s">
        <v>203</v>
      </c>
      <c r="EM149">
        <v>0</v>
      </c>
      <c r="EN149">
        <v>0</v>
      </c>
      <c r="EO149">
        <v>0</v>
      </c>
      <c r="EP149">
        <v>0</v>
      </c>
      <c r="GS149" s="26">
        <v>34</v>
      </c>
      <c r="GT149" s="16">
        <v>4096</v>
      </c>
      <c r="GU149">
        <v>27</v>
      </c>
      <c r="GV149" s="16">
        <v>3700000</v>
      </c>
      <c r="GW149" s="16">
        <v>0</v>
      </c>
      <c r="GX149" s="35">
        <v>13248320</v>
      </c>
      <c r="GY149" s="313">
        <v>4270000</v>
      </c>
      <c r="GZ149" s="332">
        <v>7623040</v>
      </c>
      <c r="HA149" s="35">
        <v>4970000</v>
      </c>
      <c r="HB149" s="35">
        <v>655280</v>
      </c>
      <c r="HC149" s="13">
        <v>4.9461365667495955E-2</v>
      </c>
      <c r="HD149" s="13">
        <v>9.0209679185371733E-2</v>
      </c>
      <c r="HE149" s="16">
        <v>8918.9453125</v>
      </c>
      <c r="HF149" s="13">
        <v>0.11845779043030767</v>
      </c>
      <c r="HG149" s="13"/>
      <c r="HH149" s="1">
        <f t="shared" si="53"/>
        <v>-570000</v>
      </c>
      <c r="HI149" s="27">
        <f t="shared" si="54"/>
        <v>-0.15405405405405406</v>
      </c>
      <c r="HJ149" s="1">
        <f t="shared" si="55"/>
        <v>-570000</v>
      </c>
      <c r="HK149" s="27">
        <f t="shared" si="56"/>
        <v>-0.15405405405405406</v>
      </c>
      <c r="JO149"/>
      <c r="JP149"/>
      <c r="JS149"/>
      <c r="JT149"/>
      <c r="JV149"/>
      <c r="JZ149"/>
      <c r="KA149"/>
      <c r="KN149" s="278" t="s">
        <v>165</v>
      </c>
      <c r="MB149">
        <v>243</v>
      </c>
      <c r="MC149">
        <v>252</v>
      </c>
      <c r="MD149">
        <v>243</v>
      </c>
      <c r="ME149">
        <v>246</v>
      </c>
      <c r="MF149">
        <v>239</v>
      </c>
      <c r="MI149">
        <v>0</v>
      </c>
      <c r="MJ149">
        <v>0</v>
      </c>
      <c r="MK149">
        <v>0</v>
      </c>
      <c r="ML149">
        <v>1223</v>
      </c>
    </row>
    <row r="150" spans="2:350">
      <c r="B150" s="27">
        <f t="shared" si="61"/>
        <v>0</v>
      </c>
      <c r="C150" s="27">
        <f t="shared" si="62"/>
        <v>0</v>
      </c>
      <c r="D150" s="1">
        <f t="shared" si="63"/>
        <v>0</v>
      </c>
      <c r="E150" s="278">
        <v>41</v>
      </c>
      <c r="F150" s="16">
        <v>99</v>
      </c>
      <c r="G150">
        <v>1</v>
      </c>
      <c r="H150" s="16">
        <v>200000</v>
      </c>
      <c r="I150" s="16">
        <v>14000.000000000002</v>
      </c>
      <c r="J150" s="16">
        <v>0</v>
      </c>
      <c r="K150" s="16">
        <v>0</v>
      </c>
      <c r="L150" s="123">
        <v>0</v>
      </c>
      <c r="M150" s="16">
        <v>14000.000000000002</v>
      </c>
      <c r="N150" s="16">
        <v>0</v>
      </c>
      <c r="O150" s="16">
        <v>0</v>
      </c>
      <c r="P150" s="16">
        <v>0</v>
      </c>
      <c r="Q150" s="16"/>
      <c r="R150" s="16">
        <v>0</v>
      </c>
      <c r="S150"/>
      <c r="T150" s="12">
        <v>0</v>
      </c>
      <c r="U150" s="313">
        <v>0</v>
      </c>
      <c r="V150" s="16">
        <v>0</v>
      </c>
      <c r="W150" s="123">
        <v>0</v>
      </c>
      <c r="X150" s="123">
        <v>0</v>
      </c>
      <c r="Y150" s="12">
        <v>0</v>
      </c>
      <c r="Z150" s="12">
        <v>14000.000000000002</v>
      </c>
      <c r="AA150" s="13">
        <v>1</v>
      </c>
      <c r="AB150" s="13">
        <v>0</v>
      </c>
      <c r="AC150" s="16">
        <v>2020.2020202020201</v>
      </c>
      <c r="AD150" s="13">
        <v>0</v>
      </c>
      <c r="AF150" s="1">
        <f t="shared" ref="AF150:AF207" si="64">F150/G150</f>
        <v>99</v>
      </c>
      <c r="AG150" s="231"/>
      <c r="BZ150" s="278" t="s">
        <v>203</v>
      </c>
      <c r="CC150">
        <v>0</v>
      </c>
      <c r="CD150">
        <v>0</v>
      </c>
      <c r="CE150">
        <v>0</v>
      </c>
      <c r="CF150">
        <v>0</v>
      </c>
      <c r="CL150" s="26" t="s">
        <v>175</v>
      </c>
      <c r="DI150">
        <v>4</v>
      </c>
      <c r="DJ150">
        <v>3</v>
      </c>
      <c r="DK150">
        <v>12</v>
      </c>
      <c r="DL150">
        <v>2</v>
      </c>
      <c r="EM150">
        <v>0</v>
      </c>
      <c r="EN150">
        <v>0</v>
      </c>
      <c r="EO150">
        <v>0</v>
      </c>
      <c r="EP150">
        <v>12</v>
      </c>
      <c r="GS150" s="26">
        <v>35</v>
      </c>
      <c r="GT150" s="16">
        <v>4709</v>
      </c>
      <c r="GU150">
        <v>27</v>
      </c>
      <c r="GV150" s="16">
        <v>4395000</v>
      </c>
      <c r="GW150" s="16">
        <v>0</v>
      </c>
      <c r="GX150" s="35">
        <v>15581520</v>
      </c>
      <c r="GY150" s="313">
        <v>4865000</v>
      </c>
      <c r="GZ150" s="332">
        <v>10723780</v>
      </c>
      <c r="HA150" s="35">
        <v>5565000</v>
      </c>
      <c r="HB150" s="35">
        <v>-707260</v>
      </c>
      <c r="HC150" s="13">
        <v>-4.539095030523338E-2</v>
      </c>
      <c r="HD150" s="13">
        <v>8.9105119002644506E-2</v>
      </c>
      <c r="HE150" s="16">
        <v>8993.8415799532813</v>
      </c>
      <c r="HF150" s="13">
        <v>0.16410086890819797</v>
      </c>
      <c r="HG150" s="13"/>
      <c r="HH150" s="1">
        <f t="shared" si="53"/>
        <v>-470000</v>
      </c>
      <c r="HI150" s="27">
        <f t="shared" si="54"/>
        <v>-0.10693970420932879</v>
      </c>
      <c r="HJ150" s="1">
        <f t="shared" si="55"/>
        <v>-470000</v>
      </c>
      <c r="HK150" s="27">
        <f t="shared" si="56"/>
        <v>-0.10693970420932879</v>
      </c>
      <c r="JO150"/>
      <c r="JP150"/>
      <c r="JS150"/>
      <c r="JT150"/>
      <c r="JV150"/>
      <c r="JZ150"/>
      <c r="KA150"/>
      <c r="KN150" s="278" t="s">
        <v>36</v>
      </c>
      <c r="MF150">
        <v>227</v>
      </c>
      <c r="MG150">
        <v>251</v>
      </c>
      <c r="MH150">
        <v>244</v>
      </c>
      <c r="MI150">
        <v>0</v>
      </c>
      <c r="MJ150">
        <v>0</v>
      </c>
      <c r="MK150">
        <v>0</v>
      </c>
      <c r="ML150">
        <v>722</v>
      </c>
    </row>
    <row r="151" spans="2:350">
      <c r="B151" s="27">
        <f t="shared" si="61"/>
        <v>0</v>
      </c>
      <c r="C151" s="27">
        <f t="shared" si="62"/>
        <v>0</v>
      </c>
      <c r="D151" s="1">
        <f t="shared" si="63"/>
        <v>0</v>
      </c>
      <c r="E151" s="278">
        <v>42</v>
      </c>
      <c r="F151" s="16">
        <v>206</v>
      </c>
      <c r="G151">
        <v>1</v>
      </c>
      <c r="H151" s="16">
        <v>396300</v>
      </c>
      <c r="I151" s="16">
        <v>27741.000000000004</v>
      </c>
      <c r="J151" s="16">
        <v>0</v>
      </c>
      <c r="K151" s="16">
        <v>0</v>
      </c>
      <c r="L151" s="123">
        <v>0</v>
      </c>
      <c r="M151" s="16">
        <v>27741.000000000004</v>
      </c>
      <c r="N151" s="16">
        <v>0</v>
      </c>
      <c r="O151" s="16">
        <v>0</v>
      </c>
      <c r="P151" s="16">
        <v>0</v>
      </c>
      <c r="Q151" s="16"/>
      <c r="R151" s="16">
        <v>0</v>
      </c>
      <c r="S151"/>
      <c r="T151" s="12">
        <v>0</v>
      </c>
      <c r="U151" s="313">
        <v>0</v>
      </c>
      <c r="V151" s="16">
        <v>0</v>
      </c>
      <c r="W151" s="123">
        <v>125000</v>
      </c>
      <c r="X151" s="123">
        <v>0</v>
      </c>
      <c r="Y151" s="12">
        <v>125000</v>
      </c>
      <c r="Z151" s="12">
        <v>-97259</v>
      </c>
      <c r="AA151" s="13">
        <v>-3.5059658988500773</v>
      </c>
      <c r="AB151" s="13">
        <v>0</v>
      </c>
      <c r="AC151" s="16">
        <v>1923.7864077669904</v>
      </c>
      <c r="AD151" s="13">
        <v>0</v>
      </c>
      <c r="AF151" s="1">
        <f t="shared" si="64"/>
        <v>206</v>
      </c>
      <c r="AG151" s="231"/>
      <c r="BZ151" s="278" t="s">
        <v>175</v>
      </c>
      <c r="CC151">
        <v>0</v>
      </c>
      <c r="CD151">
        <v>0</v>
      </c>
      <c r="CE151">
        <v>0</v>
      </c>
      <c r="CF151">
        <v>0</v>
      </c>
      <c r="CL151" s="26" t="s">
        <v>200</v>
      </c>
      <c r="EM151">
        <v>0</v>
      </c>
      <c r="EN151">
        <v>0</v>
      </c>
      <c r="EO151">
        <v>0</v>
      </c>
      <c r="EP151">
        <v>0</v>
      </c>
      <c r="GS151" s="26">
        <v>36</v>
      </c>
      <c r="GT151" s="16">
        <v>4847</v>
      </c>
      <c r="GU151">
        <v>27</v>
      </c>
      <c r="GV151" s="16">
        <v>3950000</v>
      </c>
      <c r="GW151" s="16">
        <v>0</v>
      </c>
      <c r="GX151" s="35">
        <v>15277680</v>
      </c>
      <c r="GY151" s="313">
        <v>5005000</v>
      </c>
      <c r="GZ151" s="332">
        <v>11219900</v>
      </c>
      <c r="HA151" s="35">
        <v>5705000</v>
      </c>
      <c r="HB151" s="35">
        <v>-1647220</v>
      </c>
      <c r="HC151" s="13">
        <v>-0.10781872640348535</v>
      </c>
      <c r="HD151" s="13">
        <v>9.3414891663606323E-2</v>
      </c>
      <c r="HE151" s="16">
        <v>8988.6527749123161</v>
      </c>
      <c r="HF151" s="13">
        <v>0.16411127432978334</v>
      </c>
      <c r="HG151" s="13"/>
      <c r="HH151" s="1">
        <f t="shared" si="53"/>
        <v>-1055000</v>
      </c>
      <c r="HI151" s="27">
        <f t="shared" si="54"/>
        <v>-0.26708860759493669</v>
      </c>
      <c r="HJ151" s="1">
        <f t="shared" si="55"/>
        <v>-1055000</v>
      </c>
      <c r="HK151" s="27">
        <f t="shared" si="56"/>
        <v>-0.26708860759493669</v>
      </c>
      <c r="JO151"/>
      <c r="JP151"/>
      <c r="JS151"/>
      <c r="JT151"/>
      <c r="JV151"/>
      <c r="JZ151"/>
      <c r="KA151"/>
      <c r="KN151" s="278" t="s">
        <v>166</v>
      </c>
      <c r="MI151">
        <v>0</v>
      </c>
      <c r="MJ151">
        <v>0</v>
      </c>
      <c r="MK151">
        <v>0</v>
      </c>
      <c r="ML151">
        <v>0</v>
      </c>
    </row>
    <row r="152" spans="2:350">
      <c r="B152" s="27">
        <f t="shared" si="61"/>
        <v>0</v>
      </c>
      <c r="C152" s="27">
        <f t="shared" si="62"/>
        <v>0</v>
      </c>
      <c r="D152" s="1">
        <f t="shared" si="63"/>
        <v>0</v>
      </c>
      <c r="E152" s="278">
        <v>43</v>
      </c>
      <c r="F152" s="16">
        <v>223</v>
      </c>
      <c r="G152">
        <v>1</v>
      </c>
      <c r="H152" s="16">
        <v>403900</v>
      </c>
      <c r="I152" s="16">
        <v>28273.000000000004</v>
      </c>
      <c r="J152" s="16">
        <v>0</v>
      </c>
      <c r="K152" s="16">
        <v>0</v>
      </c>
      <c r="L152" s="123">
        <v>0</v>
      </c>
      <c r="M152" s="16">
        <v>28273.000000000004</v>
      </c>
      <c r="N152" s="16">
        <v>0</v>
      </c>
      <c r="O152" s="16">
        <v>0</v>
      </c>
      <c r="P152" s="16">
        <v>0</v>
      </c>
      <c r="Q152" s="16"/>
      <c r="R152" s="16">
        <v>0</v>
      </c>
      <c r="S152"/>
      <c r="T152" s="12">
        <v>0</v>
      </c>
      <c r="U152" s="313">
        <v>0</v>
      </c>
      <c r="V152" s="16">
        <v>0</v>
      </c>
      <c r="W152" s="123">
        <v>175000</v>
      </c>
      <c r="X152" s="123">
        <v>0</v>
      </c>
      <c r="Y152" s="12">
        <v>175000</v>
      </c>
      <c r="Z152" s="12">
        <v>-146727</v>
      </c>
      <c r="AA152" s="13">
        <v>-5.1896509036890315</v>
      </c>
      <c r="AB152" s="13">
        <v>0</v>
      </c>
      <c r="AC152" s="16">
        <v>1811.2107623318386</v>
      </c>
      <c r="AD152" s="13">
        <v>0</v>
      </c>
      <c r="AF152" s="1">
        <f t="shared" si="64"/>
        <v>223</v>
      </c>
      <c r="AG152" s="231"/>
      <c r="BZ152" s="278" t="s">
        <v>200</v>
      </c>
      <c r="CC152">
        <v>0</v>
      </c>
      <c r="CD152">
        <v>0</v>
      </c>
      <c r="CE152">
        <v>0</v>
      </c>
      <c r="CF152">
        <v>0</v>
      </c>
      <c r="CL152" s="26" t="s">
        <v>176</v>
      </c>
      <c r="DJ152">
        <v>9</v>
      </c>
      <c r="DK152">
        <v>2</v>
      </c>
      <c r="DL152">
        <v>10</v>
      </c>
      <c r="DM152">
        <v>7</v>
      </c>
      <c r="EM152">
        <v>0</v>
      </c>
      <c r="EN152">
        <v>0</v>
      </c>
      <c r="EO152">
        <v>0</v>
      </c>
      <c r="EP152">
        <v>10</v>
      </c>
      <c r="GS152" s="26">
        <v>37</v>
      </c>
      <c r="GT152" s="16">
        <v>4991</v>
      </c>
      <c r="GU152">
        <v>26</v>
      </c>
      <c r="GV152" s="16">
        <v>4150000</v>
      </c>
      <c r="GW152" s="16">
        <v>0</v>
      </c>
      <c r="GX152" s="35">
        <v>15426280</v>
      </c>
      <c r="GY152" s="313">
        <v>5250000</v>
      </c>
      <c r="GZ152" s="332">
        <v>11290960</v>
      </c>
      <c r="HA152" s="35">
        <v>5990000</v>
      </c>
      <c r="HB152" s="35">
        <v>-1854680</v>
      </c>
      <c r="HC152" s="13">
        <v>-0.12022859691383794</v>
      </c>
      <c r="HD152" s="13">
        <v>8.7798415859928661E-2</v>
      </c>
      <c r="HE152" s="16">
        <v>8651.1721097976351</v>
      </c>
      <c r="HF152" s="13">
        <v>0.17369956922506832</v>
      </c>
      <c r="HG152" s="13"/>
      <c r="HH152" s="1">
        <f t="shared" si="53"/>
        <v>-1100000</v>
      </c>
      <c r="HI152" s="27">
        <f t="shared" si="54"/>
        <v>-0.26506024096385544</v>
      </c>
      <c r="HJ152" s="1">
        <f t="shared" si="55"/>
        <v>-1100000</v>
      </c>
      <c r="HK152" s="27">
        <f t="shared" si="56"/>
        <v>-0.26506024096385544</v>
      </c>
      <c r="JO152"/>
      <c r="JP152"/>
      <c r="JS152"/>
      <c r="JT152"/>
      <c r="JV152"/>
      <c r="JZ152"/>
      <c r="KA152"/>
      <c r="KN152" s="26" t="s">
        <v>172</v>
      </c>
      <c r="KO152">
        <v>19</v>
      </c>
      <c r="KP152">
        <v>19</v>
      </c>
      <c r="KQ152">
        <v>20</v>
      </c>
      <c r="KR152">
        <v>28</v>
      </c>
      <c r="KS152">
        <v>57</v>
      </c>
      <c r="KT152">
        <v>32</v>
      </c>
      <c r="KU152">
        <v>31</v>
      </c>
      <c r="KV152">
        <v>34</v>
      </c>
      <c r="KW152">
        <v>58</v>
      </c>
      <c r="KX152">
        <v>29</v>
      </c>
      <c r="KY152">
        <v>21</v>
      </c>
      <c r="KZ152">
        <v>20</v>
      </c>
      <c r="LA152">
        <v>20</v>
      </c>
      <c r="LB152">
        <v>37</v>
      </c>
      <c r="LC152">
        <v>21</v>
      </c>
      <c r="LD152">
        <v>21</v>
      </c>
      <c r="LE152">
        <v>25</v>
      </c>
      <c r="LF152">
        <v>46</v>
      </c>
      <c r="LG152">
        <v>25</v>
      </c>
      <c r="LH152">
        <v>22</v>
      </c>
      <c r="LI152">
        <v>21</v>
      </c>
      <c r="LJ152">
        <v>44</v>
      </c>
      <c r="LK152">
        <v>23</v>
      </c>
      <c r="LL152">
        <v>23</v>
      </c>
      <c r="LM152">
        <v>22</v>
      </c>
      <c r="LN152">
        <v>20</v>
      </c>
      <c r="LO152">
        <v>35</v>
      </c>
      <c r="LP152">
        <v>19</v>
      </c>
      <c r="LQ152">
        <v>21</v>
      </c>
      <c r="LR152">
        <v>23</v>
      </c>
      <c r="LS152">
        <v>44</v>
      </c>
      <c r="LT152">
        <v>21</v>
      </c>
      <c r="LU152">
        <v>21</v>
      </c>
      <c r="LV152">
        <v>24</v>
      </c>
      <c r="LW152">
        <v>26</v>
      </c>
      <c r="LX152">
        <v>25</v>
      </c>
      <c r="LY152">
        <v>24</v>
      </c>
      <c r="LZ152">
        <v>24</v>
      </c>
      <c r="MA152">
        <v>27</v>
      </c>
      <c r="MB152">
        <v>47</v>
      </c>
      <c r="MC152">
        <v>21</v>
      </c>
      <c r="MD152">
        <v>22</v>
      </c>
      <c r="ME152">
        <v>20</v>
      </c>
      <c r="MF152">
        <v>37</v>
      </c>
      <c r="MG152">
        <v>21</v>
      </c>
      <c r="MH152">
        <v>26</v>
      </c>
      <c r="MI152">
        <v>0</v>
      </c>
      <c r="MJ152">
        <v>0</v>
      </c>
      <c r="MK152">
        <v>0</v>
      </c>
      <c r="ML152">
        <v>1266</v>
      </c>
    </row>
    <row r="153" spans="2:350">
      <c r="B153" s="27">
        <f t="shared" si="61"/>
        <v>0</v>
      </c>
      <c r="C153" s="27">
        <f t="shared" si="62"/>
        <v>0</v>
      </c>
      <c r="D153" s="1">
        <f t="shared" si="63"/>
        <v>0</v>
      </c>
      <c r="E153" s="278">
        <v>44</v>
      </c>
      <c r="F153" s="16">
        <v>599</v>
      </c>
      <c r="G153">
        <v>4</v>
      </c>
      <c r="H153" s="16">
        <v>1090800</v>
      </c>
      <c r="I153" s="16">
        <v>76356.000000000015</v>
      </c>
      <c r="J153" s="16">
        <v>0</v>
      </c>
      <c r="K153" s="16">
        <v>0</v>
      </c>
      <c r="L153" s="123">
        <v>0</v>
      </c>
      <c r="M153" s="16">
        <v>76356.000000000015</v>
      </c>
      <c r="N153" s="16">
        <v>0</v>
      </c>
      <c r="O153" s="16">
        <v>0</v>
      </c>
      <c r="P153" s="16">
        <v>0</v>
      </c>
      <c r="Q153" s="16"/>
      <c r="R153" s="16">
        <v>0</v>
      </c>
      <c r="S153"/>
      <c r="T153" s="12">
        <v>0</v>
      </c>
      <c r="U153" s="313">
        <v>0</v>
      </c>
      <c r="V153" s="16">
        <v>0</v>
      </c>
      <c r="W153" s="123">
        <v>175000</v>
      </c>
      <c r="X153" s="123">
        <v>0</v>
      </c>
      <c r="Y153" s="12">
        <v>50000</v>
      </c>
      <c r="Z153" s="12">
        <v>26356.000000000011</v>
      </c>
      <c r="AA153" s="13">
        <v>0.34517261249934528</v>
      </c>
      <c r="AB153" s="13">
        <v>0</v>
      </c>
      <c r="AC153" s="16">
        <v>1821.0350584307178</v>
      </c>
      <c r="AD153" s="13">
        <v>0</v>
      </c>
      <c r="AF153" s="1">
        <f t="shared" si="64"/>
        <v>149.75</v>
      </c>
      <c r="AG153" s="231"/>
      <c r="BZ153" s="278" t="s">
        <v>176</v>
      </c>
      <c r="CC153">
        <v>0</v>
      </c>
      <c r="CD153">
        <v>0</v>
      </c>
      <c r="CE153">
        <v>0</v>
      </c>
      <c r="CF153">
        <v>0</v>
      </c>
      <c r="CL153" s="26" t="s">
        <v>201</v>
      </c>
      <c r="EM153">
        <v>0</v>
      </c>
      <c r="EN153">
        <v>0</v>
      </c>
      <c r="EO153">
        <v>0</v>
      </c>
      <c r="EP153">
        <v>0</v>
      </c>
      <c r="GS153" s="26">
        <v>38</v>
      </c>
      <c r="GT153" s="16">
        <v>4521</v>
      </c>
      <c r="GU153">
        <v>29</v>
      </c>
      <c r="GV153" s="16">
        <v>4175000</v>
      </c>
      <c r="GW153" s="16">
        <v>0</v>
      </c>
      <c r="GX153" s="35">
        <v>14774200</v>
      </c>
      <c r="GY153" s="313">
        <v>5075000</v>
      </c>
      <c r="GZ153" s="332">
        <v>10672480</v>
      </c>
      <c r="HA153" s="35">
        <v>5775000</v>
      </c>
      <c r="HB153" s="35">
        <v>-1673280</v>
      </c>
      <c r="HC153" s="13">
        <v>-0.11325689377428219</v>
      </c>
      <c r="HD153" s="13">
        <v>8.4152446520776983E-2</v>
      </c>
      <c r="HE153" s="16">
        <v>8995.7973899579738</v>
      </c>
      <c r="HF153" s="13">
        <v>0.17826407671502337</v>
      </c>
      <c r="HG153" s="13"/>
      <c r="HH153" s="1">
        <f t="shared" si="53"/>
        <v>-900000</v>
      </c>
      <c r="HI153" s="27">
        <f t="shared" si="54"/>
        <v>-0.21556886227544911</v>
      </c>
      <c r="HJ153" s="1">
        <f t="shared" si="55"/>
        <v>-900000</v>
      </c>
      <c r="HK153" s="27">
        <f t="shared" si="56"/>
        <v>-0.21556886227544911</v>
      </c>
      <c r="JO153"/>
      <c r="JP153"/>
      <c r="JS153"/>
      <c r="JT153"/>
      <c r="JV153"/>
      <c r="JZ153"/>
      <c r="KA153"/>
      <c r="KN153" s="278" t="s">
        <v>21</v>
      </c>
      <c r="KO153">
        <v>19</v>
      </c>
      <c r="KP153">
        <v>19</v>
      </c>
      <c r="KQ153">
        <v>20</v>
      </c>
      <c r="KR153">
        <v>28</v>
      </c>
      <c r="KS153">
        <v>31</v>
      </c>
      <c r="MI153">
        <v>0</v>
      </c>
      <c r="MJ153">
        <v>0</v>
      </c>
      <c r="MK153">
        <v>0</v>
      </c>
      <c r="ML153">
        <v>117</v>
      </c>
    </row>
    <row r="154" spans="2:350">
      <c r="B154" s="27">
        <f t="shared" si="61"/>
        <v>0</v>
      </c>
      <c r="C154" s="27">
        <f t="shared" si="62"/>
        <v>0</v>
      </c>
      <c r="D154" s="1">
        <f t="shared" si="63"/>
        <v>0</v>
      </c>
      <c r="E154" s="278">
        <v>45</v>
      </c>
      <c r="F154" s="16">
        <v>751</v>
      </c>
      <c r="G154">
        <v>6</v>
      </c>
      <c r="H154" s="16">
        <v>1500000</v>
      </c>
      <c r="I154" s="16">
        <v>105000.00000000001</v>
      </c>
      <c r="J154" s="16">
        <v>0</v>
      </c>
      <c r="K154" s="16">
        <v>0</v>
      </c>
      <c r="L154" s="123">
        <v>0</v>
      </c>
      <c r="M154" s="16">
        <v>105000.00000000001</v>
      </c>
      <c r="N154" s="16">
        <v>0</v>
      </c>
      <c r="O154" s="16">
        <v>0</v>
      </c>
      <c r="P154" s="16">
        <v>0</v>
      </c>
      <c r="Q154" s="16"/>
      <c r="R154" s="16">
        <v>0</v>
      </c>
      <c r="S154"/>
      <c r="T154" s="12">
        <v>0</v>
      </c>
      <c r="U154" s="313">
        <v>0</v>
      </c>
      <c r="V154" s="16">
        <v>0</v>
      </c>
      <c r="W154" s="123">
        <v>175000</v>
      </c>
      <c r="X154" s="123">
        <v>0</v>
      </c>
      <c r="Y154" s="12">
        <v>175000</v>
      </c>
      <c r="Z154" s="12">
        <v>-69999.999999999985</v>
      </c>
      <c r="AA154" s="13">
        <v>-0.66666666666666641</v>
      </c>
      <c r="AB154" s="13">
        <v>0</v>
      </c>
      <c r="AC154" s="16">
        <v>1997.3368841544607</v>
      </c>
      <c r="AD154" s="13">
        <v>0</v>
      </c>
      <c r="AF154" s="1">
        <f t="shared" si="64"/>
        <v>125.16666666666667</v>
      </c>
      <c r="AG154" s="231"/>
      <c r="BZ154" s="278" t="s">
        <v>201</v>
      </c>
      <c r="CC154">
        <v>0</v>
      </c>
      <c r="CD154">
        <v>0</v>
      </c>
      <c r="CE154">
        <v>0</v>
      </c>
      <c r="CF154">
        <v>0</v>
      </c>
      <c r="CL154" s="26" t="s">
        <v>178</v>
      </c>
      <c r="EM154">
        <v>0</v>
      </c>
      <c r="EN154">
        <v>0</v>
      </c>
      <c r="EO154">
        <v>0</v>
      </c>
      <c r="EP154">
        <v>0</v>
      </c>
      <c r="GS154" s="26">
        <v>39</v>
      </c>
      <c r="GT154" s="16">
        <v>4456</v>
      </c>
      <c r="GU154">
        <v>26</v>
      </c>
      <c r="GV154" s="16">
        <v>4000000</v>
      </c>
      <c r="GW154" s="16">
        <v>0</v>
      </c>
      <c r="GX154" s="35">
        <v>14643720</v>
      </c>
      <c r="GY154" s="313">
        <v>4655000</v>
      </c>
      <c r="GZ154" s="332">
        <v>7637080</v>
      </c>
      <c r="HA154" s="35">
        <v>5355000</v>
      </c>
      <c r="HB154" s="35">
        <v>1651640</v>
      </c>
      <c r="HC154" s="13">
        <v>0.11278828057351548</v>
      </c>
      <c r="HD154" s="13">
        <v>8.4524855260531051E-2</v>
      </c>
      <c r="HE154" s="16">
        <v>8992.8186714542189</v>
      </c>
      <c r="HF154" s="13">
        <v>0.10605909363146336</v>
      </c>
      <c r="HG154" s="13"/>
      <c r="HH154" s="1">
        <f t="shared" si="53"/>
        <v>-655000</v>
      </c>
      <c r="HI154" s="27">
        <f t="shared" si="54"/>
        <v>-0.16375000000000001</v>
      </c>
      <c r="HJ154" s="1">
        <f t="shared" si="55"/>
        <v>-655000</v>
      </c>
      <c r="HK154" s="27">
        <f t="shared" si="56"/>
        <v>-0.16375000000000001</v>
      </c>
      <c r="JO154"/>
      <c r="JP154"/>
      <c r="JS154"/>
      <c r="JT154"/>
      <c r="JV154"/>
      <c r="JZ154"/>
      <c r="KA154"/>
      <c r="KN154" s="278" t="s">
        <v>158</v>
      </c>
      <c r="KS154">
        <v>26</v>
      </c>
      <c r="KT154">
        <v>32</v>
      </c>
      <c r="KU154">
        <v>31</v>
      </c>
      <c r="KV154">
        <v>34</v>
      </c>
      <c r="KW154">
        <v>33</v>
      </c>
      <c r="MI154">
        <v>0</v>
      </c>
      <c r="MJ154">
        <v>0</v>
      </c>
      <c r="MK154">
        <v>0</v>
      </c>
      <c r="ML154">
        <v>156</v>
      </c>
    </row>
    <row r="155" spans="2:350">
      <c r="B155" s="27">
        <f t="shared" si="61"/>
        <v>0</v>
      </c>
      <c r="C155" s="27">
        <f t="shared" si="62"/>
        <v>0</v>
      </c>
      <c r="D155" s="1">
        <f t="shared" si="63"/>
        <v>0</v>
      </c>
      <c r="E155" s="278">
        <v>46</v>
      </c>
      <c r="F155" s="16">
        <v>873</v>
      </c>
      <c r="G155">
        <v>6</v>
      </c>
      <c r="H155" s="16">
        <v>1803200</v>
      </c>
      <c r="I155" s="16">
        <v>126224.00000000001</v>
      </c>
      <c r="J155" s="16">
        <v>0</v>
      </c>
      <c r="K155" s="16">
        <v>0</v>
      </c>
      <c r="L155" s="123">
        <v>0</v>
      </c>
      <c r="M155" s="16">
        <v>126224.00000000001</v>
      </c>
      <c r="N155" s="16">
        <v>0</v>
      </c>
      <c r="O155" s="16">
        <v>0</v>
      </c>
      <c r="P155" s="16">
        <v>0</v>
      </c>
      <c r="Q155" s="16"/>
      <c r="R155" s="16">
        <v>0</v>
      </c>
      <c r="S155"/>
      <c r="T155" s="12">
        <v>0</v>
      </c>
      <c r="U155" s="313">
        <v>0</v>
      </c>
      <c r="V155" s="16">
        <v>0</v>
      </c>
      <c r="W155" s="123">
        <v>116666.66666666667</v>
      </c>
      <c r="X155" s="123">
        <v>0</v>
      </c>
      <c r="Y155" s="12">
        <v>116666.66666666667</v>
      </c>
      <c r="Z155" s="12">
        <v>9557.333333333343</v>
      </c>
      <c r="AA155" s="13">
        <v>7.5717243419106836E-2</v>
      </c>
      <c r="AB155" s="13">
        <v>0</v>
      </c>
      <c r="AC155" s="16">
        <v>2065.5211912943873</v>
      </c>
      <c r="AD155" s="13">
        <v>0</v>
      </c>
      <c r="AF155" s="1">
        <f t="shared" si="64"/>
        <v>145.5</v>
      </c>
      <c r="AG155" s="231"/>
      <c r="BZ155" s="278" t="s">
        <v>178</v>
      </c>
      <c r="CC155">
        <v>0</v>
      </c>
      <c r="CD155">
        <v>0</v>
      </c>
      <c r="CE155">
        <v>0</v>
      </c>
      <c r="CF155">
        <v>0</v>
      </c>
      <c r="CL155" s="26" t="s">
        <v>177</v>
      </c>
      <c r="EM155">
        <v>0</v>
      </c>
      <c r="EN155">
        <v>0</v>
      </c>
      <c r="EO155">
        <v>0</v>
      </c>
      <c r="EP155">
        <v>0</v>
      </c>
      <c r="GS155" s="26">
        <v>40</v>
      </c>
      <c r="GT155" s="16">
        <v>3538</v>
      </c>
      <c r="GU155">
        <v>21</v>
      </c>
      <c r="GV155" s="16">
        <v>2875000</v>
      </c>
      <c r="GW155" s="16">
        <v>0</v>
      </c>
      <c r="GX155" s="35">
        <v>11216000</v>
      </c>
      <c r="GY155" s="313">
        <v>3675000</v>
      </c>
      <c r="GZ155" s="332">
        <v>5631980</v>
      </c>
      <c r="HA155" s="35">
        <v>4375000</v>
      </c>
      <c r="HB155" s="35">
        <v>1209020</v>
      </c>
      <c r="HC155" s="13">
        <v>0.10779422253922967</v>
      </c>
      <c r="HD155" s="13">
        <v>6.8258860759493667E-2</v>
      </c>
      <c r="HE155" s="16">
        <v>8931.5997738835504</v>
      </c>
      <c r="HF155" s="13">
        <v>0.10996835443037975</v>
      </c>
      <c r="HG155" s="13"/>
      <c r="HH155" s="1">
        <f t="shared" si="53"/>
        <v>-800000</v>
      </c>
      <c r="HI155" s="27">
        <f t="shared" si="54"/>
        <v>-0.27826086956521739</v>
      </c>
      <c r="HJ155" s="1">
        <f t="shared" si="55"/>
        <v>-800000</v>
      </c>
      <c r="HK155" s="27">
        <f t="shared" si="56"/>
        <v>-0.27826086956521739</v>
      </c>
      <c r="JO155"/>
      <c r="JP155"/>
      <c r="JS155"/>
      <c r="JT155"/>
      <c r="JV155"/>
      <c r="JZ155"/>
      <c r="KA155"/>
      <c r="KN155" s="278" t="s">
        <v>159</v>
      </c>
      <c r="KW155">
        <v>25</v>
      </c>
      <c r="KX155">
        <v>29</v>
      </c>
      <c r="KY155">
        <v>21</v>
      </c>
      <c r="KZ155">
        <v>20</v>
      </c>
      <c r="LA155">
        <v>20</v>
      </c>
      <c r="LB155">
        <v>19</v>
      </c>
      <c r="MI155">
        <v>0</v>
      </c>
      <c r="MJ155">
        <v>0</v>
      </c>
      <c r="MK155">
        <v>0</v>
      </c>
      <c r="ML155">
        <v>134</v>
      </c>
    </row>
    <row r="156" spans="2:350">
      <c r="B156" s="27">
        <f t="shared" si="61"/>
        <v>0</v>
      </c>
      <c r="C156" s="27">
        <f t="shared" si="62"/>
        <v>0</v>
      </c>
      <c r="D156" s="1">
        <f t="shared" si="63"/>
        <v>0</v>
      </c>
      <c r="E156" s="278">
        <v>47</v>
      </c>
      <c r="F156" s="16">
        <v>877</v>
      </c>
      <c r="G156">
        <v>5</v>
      </c>
      <c r="H156" s="16">
        <v>1493400</v>
      </c>
      <c r="I156" s="16">
        <v>104538.00000000001</v>
      </c>
      <c r="J156" s="16">
        <v>0</v>
      </c>
      <c r="K156" s="16">
        <v>0</v>
      </c>
      <c r="L156" s="123">
        <v>0</v>
      </c>
      <c r="M156" s="16">
        <v>104538.00000000001</v>
      </c>
      <c r="N156" s="16">
        <v>0</v>
      </c>
      <c r="O156" s="16">
        <v>0</v>
      </c>
      <c r="P156" s="16">
        <v>0</v>
      </c>
      <c r="Q156" s="16"/>
      <c r="R156" s="16">
        <v>0</v>
      </c>
      <c r="S156"/>
      <c r="T156" s="12">
        <v>0</v>
      </c>
      <c r="U156" s="313">
        <v>0</v>
      </c>
      <c r="V156" s="16">
        <v>0</v>
      </c>
      <c r="W156" s="123">
        <v>116666.66666666667</v>
      </c>
      <c r="X156" s="123">
        <v>0</v>
      </c>
      <c r="Y156" s="12">
        <v>116666.66666666667</v>
      </c>
      <c r="Z156" s="12">
        <v>-12128.666666666657</v>
      </c>
      <c r="AA156" s="13">
        <v>-0.1160216061782955</v>
      </c>
      <c r="AB156" s="13">
        <v>0</v>
      </c>
      <c r="AC156" s="16">
        <v>1702.8506271379704</v>
      </c>
      <c r="AD156" s="13">
        <v>0</v>
      </c>
      <c r="AF156" s="1">
        <f t="shared" si="64"/>
        <v>175.4</v>
      </c>
      <c r="AG156" s="231"/>
      <c r="BZ156" s="278" t="s">
        <v>177</v>
      </c>
      <c r="CC156">
        <v>0</v>
      </c>
      <c r="CD156">
        <v>0</v>
      </c>
      <c r="CE156">
        <v>0</v>
      </c>
      <c r="CF156">
        <v>0</v>
      </c>
      <c r="CL156" s="26" t="s">
        <v>202</v>
      </c>
      <c r="EM156">
        <v>0</v>
      </c>
      <c r="EN156">
        <v>0</v>
      </c>
      <c r="EO156">
        <v>0</v>
      </c>
      <c r="EP156">
        <v>0</v>
      </c>
      <c r="GS156" s="26">
        <v>41</v>
      </c>
      <c r="GT156" s="16">
        <v>2939</v>
      </c>
      <c r="GU156">
        <v>19</v>
      </c>
      <c r="GV156" s="16">
        <v>2400000</v>
      </c>
      <c r="GW156" s="16">
        <v>0</v>
      </c>
      <c r="GX156" s="35">
        <v>9318080</v>
      </c>
      <c r="GY156" s="313">
        <v>2905000</v>
      </c>
      <c r="GZ156" s="332">
        <v>5603180</v>
      </c>
      <c r="HA156" s="35">
        <v>3605000</v>
      </c>
      <c r="HB156" s="35">
        <v>109900</v>
      </c>
      <c r="HC156" s="13">
        <v>1.1794275215495038E-2</v>
      </c>
      <c r="HD156" s="13">
        <v>9.0317949488875532E-2</v>
      </c>
      <c r="HE156" s="16">
        <v>9053.4195304525347</v>
      </c>
      <c r="HF156" s="13">
        <v>0.12026458208057728</v>
      </c>
      <c r="HG156" s="13"/>
      <c r="HH156" s="1">
        <f t="shared" si="53"/>
        <v>-505000</v>
      </c>
      <c r="HI156" s="27">
        <f t="shared" si="54"/>
        <v>-0.21041666666666667</v>
      </c>
      <c r="HJ156" s="1">
        <f t="shared" si="55"/>
        <v>-505000</v>
      </c>
      <c r="HK156" s="27">
        <f t="shared" si="56"/>
        <v>-0.21041666666666667</v>
      </c>
      <c r="JO156"/>
      <c r="JP156"/>
      <c r="JS156"/>
      <c r="JT156"/>
      <c r="JV156"/>
      <c r="JZ156"/>
      <c r="KA156"/>
      <c r="KN156" s="278" t="s">
        <v>160</v>
      </c>
      <c r="LB156">
        <v>18</v>
      </c>
      <c r="LC156">
        <v>21</v>
      </c>
      <c r="LD156">
        <v>21</v>
      </c>
      <c r="LE156">
        <v>25</v>
      </c>
      <c r="LF156">
        <v>23</v>
      </c>
      <c r="MI156">
        <v>0</v>
      </c>
      <c r="MJ156">
        <v>0</v>
      </c>
      <c r="MK156">
        <v>0</v>
      </c>
      <c r="ML156">
        <v>108</v>
      </c>
    </row>
    <row r="157" spans="2:350">
      <c r="B157" s="27">
        <f t="shared" si="61"/>
        <v>0</v>
      </c>
      <c r="C157" s="27">
        <f t="shared" si="62"/>
        <v>0</v>
      </c>
      <c r="D157" s="1">
        <f t="shared" si="63"/>
        <v>0</v>
      </c>
      <c r="E157" s="278">
        <v>48</v>
      </c>
      <c r="F157" s="16">
        <v>1155</v>
      </c>
      <c r="G157">
        <v>5</v>
      </c>
      <c r="H157" s="16">
        <v>1987100</v>
      </c>
      <c r="I157" s="16">
        <v>139097</v>
      </c>
      <c r="J157" s="16">
        <v>0</v>
      </c>
      <c r="K157" s="16">
        <v>0</v>
      </c>
      <c r="L157" s="123">
        <v>0</v>
      </c>
      <c r="M157" s="16">
        <v>139097</v>
      </c>
      <c r="N157" s="16">
        <v>0</v>
      </c>
      <c r="O157" s="16">
        <v>0</v>
      </c>
      <c r="P157" s="16">
        <v>0</v>
      </c>
      <c r="Q157" s="16"/>
      <c r="R157" s="16">
        <v>0</v>
      </c>
      <c r="S157"/>
      <c r="T157" s="12">
        <v>0</v>
      </c>
      <c r="U157" s="313">
        <v>0</v>
      </c>
      <c r="V157" s="16">
        <v>0</v>
      </c>
      <c r="W157" s="123">
        <v>116666.66666666667</v>
      </c>
      <c r="X157" s="123">
        <v>0</v>
      </c>
      <c r="Y157" s="12">
        <v>116666.66666666667</v>
      </c>
      <c r="Z157" s="12">
        <v>22430.333333333328</v>
      </c>
      <c r="AA157" s="13">
        <v>0.16125677285155918</v>
      </c>
      <c r="AB157" s="13">
        <v>0</v>
      </c>
      <c r="AC157" s="16">
        <v>1720.4329004329004</v>
      </c>
      <c r="AD157" s="13">
        <v>0</v>
      </c>
      <c r="AF157" s="1">
        <f t="shared" si="64"/>
        <v>231</v>
      </c>
      <c r="AG157" s="231"/>
      <c r="BZ157" s="278" t="s">
        <v>202</v>
      </c>
      <c r="CC157">
        <v>0</v>
      </c>
      <c r="CD157">
        <v>0</v>
      </c>
      <c r="CE157">
        <v>0</v>
      </c>
      <c r="CF157">
        <v>0</v>
      </c>
      <c r="CL157" s="26" t="s">
        <v>204</v>
      </c>
      <c r="EM157">
        <v>0</v>
      </c>
      <c r="EN157">
        <v>0</v>
      </c>
      <c r="EO157">
        <v>0</v>
      </c>
      <c r="EP157">
        <v>0</v>
      </c>
      <c r="GS157" s="26">
        <v>42</v>
      </c>
      <c r="GT157" s="16">
        <v>2771</v>
      </c>
      <c r="GU157">
        <v>16</v>
      </c>
      <c r="GV157" s="16">
        <v>2300000</v>
      </c>
      <c r="GW157" s="16">
        <v>0</v>
      </c>
      <c r="GX157" s="35">
        <v>8769840</v>
      </c>
      <c r="GY157" s="313">
        <v>2905000</v>
      </c>
      <c r="GZ157" s="332">
        <v>5289580</v>
      </c>
      <c r="HA157" s="35">
        <v>3605000</v>
      </c>
      <c r="HB157" s="35">
        <v>-124740</v>
      </c>
      <c r="HC157" s="13">
        <v>-1.422374866588216E-2</v>
      </c>
      <c r="HD157" s="13">
        <v>9.1005465359266999E-2</v>
      </c>
      <c r="HE157" s="16">
        <v>8980.1515698303865</v>
      </c>
      <c r="HF157" s="13">
        <v>0.12156405722552645</v>
      </c>
      <c r="HG157" s="13"/>
      <c r="HH157" s="1">
        <f t="shared" si="53"/>
        <v>-605000</v>
      </c>
      <c r="HI157" s="27">
        <f t="shared" si="54"/>
        <v>-0.26304347826086955</v>
      </c>
      <c r="HJ157" s="1">
        <f t="shared" si="55"/>
        <v>-605000</v>
      </c>
      <c r="HK157" s="27">
        <f t="shared" si="56"/>
        <v>-0.26304347826086955</v>
      </c>
      <c r="JO157"/>
      <c r="JP157"/>
      <c r="JS157"/>
      <c r="JT157"/>
      <c r="JV157"/>
      <c r="JZ157"/>
      <c r="KA157"/>
      <c r="KN157" s="278" t="s">
        <v>161</v>
      </c>
      <c r="LF157">
        <v>23</v>
      </c>
      <c r="LG157">
        <v>25</v>
      </c>
      <c r="LH157">
        <v>22</v>
      </c>
      <c r="LI157">
        <v>21</v>
      </c>
      <c r="LJ157">
        <v>22</v>
      </c>
      <c r="MI157">
        <v>0</v>
      </c>
      <c r="MJ157">
        <v>0</v>
      </c>
      <c r="MK157">
        <v>0</v>
      </c>
      <c r="ML157">
        <v>113</v>
      </c>
    </row>
    <row r="158" spans="2:350">
      <c r="B158" s="27">
        <f t="shared" si="61"/>
        <v>0</v>
      </c>
      <c r="C158" s="27">
        <f t="shared" si="62"/>
        <v>0</v>
      </c>
      <c r="D158" s="1">
        <f t="shared" si="63"/>
        <v>0</v>
      </c>
      <c r="E158" s="278">
        <v>49</v>
      </c>
      <c r="F158" s="16">
        <v>1452</v>
      </c>
      <c r="G158">
        <v>5</v>
      </c>
      <c r="H158" s="16">
        <v>3006180</v>
      </c>
      <c r="I158" s="16">
        <v>210432.6</v>
      </c>
      <c r="J158" s="16">
        <v>0</v>
      </c>
      <c r="K158" s="16">
        <v>0</v>
      </c>
      <c r="L158" s="123">
        <v>0</v>
      </c>
      <c r="M158" s="16">
        <v>210432.6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/>
      <c r="T158" s="12">
        <v>0</v>
      </c>
      <c r="U158" s="313">
        <v>0</v>
      </c>
      <c r="V158" s="16">
        <v>0</v>
      </c>
      <c r="W158" s="123">
        <v>116666.66666666667</v>
      </c>
      <c r="X158" s="123">
        <v>0</v>
      </c>
      <c r="Y158" s="12">
        <v>116666.66666666667</v>
      </c>
      <c r="Z158" s="12">
        <v>93765.933333333334</v>
      </c>
      <c r="AA158" s="13">
        <v>0.44558653617991384</v>
      </c>
      <c r="AB158" s="13">
        <v>0</v>
      </c>
      <c r="AC158" s="16">
        <v>2070.3719008264461</v>
      </c>
      <c r="AD158" s="13">
        <v>0</v>
      </c>
      <c r="AF158" s="1">
        <f t="shared" si="64"/>
        <v>290.39999999999998</v>
      </c>
      <c r="AG158" s="231"/>
      <c r="BZ158" s="278" t="s">
        <v>204</v>
      </c>
      <c r="CC158">
        <v>0</v>
      </c>
      <c r="CD158">
        <v>0</v>
      </c>
      <c r="CE158">
        <v>0</v>
      </c>
      <c r="CF158">
        <v>0</v>
      </c>
      <c r="CL158" s="11" t="s">
        <v>162</v>
      </c>
      <c r="DM158">
        <v>246</v>
      </c>
      <c r="DN158">
        <v>247</v>
      </c>
      <c r="DO158">
        <v>261</v>
      </c>
      <c r="DP158">
        <v>265</v>
      </c>
      <c r="DQ158">
        <v>262</v>
      </c>
      <c r="EM158">
        <v>0</v>
      </c>
      <c r="EN158">
        <v>0</v>
      </c>
      <c r="EO158">
        <v>0</v>
      </c>
      <c r="EP158">
        <v>265</v>
      </c>
      <c r="GS158" s="26">
        <v>43</v>
      </c>
      <c r="GT158" s="16">
        <v>2424</v>
      </c>
      <c r="GU158">
        <v>18</v>
      </c>
      <c r="GV158" s="16">
        <v>2325000</v>
      </c>
      <c r="GW158" s="16">
        <v>0</v>
      </c>
      <c r="GX158" s="35">
        <v>7904080</v>
      </c>
      <c r="GY158" s="313">
        <v>2905000</v>
      </c>
      <c r="GZ158" s="332">
        <v>4493280</v>
      </c>
      <c r="HA158" s="35">
        <v>3605000</v>
      </c>
      <c r="HB158" s="35">
        <v>-194200</v>
      </c>
      <c r="HC158" s="13">
        <v>-2.4569589376625744E-2</v>
      </c>
      <c r="HD158" s="13">
        <v>8.35716282971386E-2</v>
      </c>
      <c r="HE158" s="16">
        <v>8852.3102310231025</v>
      </c>
      <c r="HF158" s="13">
        <v>0.12582719731568645</v>
      </c>
      <c r="HG158" s="13"/>
      <c r="HH158" s="1">
        <f t="shared" si="53"/>
        <v>-580000</v>
      </c>
      <c r="HI158" s="27">
        <f t="shared" si="54"/>
        <v>-0.24946236559139784</v>
      </c>
      <c r="HJ158" s="1">
        <f t="shared" si="55"/>
        <v>-580000</v>
      </c>
      <c r="HK158" s="27">
        <f t="shared" si="56"/>
        <v>-0.24946236559139784</v>
      </c>
      <c r="JO158"/>
      <c r="JP158"/>
      <c r="JS158"/>
      <c r="JT158"/>
      <c r="JV158"/>
      <c r="JZ158"/>
      <c r="KA158"/>
      <c r="KN158" s="278" t="s">
        <v>156</v>
      </c>
      <c r="LJ158">
        <v>22</v>
      </c>
      <c r="LK158">
        <v>23</v>
      </c>
      <c r="LL158">
        <v>23</v>
      </c>
      <c r="LM158">
        <v>22</v>
      </c>
      <c r="LN158">
        <v>20</v>
      </c>
      <c r="LO158">
        <v>15</v>
      </c>
      <c r="MI158">
        <v>0</v>
      </c>
      <c r="MJ158">
        <v>0</v>
      </c>
      <c r="MK158">
        <v>0</v>
      </c>
      <c r="ML158">
        <v>125</v>
      </c>
    </row>
    <row r="159" spans="2:350">
      <c r="B159" s="27">
        <f t="shared" si="61"/>
        <v>0</v>
      </c>
      <c r="C159" s="27">
        <f t="shared" si="62"/>
        <v>0</v>
      </c>
      <c r="D159" s="1">
        <f t="shared" si="63"/>
        <v>0</v>
      </c>
      <c r="E159" s="278">
        <v>50</v>
      </c>
      <c r="F159" s="16">
        <v>1379</v>
      </c>
      <c r="G159">
        <v>8</v>
      </c>
      <c r="H159" s="16">
        <v>2475200</v>
      </c>
      <c r="I159" s="16">
        <v>173264.00000000003</v>
      </c>
      <c r="J159" s="16">
        <v>0</v>
      </c>
      <c r="K159" s="16">
        <v>0</v>
      </c>
      <c r="L159" s="123">
        <v>0</v>
      </c>
      <c r="M159" s="16">
        <v>173264.00000000003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/>
      <c r="T159" s="12">
        <v>0</v>
      </c>
      <c r="U159" s="313">
        <v>0</v>
      </c>
      <c r="V159" s="16">
        <v>0</v>
      </c>
      <c r="W159" s="123">
        <v>116666.66666666667</v>
      </c>
      <c r="X159" s="123">
        <v>0</v>
      </c>
      <c r="Y159" s="12">
        <v>116666.66666666667</v>
      </c>
      <c r="Z159" s="12">
        <v>56597.333333333358</v>
      </c>
      <c r="AA159" s="13">
        <v>0.32665373841844436</v>
      </c>
      <c r="AB159" s="13">
        <v>0</v>
      </c>
      <c r="AC159" s="16">
        <v>1794.9238578680204</v>
      </c>
      <c r="AD159" s="13">
        <v>0</v>
      </c>
      <c r="AF159" s="1">
        <f t="shared" si="64"/>
        <v>172.375</v>
      </c>
      <c r="AG159" s="231"/>
      <c r="BZ159" s="26" t="s">
        <v>23</v>
      </c>
      <c r="CA159">
        <v>267</v>
      </c>
      <c r="CB159">
        <v>291</v>
      </c>
      <c r="CC159">
        <v>0</v>
      </c>
      <c r="CD159">
        <v>0</v>
      </c>
      <c r="CE159">
        <v>0</v>
      </c>
      <c r="CF159">
        <v>558</v>
      </c>
      <c r="CL159" s="26" t="s">
        <v>34</v>
      </c>
      <c r="EM159">
        <v>0</v>
      </c>
      <c r="EN159">
        <v>0</v>
      </c>
      <c r="EO159">
        <v>0</v>
      </c>
      <c r="EP159">
        <v>0</v>
      </c>
      <c r="GS159" s="82">
        <v>44</v>
      </c>
      <c r="GT159" s="81">
        <v>2292</v>
      </c>
      <c r="GU159" s="91">
        <v>14</v>
      </c>
      <c r="GV159" s="81">
        <v>1825000</v>
      </c>
      <c r="GW159" s="81">
        <v>0</v>
      </c>
      <c r="GX159" s="37">
        <v>7258640</v>
      </c>
      <c r="GY159" s="322">
        <v>2555000</v>
      </c>
      <c r="GZ159" s="333">
        <v>3960140</v>
      </c>
      <c r="HA159" s="37">
        <v>3255000</v>
      </c>
      <c r="HB159" s="37">
        <v>43500</v>
      </c>
      <c r="HC159" s="244">
        <v>5.9928581662680612E-3</v>
      </c>
      <c r="HD159" s="244">
        <v>8.8611679828409867E-2</v>
      </c>
      <c r="HE159" s="81">
        <v>8950.2617801047127</v>
      </c>
      <c r="HF159" s="244">
        <v>0.10443404504241006</v>
      </c>
      <c r="HG159" s="13"/>
      <c r="HH159" s="1">
        <f t="shared" si="53"/>
        <v>-730000</v>
      </c>
      <c r="HI159" s="27">
        <f t="shared" si="54"/>
        <v>-0.4</v>
      </c>
      <c r="HJ159" s="1">
        <f t="shared" si="55"/>
        <v>-730000</v>
      </c>
      <c r="HK159" s="27">
        <f t="shared" si="56"/>
        <v>-0.4</v>
      </c>
      <c r="JO159"/>
      <c r="JP159"/>
      <c r="JS159"/>
      <c r="JT159"/>
      <c r="JV159"/>
      <c r="JZ159"/>
      <c r="KA159"/>
      <c r="KN159" s="278" t="s">
        <v>162</v>
      </c>
      <c r="LO159">
        <v>20</v>
      </c>
      <c r="LP159">
        <v>19</v>
      </c>
      <c r="LQ159">
        <v>21</v>
      </c>
      <c r="LR159">
        <v>23</v>
      </c>
      <c r="LS159">
        <v>22</v>
      </c>
      <c r="MI159">
        <v>0</v>
      </c>
      <c r="MJ159">
        <v>0</v>
      </c>
      <c r="MK159">
        <v>0</v>
      </c>
      <c r="ML159">
        <v>105</v>
      </c>
    </row>
    <row r="160" spans="2:350">
      <c r="B160" s="27">
        <f t="shared" si="61"/>
        <v>0</v>
      </c>
      <c r="C160" s="27">
        <f t="shared" si="62"/>
        <v>0</v>
      </c>
      <c r="D160" s="1">
        <f t="shared" si="63"/>
        <v>0</v>
      </c>
      <c r="E160" s="278">
        <v>51</v>
      </c>
      <c r="F160" s="16">
        <v>1209</v>
      </c>
      <c r="G160">
        <v>11</v>
      </c>
      <c r="H160" s="16">
        <v>2464200</v>
      </c>
      <c r="I160" s="16">
        <v>246420</v>
      </c>
      <c r="J160" s="16">
        <v>0</v>
      </c>
      <c r="K160" s="16">
        <v>0</v>
      </c>
      <c r="L160" s="123">
        <v>0</v>
      </c>
      <c r="M160" s="16">
        <v>246420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/>
      <c r="T160" s="12">
        <v>0</v>
      </c>
      <c r="U160" s="313">
        <v>0</v>
      </c>
      <c r="V160" s="16">
        <v>0</v>
      </c>
      <c r="W160" s="123">
        <v>116666.66666666667</v>
      </c>
      <c r="X160" s="123">
        <v>0</v>
      </c>
      <c r="Y160" s="12">
        <v>116666.66666666667</v>
      </c>
      <c r="Z160" s="12">
        <v>129753.33333333333</v>
      </c>
      <c r="AA160" s="13">
        <v>0.52655358060763469</v>
      </c>
      <c r="AB160" s="13">
        <v>0</v>
      </c>
      <c r="AC160" s="16">
        <v>2038.213399503722</v>
      </c>
      <c r="AD160" s="13">
        <v>0</v>
      </c>
      <c r="AF160" s="1">
        <f t="shared" si="64"/>
        <v>109.90909090909091</v>
      </c>
      <c r="AG160" s="231"/>
      <c r="BZ160" s="278" t="s">
        <v>34</v>
      </c>
      <c r="CC160">
        <v>0</v>
      </c>
      <c r="CD160">
        <v>0</v>
      </c>
      <c r="CE160">
        <v>0</v>
      </c>
      <c r="CF160">
        <v>0</v>
      </c>
      <c r="CL160" s="26" t="s">
        <v>170</v>
      </c>
      <c r="EM160">
        <v>0</v>
      </c>
      <c r="EN160">
        <v>0</v>
      </c>
      <c r="EO160">
        <v>0</v>
      </c>
      <c r="EP160">
        <v>0</v>
      </c>
      <c r="GS160" s="82">
        <v>45</v>
      </c>
      <c r="GT160" s="81">
        <v>2110</v>
      </c>
      <c r="GU160" s="91">
        <v>12</v>
      </c>
      <c r="GV160" s="81">
        <v>1875000</v>
      </c>
      <c r="GW160" s="81">
        <v>0</v>
      </c>
      <c r="GX160" s="37">
        <v>6793680</v>
      </c>
      <c r="GY160" s="322">
        <v>2415000</v>
      </c>
      <c r="GZ160" s="333">
        <v>3880140</v>
      </c>
      <c r="HA160" s="37">
        <v>2715000</v>
      </c>
      <c r="HB160" s="37">
        <v>198540</v>
      </c>
      <c r="HC160" s="244">
        <v>2.9224220157558201E-2</v>
      </c>
      <c r="HD160" s="244">
        <v>8.0882757162490743E-2</v>
      </c>
      <c r="HE160" s="81">
        <v>8965.8767772511856</v>
      </c>
      <c r="HF160" s="244">
        <v>0.12422031927265038</v>
      </c>
      <c r="HG160" s="13"/>
      <c r="HH160" s="1">
        <f t="shared" si="53"/>
        <v>-540000</v>
      </c>
      <c r="HI160" s="27">
        <f t="shared" si="54"/>
        <v>-0.28799999999999998</v>
      </c>
      <c r="HJ160" s="1">
        <f t="shared" si="55"/>
        <v>-540000</v>
      </c>
      <c r="HK160" s="27">
        <f t="shared" si="56"/>
        <v>-0.28799999999999998</v>
      </c>
      <c r="JO160"/>
      <c r="JP160"/>
      <c r="JS160"/>
      <c r="JT160"/>
      <c r="JV160"/>
      <c r="JZ160"/>
      <c r="KA160"/>
      <c r="KN160" s="278" t="s">
        <v>163</v>
      </c>
      <c r="LS160">
        <v>22</v>
      </c>
      <c r="LT160">
        <v>21</v>
      </c>
      <c r="LU160">
        <v>21</v>
      </c>
      <c r="LV160" s="379">
        <v>24</v>
      </c>
      <c r="LW160">
        <v>26</v>
      </c>
      <c r="MI160">
        <v>0</v>
      </c>
      <c r="MJ160">
        <v>0</v>
      </c>
      <c r="MK160">
        <v>0</v>
      </c>
      <c r="ML160">
        <v>114</v>
      </c>
    </row>
    <row r="161" spans="2:350">
      <c r="B161" s="27">
        <f t="shared" si="61"/>
        <v>0</v>
      </c>
      <c r="C161" s="27">
        <f t="shared" si="62"/>
        <v>0</v>
      </c>
      <c r="D161" s="1">
        <f t="shared" si="63"/>
        <v>0</v>
      </c>
      <c r="E161" s="278">
        <v>52</v>
      </c>
      <c r="F161" s="16">
        <v>1299</v>
      </c>
      <c r="G161">
        <v>12</v>
      </c>
      <c r="H161" s="16">
        <v>2785600</v>
      </c>
      <c r="I161" s="16">
        <v>194992.00000000003</v>
      </c>
      <c r="J161" s="16">
        <v>0</v>
      </c>
      <c r="K161" s="16">
        <v>0</v>
      </c>
      <c r="L161" s="123">
        <v>0</v>
      </c>
      <c r="M161" s="16">
        <v>194992.00000000003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/>
      <c r="T161" s="12">
        <v>0</v>
      </c>
      <c r="U161" s="313">
        <v>0</v>
      </c>
      <c r="V161" s="16">
        <v>0</v>
      </c>
      <c r="W161" s="123">
        <v>116666.66666666667</v>
      </c>
      <c r="X161" s="123">
        <v>0</v>
      </c>
      <c r="Y161" s="12">
        <v>116666.66666666667</v>
      </c>
      <c r="Z161" s="12">
        <v>78325.333333333358</v>
      </c>
      <c r="AA161" s="13">
        <v>0.40168485544706112</v>
      </c>
      <c r="AB161" s="13">
        <v>0</v>
      </c>
      <c r="AC161" s="16">
        <v>2144.4187836797537</v>
      </c>
      <c r="AD161" s="13">
        <v>0</v>
      </c>
      <c r="AF161" s="1">
        <f t="shared" si="64"/>
        <v>108.25</v>
      </c>
      <c r="AG161" s="231"/>
      <c r="BZ161" s="278" t="s">
        <v>170</v>
      </c>
      <c r="CC161">
        <v>0</v>
      </c>
      <c r="CD161">
        <v>0</v>
      </c>
      <c r="CE161">
        <v>0</v>
      </c>
      <c r="CF161">
        <v>0</v>
      </c>
      <c r="CL161" s="26" t="s">
        <v>27</v>
      </c>
      <c r="DM161">
        <v>5</v>
      </c>
      <c r="DN161">
        <v>5</v>
      </c>
      <c r="DO161">
        <v>5</v>
      </c>
      <c r="DP161">
        <v>4</v>
      </c>
      <c r="DQ161">
        <v>4</v>
      </c>
      <c r="EM161">
        <v>0</v>
      </c>
      <c r="EN161">
        <v>0</v>
      </c>
      <c r="EO161">
        <v>0</v>
      </c>
      <c r="EP161">
        <v>5</v>
      </c>
      <c r="GS161" s="26" t="s">
        <v>180</v>
      </c>
      <c r="GT161" s="16">
        <v>0</v>
      </c>
      <c r="GU161">
        <v>0</v>
      </c>
      <c r="GV161" s="16">
        <v>0</v>
      </c>
      <c r="GW161" s="16">
        <v>0</v>
      </c>
      <c r="GX161" s="35">
        <v>0</v>
      </c>
      <c r="GY161" s="313">
        <v>0</v>
      </c>
      <c r="GZ161" s="332">
        <v>0</v>
      </c>
      <c r="HA161" s="35">
        <v>0</v>
      </c>
      <c r="HB161" s="35">
        <v>0</v>
      </c>
      <c r="HC161" s="13">
        <v>0</v>
      </c>
      <c r="HD161" s="13">
        <v>0</v>
      </c>
      <c r="HE161" s="16">
        <v>0</v>
      </c>
      <c r="HF161" s="13">
        <v>0</v>
      </c>
      <c r="HG161" s="13"/>
      <c r="HH161" s="1">
        <f t="shared" si="53"/>
        <v>0</v>
      </c>
      <c r="HI161" s="27" t="e">
        <f t="shared" si="54"/>
        <v>#DIV/0!</v>
      </c>
      <c r="HJ161" s="1">
        <f t="shared" si="55"/>
        <v>0</v>
      </c>
      <c r="HK161" s="27" t="e">
        <f t="shared" si="56"/>
        <v>#DIV/0!</v>
      </c>
      <c r="JO161"/>
      <c r="JP161"/>
      <c r="JS161"/>
      <c r="JT161"/>
      <c r="JV161"/>
      <c r="JZ161"/>
      <c r="KA161"/>
      <c r="KN161" s="278" t="s">
        <v>164</v>
      </c>
      <c r="LX161">
        <v>25</v>
      </c>
      <c r="LY161">
        <v>24</v>
      </c>
      <c r="LZ161">
        <v>24</v>
      </c>
      <c r="MA161">
        <v>27</v>
      </c>
      <c r="MB161">
        <v>24</v>
      </c>
      <c r="MI161">
        <v>0</v>
      </c>
      <c r="MJ161">
        <v>0</v>
      </c>
      <c r="MK161">
        <v>0</v>
      </c>
      <c r="ML161">
        <v>124</v>
      </c>
    </row>
    <row r="162" spans="2:350">
      <c r="B162" s="27">
        <f t="shared" ref="B162:B165" si="65">N162/H162</f>
        <v>0</v>
      </c>
      <c r="C162" s="27">
        <f t="shared" ref="C162:C165" si="66">O162/H162</f>
        <v>0</v>
      </c>
      <c r="D162" s="1">
        <f t="shared" ref="D162:D165" si="67">O162/G162</f>
        <v>0</v>
      </c>
      <c r="E162" s="278">
        <v>12026</v>
      </c>
      <c r="F162" s="16">
        <v>1190</v>
      </c>
      <c r="G162">
        <v>7</v>
      </c>
      <c r="H162" s="16">
        <v>2317100</v>
      </c>
      <c r="I162" s="16">
        <v>231710</v>
      </c>
      <c r="J162" s="16">
        <v>0</v>
      </c>
      <c r="K162" s="16">
        <v>0</v>
      </c>
      <c r="L162" s="123">
        <v>0</v>
      </c>
      <c r="M162" s="16">
        <v>231710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/>
      <c r="T162" s="12">
        <v>0</v>
      </c>
      <c r="U162" s="313">
        <v>0</v>
      </c>
      <c r="V162" s="16">
        <v>0</v>
      </c>
      <c r="W162" s="123">
        <v>175000</v>
      </c>
      <c r="X162" s="123">
        <v>0</v>
      </c>
      <c r="Y162" s="12">
        <v>175000</v>
      </c>
      <c r="Z162" s="12">
        <v>56710</v>
      </c>
      <c r="AA162" s="13">
        <v>0.24474558715635925</v>
      </c>
      <c r="AB162" s="13">
        <v>0</v>
      </c>
      <c r="AC162" s="16">
        <v>1947.1428571428571</v>
      </c>
      <c r="AD162" s="13">
        <v>0</v>
      </c>
      <c r="AF162" s="1">
        <f t="shared" si="64"/>
        <v>170</v>
      </c>
      <c r="AG162" s="231"/>
      <c r="BZ162" s="278" t="s">
        <v>27</v>
      </c>
      <c r="CC162">
        <v>0</v>
      </c>
      <c r="CD162">
        <v>0</v>
      </c>
      <c r="CE162">
        <v>0</v>
      </c>
      <c r="CF162">
        <v>0</v>
      </c>
      <c r="CL162" s="26" t="s">
        <v>33</v>
      </c>
      <c r="DM162">
        <v>1</v>
      </c>
      <c r="DN162">
        <v>1</v>
      </c>
      <c r="EM162">
        <v>0</v>
      </c>
      <c r="EN162">
        <v>0</v>
      </c>
      <c r="EO162">
        <v>0</v>
      </c>
      <c r="EP162">
        <v>1</v>
      </c>
      <c r="GS162" s="26" t="s">
        <v>181</v>
      </c>
      <c r="GT162" s="16">
        <v>0</v>
      </c>
      <c r="GU162">
        <v>0</v>
      </c>
      <c r="GV162" s="16">
        <v>0</v>
      </c>
      <c r="GW162" s="16">
        <v>0</v>
      </c>
      <c r="GX162" s="35">
        <v>0</v>
      </c>
      <c r="GY162" s="313">
        <v>0</v>
      </c>
      <c r="GZ162" s="332">
        <v>0</v>
      </c>
      <c r="HA162" s="35">
        <v>0</v>
      </c>
      <c r="HB162" s="35">
        <v>0</v>
      </c>
      <c r="HC162" s="13">
        <v>0</v>
      </c>
      <c r="HD162" s="13">
        <v>0</v>
      </c>
      <c r="HE162" s="16">
        <v>0</v>
      </c>
      <c r="HF162" s="13">
        <v>0</v>
      </c>
      <c r="HG162" s="13"/>
      <c r="HH162" s="1">
        <f t="shared" si="53"/>
        <v>0</v>
      </c>
      <c r="HI162" s="27" t="e">
        <f t="shared" si="54"/>
        <v>#DIV/0!</v>
      </c>
      <c r="HJ162" s="1">
        <f t="shared" si="55"/>
        <v>0</v>
      </c>
      <c r="HK162" s="27" t="e">
        <f t="shared" si="56"/>
        <v>#DIV/0!</v>
      </c>
      <c r="JO162"/>
      <c r="JP162"/>
      <c r="JS162"/>
      <c r="JT162"/>
      <c r="JV162"/>
      <c r="JZ162"/>
      <c r="KA162"/>
      <c r="KN162" s="278" t="s">
        <v>165</v>
      </c>
      <c r="MB162">
        <v>23</v>
      </c>
      <c r="MC162">
        <v>21</v>
      </c>
      <c r="MD162">
        <v>22</v>
      </c>
      <c r="ME162">
        <v>20</v>
      </c>
      <c r="MF162">
        <v>18</v>
      </c>
      <c r="MI162">
        <v>0</v>
      </c>
      <c r="MJ162">
        <v>0</v>
      </c>
      <c r="MK162">
        <v>0</v>
      </c>
      <c r="ML162">
        <v>104</v>
      </c>
    </row>
    <row r="163" spans="2:350">
      <c r="B163" s="27">
        <f t="shared" si="65"/>
        <v>0</v>
      </c>
      <c r="C163" s="27">
        <f t="shared" si="66"/>
        <v>0</v>
      </c>
      <c r="D163" s="1">
        <f t="shared" si="67"/>
        <v>0</v>
      </c>
      <c r="E163" s="278">
        <v>22026</v>
      </c>
      <c r="F163" s="16">
        <v>1535</v>
      </c>
      <c r="G163">
        <v>9</v>
      </c>
      <c r="H163" s="16">
        <v>2898320</v>
      </c>
      <c r="I163" s="16">
        <v>289832</v>
      </c>
      <c r="J163" s="16">
        <v>0</v>
      </c>
      <c r="K163" s="16">
        <v>0</v>
      </c>
      <c r="L163" s="123">
        <v>0</v>
      </c>
      <c r="M163" s="16">
        <v>289832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/>
      <c r="T163" s="12">
        <v>0</v>
      </c>
      <c r="U163" s="313">
        <v>0</v>
      </c>
      <c r="V163" s="16">
        <v>0</v>
      </c>
      <c r="W163" s="123">
        <v>175000</v>
      </c>
      <c r="X163" s="123">
        <v>0</v>
      </c>
      <c r="Y163" s="12">
        <v>175000</v>
      </c>
      <c r="Z163" s="12">
        <v>114832</v>
      </c>
      <c r="AA163" s="13">
        <v>0.39620193767423889</v>
      </c>
      <c r="AB163" s="13">
        <v>0</v>
      </c>
      <c r="AC163" s="16">
        <v>1888.1563517915311</v>
      </c>
      <c r="AD163" s="13">
        <v>0</v>
      </c>
      <c r="AF163" s="1">
        <f t="shared" si="64"/>
        <v>170.55555555555554</v>
      </c>
      <c r="AG163" s="231"/>
      <c r="BZ163" s="278" t="s">
        <v>33</v>
      </c>
      <c r="CC163">
        <v>0</v>
      </c>
      <c r="CD163">
        <v>0</v>
      </c>
      <c r="CE163">
        <v>0</v>
      </c>
      <c r="CF163">
        <v>0</v>
      </c>
      <c r="CL163" s="26" t="s">
        <v>171</v>
      </c>
      <c r="EM163">
        <v>0</v>
      </c>
      <c r="EN163">
        <v>0</v>
      </c>
      <c r="EO163">
        <v>0</v>
      </c>
      <c r="EP163">
        <v>0</v>
      </c>
      <c r="GS163" s="26" t="s">
        <v>182</v>
      </c>
      <c r="GT163" s="16">
        <v>0</v>
      </c>
      <c r="GU163">
        <v>0</v>
      </c>
      <c r="GV163" s="16">
        <v>0</v>
      </c>
      <c r="GW163" s="16">
        <v>0</v>
      </c>
      <c r="GX163" s="35">
        <v>0</v>
      </c>
      <c r="GY163" s="313">
        <v>0</v>
      </c>
      <c r="GZ163" s="332">
        <v>0</v>
      </c>
      <c r="HA163" s="35">
        <v>0</v>
      </c>
      <c r="HB163" s="35">
        <v>0</v>
      </c>
      <c r="HC163" s="13">
        <v>0</v>
      </c>
      <c r="HD163" s="13">
        <v>0</v>
      </c>
      <c r="HE163" s="16">
        <v>0</v>
      </c>
      <c r="HF163" s="13">
        <v>0</v>
      </c>
      <c r="HG163" s="13"/>
      <c r="HH163" s="1">
        <f t="shared" si="53"/>
        <v>0</v>
      </c>
      <c r="HI163" s="27" t="e">
        <f t="shared" si="54"/>
        <v>#DIV/0!</v>
      </c>
      <c r="HJ163" s="1">
        <f t="shared" si="55"/>
        <v>0</v>
      </c>
      <c r="HK163" s="27" t="e">
        <f t="shared" si="56"/>
        <v>#DIV/0!</v>
      </c>
      <c r="JO163"/>
      <c r="JP163"/>
      <c r="JS163"/>
      <c r="JT163"/>
      <c r="JV163"/>
      <c r="JZ163"/>
      <c r="KA163"/>
      <c r="KN163" s="278" t="s">
        <v>36</v>
      </c>
      <c r="MF163">
        <v>19</v>
      </c>
      <c r="MG163">
        <v>21</v>
      </c>
      <c r="MH163">
        <v>26</v>
      </c>
      <c r="MI163">
        <v>0</v>
      </c>
      <c r="MJ163">
        <v>0</v>
      </c>
      <c r="MK163">
        <v>0</v>
      </c>
      <c r="ML163">
        <v>66</v>
      </c>
    </row>
    <row r="164" spans="2:350">
      <c r="B164" s="27">
        <f t="shared" si="65"/>
        <v>0</v>
      </c>
      <c r="C164" s="27">
        <f t="shared" si="66"/>
        <v>0</v>
      </c>
      <c r="D164" s="1">
        <f t="shared" si="67"/>
        <v>0</v>
      </c>
      <c r="E164" s="278">
        <v>32026</v>
      </c>
      <c r="F164" s="16">
        <v>1542</v>
      </c>
      <c r="G164">
        <v>8</v>
      </c>
      <c r="H164" s="16">
        <v>3060320</v>
      </c>
      <c r="I164" s="16">
        <v>306032</v>
      </c>
      <c r="J164" s="16">
        <v>0</v>
      </c>
      <c r="K164" s="16">
        <v>0</v>
      </c>
      <c r="L164" s="123">
        <v>0</v>
      </c>
      <c r="M164" s="16">
        <v>306032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/>
      <c r="T164" s="12">
        <v>0</v>
      </c>
      <c r="U164" s="313">
        <v>0</v>
      </c>
      <c r="V164" s="16">
        <v>0</v>
      </c>
      <c r="W164" s="123">
        <v>175000</v>
      </c>
      <c r="X164" s="123">
        <v>0</v>
      </c>
      <c r="Y164" s="12">
        <v>175000</v>
      </c>
      <c r="Z164" s="12">
        <v>131032</v>
      </c>
      <c r="AA164" s="13">
        <v>0.42816437496732368</v>
      </c>
      <c r="AB164" s="13">
        <v>0</v>
      </c>
      <c r="AC164" s="16">
        <v>1984.6433203631648</v>
      </c>
      <c r="AD164" s="13">
        <v>0</v>
      </c>
      <c r="AF164" s="1">
        <f t="shared" si="64"/>
        <v>192.75</v>
      </c>
      <c r="AG164" s="231"/>
      <c r="BZ164" s="278" t="s">
        <v>171</v>
      </c>
      <c r="CC164">
        <v>0</v>
      </c>
      <c r="CD164">
        <v>0</v>
      </c>
      <c r="CE164">
        <v>0</v>
      </c>
      <c r="CF164">
        <v>0</v>
      </c>
      <c r="CL164" s="26" t="s">
        <v>276</v>
      </c>
      <c r="EM164">
        <v>0</v>
      </c>
      <c r="EN164">
        <v>0</v>
      </c>
      <c r="EO164">
        <v>0</v>
      </c>
      <c r="EP164">
        <v>0</v>
      </c>
      <c r="GS164" s="11" t="s">
        <v>174</v>
      </c>
      <c r="GT164" s="16">
        <v>323837</v>
      </c>
      <c r="GU164">
        <v>65</v>
      </c>
      <c r="GV164" s="16">
        <v>238316071.42857143</v>
      </c>
      <c r="GW164" s="16">
        <v>80855999.000000015</v>
      </c>
      <c r="GX164" s="35">
        <v>1007313840.4285713</v>
      </c>
      <c r="GY164" s="313">
        <v>345064957.14285713</v>
      </c>
      <c r="GZ164" s="332">
        <v>672818109.57142854</v>
      </c>
      <c r="HA164" s="35">
        <v>374559472.14285713</v>
      </c>
      <c r="HB164" s="35">
        <v>-40063741.285714284</v>
      </c>
      <c r="HC164" s="13">
        <v>-3.9772849014631607E-2</v>
      </c>
      <c r="HD164" s="13">
        <v>8.8788631014578415E-2</v>
      </c>
      <c r="HE164" s="16">
        <v>9140.5336635406093</v>
      </c>
      <c r="HF164" s="13">
        <v>0.129686339981258</v>
      </c>
      <c r="HG164" s="13"/>
      <c r="HH164" s="1">
        <f t="shared" si="53"/>
        <v>-106748885.7142857</v>
      </c>
      <c r="HI164" s="27">
        <f t="shared" si="54"/>
        <v>-0.44792986505016591</v>
      </c>
      <c r="HJ164" s="1">
        <f t="shared" si="55"/>
        <v>-25892886.714285672</v>
      </c>
      <c r="HK164" s="27">
        <f t="shared" si="56"/>
        <v>-8.1125164490482335E-2</v>
      </c>
      <c r="JO164"/>
      <c r="JP164"/>
      <c r="JS164"/>
      <c r="JT164"/>
      <c r="JV164"/>
      <c r="JZ164"/>
      <c r="KA164"/>
      <c r="KN164" s="278" t="s">
        <v>166</v>
      </c>
      <c r="MI164">
        <v>0</v>
      </c>
      <c r="MJ164">
        <v>0</v>
      </c>
      <c r="MK164">
        <v>0</v>
      </c>
      <c r="ML164">
        <v>0</v>
      </c>
    </row>
    <row r="165" spans="2:350">
      <c r="B165" s="27">
        <f t="shared" si="65"/>
        <v>0</v>
      </c>
      <c r="C165" s="27">
        <f t="shared" si="66"/>
        <v>0</v>
      </c>
      <c r="D165" s="1">
        <f t="shared" si="67"/>
        <v>0</v>
      </c>
      <c r="E165" s="278">
        <v>42026</v>
      </c>
      <c r="F165" s="16">
        <v>1594</v>
      </c>
      <c r="G165">
        <v>11</v>
      </c>
      <c r="H165" s="16">
        <v>3044800</v>
      </c>
      <c r="I165" s="16">
        <v>213136.00000000003</v>
      </c>
      <c r="J165" s="16">
        <v>0</v>
      </c>
      <c r="K165" s="16">
        <v>0</v>
      </c>
      <c r="L165" s="123">
        <v>0</v>
      </c>
      <c r="M165" s="16">
        <v>213136.00000000003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/>
      <c r="T165" s="12">
        <v>0</v>
      </c>
      <c r="U165" s="313">
        <v>0</v>
      </c>
      <c r="V165" s="16">
        <v>0</v>
      </c>
      <c r="W165" s="123">
        <v>175000</v>
      </c>
      <c r="X165" s="123">
        <v>0</v>
      </c>
      <c r="Y165" s="12">
        <v>175000</v>
      </c>
      <c r="Z165" s="12">
        <v>38136.000000000029</v>
      </c>
      <c r="AA165" s="13">
        <v>0.17892800840777731</v>
      </c>
      <c r="AB165" s="13">
        <v>0</v>
      </c>
      <c r="AC165" s="16">
        <v>1910.1631116687579</v>
      </c>
      <c r="AD165" s="13">
        <v>0</v>
      </c>
      <c r="AF165" s="1">
        <f t="shared" si="64"/>
        <v>144.90909090909091</v>
      </c>
      <c r="AG165" s="231"/>
      <c r="BZ165" s="278" t="s">
        <v>276</v>
      </c>
      <c r="CC165">
        <v>0</v>
      </c>
      <c r="CD165">
        <v>0</v>
      </c>
      <c r="CE165">
        <v>0</v>
      </c>
      <c r="CF165">
        <v>0</v>
      </c>
      <c r="CL165" s="26" t="s">
        <v>277</v>
      </c>
      <c r="EM165">
        <v>0</v>
      </c>
      <c r="EN165">
        <v>0</v>
      </c>
      <c r="EO165">
        <v>0</v>
      </c>
      <c r="EP165">
        <v>0</v>
      </c>
      <c r="GS165" s="26">
        <v>1</v>
      </c>
      <c r="GT165" s="16">
        <v>4861</v>
      </c>
      <c r="GU165">
        <v>40</v>
      </c>
      <c r="GV165" s="16">
        <v>3128571.4285714282</v>
      </c>
      <c r="GW165" s="16">
        <v>1954324.2580645161</v>
      </c>
      <c r="GX165" s="35">
        <v>5973775.6866359441</v>
      </c>
      <c r="GY165" s="313">
        <v>4167257.1428571427</v>
      </c>
      <c r="GZ165" s="332">
        <v>10398228.571428571</v>
      </c>
      <c r="HA165" s="35">
        <v>4167257.1428571427</v>
      </c>
      <c r="HB165" s="35">
        <v>-8591710.0276497677</v>
      </c>
      <c r="HC165" s="13">
        <v>-1.4382378044208219</v>
      </c>
      <c r="HD165" s="13">
        <v>9.2966184318555009E-2</v>
      </c>
      <c r="HE165" s="16">
        <v>9163.5465953507501</v>
      </c>
      <c r="HF165" s="13">
        <v>0.14047105911330046</v>
      </c>
      <c r="HG165" s="13"/>
      <c r="HH165" s="1">
        <f t="shared" si="53"/>
        <v>-1038685.7142857146</v>
      </c>
      <c r="HI165" s="27">
        <f t="shared" si="54"/>
        <v>-0.33200000000000013</v>
      </c>
      <c r="HJ165" s="1">
        <f t="shared" si="55"/>
        <v>915638.54377880134</v>
      </c>
      <c r="HK165" s="27">
        <f t="shared" si="56"/>
        <v>0.18014112431742746</v>
      </c>
      <c r="JO165"/>
      <c r="JP165"/>
      <c r="JS165"/>
      <c r="JT165"/>
      <c r="JV165"/>
      <c r="JZ165"/>
      <c r="KA165"/>
      <c r="KN165" s="26" t="s">
        <v>205</v>
      </c>
      <c r="MC165">
        <v>1</v>
      </c>
      <c r="MD165">
        <v>1</v>
      </c>
      <c r="ME165">
        <v>1</v>
      </c>
      <c r="MF165">
        <v>8</v>
      </c>
      <c r="MG165">
        <v>6</v>
      </c>
      <c r="MH165">
        <v>6</v>
      </c>
      <c r="MI165">
        <v>0</v>
      </c>
      <c r="MJ165">
        <v>0</v>
      </c>
      <c r="MK165">
        <v>0</v>
      </c>
      <c r="ML165">
        <v>23</v>
      </c>
    </row>
    <row r="166" spans="2:350">
      <c r="B166" s="27">
        <f t="shared" ref="B166:B169" si="68">N166/H166</f>
        <v>0</v>
      </c>
      <c r="C166" s="27">
        <f t="shared" ref="C166:C169" si="69">O166/H166</f>
        <v>0</v>
      </c>
      <c r="D166" s="1">
        <f t="shared" ref="D166:D169" si="70">O166/G166</f>
        <v>0</v>
      </c>
      <c r="E166" s="382">
        <v>52026</v>
      </c>
      <c r="F166" s="383">
        <v>1902</v>
      </c>
      <c r="G166" s="384">
        <v>9</v>
      </c>
      <c r="H166" s="383">
        <v>3135099</v>
      </c>
      <c r="I166" s="383">
        <v>313509.90000000002</v>
      </c>
      <c r="J166" s="383">
        <v>0</v>
      </c>
      <c r="K166" s="383">
        <v>0</v>
      </c>
      <c r="L166" s="385">
        <v>0</v>
      </c>
      <c r="M166" s="383">
        <v>313509.90000000002</v>
      </c>
      <c r="N166" s="383">
        <v>0</v>
      </c>
      <c r="O166" s="383">
        <v>0</v>
      </c>
      <c r="P166" s="383">
        <v>0</v>
      </c>
      <c r="Q166" s="383">
        <v>0</v>
      </c>
      <c r="R166" s="383">
        <v>0</v>
      </c>
      <c r="S166" s="384"/>
      <c r="T166" s="386">
        <v>0</v>
      </c>
      <c r="U166" s="387">
        <v>0</v>
      </c>
      <c r="V166" s="383">
        <v>0</v>
      </c>
      <c r="W166" s="385">
        <v>175000</v>
      </c>
      <c r="X166" s="385">
        <v>0</v>
      </c>
      <c r="Y166" s="386">
        <v>175000</v>
      </c>
      <c r="Z166" s="386">
        <v>138509.90000000002</v>
      </c>
      <c r="AA166" s="388">
        <v>0.44180391113645856</v>
      </c>
      <c r="AB166" s="388">
        <v>0</v>
      </c>
      <c r="AC166" s="383">
        <v>1648.3170347003154</v>
      </c>
      <c r="AD166" s="388">
        <v>0</v>
      </c>
      <c r="AF166" s="1">
        <f t="shared" si="64"/>
        <v>211.33333333333334</v>
      </c>
      <c r="AG166" s="231"/>
      <c r="BZ166" s="278" t="s">
        <v>277</v>
      </c>
      <c r="CC166">
        <v>0</v>
      </c>
      <c r="CD166">
        <v>0</v>
      </c>
      <c r="CE166">
        <v>0</v>
      </c>
      <c r="CF166">
        <v>0</v>
      </c>
      <c r="CL166" s="26" t="s">
        <v>199</v>
      </c>
      <c r="EM166">
        <v>0</v>
      </c>
      <c r="EN166">
        <v>0</v>
      </c>
      <c r="EO166">
        <v>0</v>
      </c>
      <c r="EP166">
        <v>0</v>
      </c>
      <c r="GS166" s="26">
        <v>2</v>
      </c>
      <c r="GT166" s="16">
        <v>9110</v>
      </c>
      <c r="GU166">
        <v>44</v>
      </c>
      <c r="GV166" s="16">
        <v>5625000</v>
      </c>
      <c r="GW166" s="16">
        <v>3420067.4516129033</v>
      </c>
      <c r="GX166" s="35">
        <v>26492077.451612905</v>
      </c>
      <c r="GY166" s="313">
        <v>10156500</v>
      </c>
      <c r="GZ166" s="332">
        <v>18475900</v>
      </c>
      <c r="HA166" s="35">
        <v>10156500</v>
      </c>
      <c r="HB166" s="35">
        <v>-2140322.5483870953</v>
      </c>
      <c r="HC166" s="13">
        <v>-8.0791042238810423E-2</v>
      </c>
      <c r="HD166" s="13">
        <v>8.6974157749665992E-2</v>
      </c>
      <c r="HE166" s="16">
        <v>9119.7585071350168</v>
      </c>
      <c r="HF166" s="13">
        <v>0.13541002154523898</v>
      </c>
      <c r="HG166" s="85"/>
      <c r="HH166" s="1">
        <f t="shared" ref="HH166:HH176" si="71">GV166-GY166</f>
        <v>-4531500</v>
      </c>
      <c r="HI166" s="27">
        <f t="shared" ref="HI166:HI176" si="72">HH166/GV166</f>
        <v>-0.80559999999999998</v>
      </c>
      <c r="HJ166" s="1">
        <f t="shared" ref="HJ166:HJ176" si="73">GV166+GW166-GY166</f>
        <v>-1111432.5483870972</v>
      </c>
      <c r="HK166" s="27">
        <f t="shared" ref="HK166:HK176" si="74">HJ166/(GV166+GW166)</f>
        <v>-0.12287719846565746</v>
      </c>
      <c r="JO166"/>
      <c r="JP166"/>
      <c r="JS166"/>
      <c r="JT166"/>
      <c r="JV166"/>
      <c r="JZ166"/>
      <c r="KA166"/>
      <c r="KN166" s="278" t="s">
        <v>21</v>
      </c>
      <c r="MI166">
        <v>0</v>
      </c>
      <c r="MJ166">
        <v>0</v>
      </c>
      <c r="MK166">
        <v>0</v>
      </c>
      <c r="ML166">
        <v>0</v>
      </c>
    </row>
    <row r="167" spans="2:350">
      <c r="B167" s="27">
        <f t="shared" si="68"/>
        <v>0</v>
      </c>
      <c r="C167" s="27">
        <f t="shared" si="69"/>
        <v>0</v>
      </c>
      <c r="D167" s="1">
        <f t="shared" si="70"/>
        <v>0</v>
      </c>
      <c r="E167" s="278">
        <v>62026</v>
      </c>
      <c r="F167" s="16">
        <v>1852</v>
      </c>
      <c r="G167">
        <v>9</v>
      </c>
      <c r="H167" s="16">
        <v>3259720</v>
      </c>
      <c r="I167" s="16">
        <v>325972</v>
      </c>
      <c r="J167" s="16">
        <v>0</v>
      </c>
      <c r="K167" s="16">
        <v>0</v>
      </c>
      <c r="L167" s="123">
        <v>0</v>
      </c>
      <c r="M167" s="16">
        <v>325972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>
        <v>0</v>
      </c>
      <c r="T167" s="12">
        <v>0</v>
      </c>
      <c r="U167" s="313">
        <v>0</v>
      </c>
      <c r="V167" s="16">
        <v>0</v>
      </c>
      <c r="W167" s="123">
        <v>300000</v>
      </c>
      <c r="X167" s="123">
        <v>0</v>
      </c>
      <c r="Y167" s="12">
        <v>300000</v>
      </c>
      <c r="Z167" s="12">
        <v>25972</v>
      </c>
      <c r="AA167" s="13">
        <v>7.9675554955640368E-2</v>
      </c>
      <c r="AB167" s="13">
        <v>0</v>
      </c>
      <c r="AC167" s="16">
        <v>1760.1079913606911</v>
      </c>
      <c r="AD167" s="13">
        <v>0</v>
      </c>
      <c r="AF167" s="1">
        <f t="shared" si="64"/>
        <v>205.77777777777777</v>
      </c>
      <c r="AG167" s="231"/>
      <c r="BZ167" s="278" t="s">
        <v>199</v>
      </c>
      <c r="CC167">
        <v>0</v>
      </c>
      <c r="CD167">
        <v>0</v>
      </c>
      <c r="CE167">
        <v>0</v>
      </c>
      <c r="CF167">
        <v>0</v>
      </c>
      <c r="CL167" s="26" t="s">
        <v>196</v>
      </c>
      <c r="EM167">
        <v>0</v>
      </c>
      <c r="EN167">
        <v>0</v>
      </c>
      <c r="EO167">
        <v>0</v>
      </c>
      <c r="EP167">
        <v>0</v>
      </c>
      <c r="GS167" s="26">
        <v>3</v>
      </c>
      <c r="GT167" s="16">
        <v>9176</v>
      </c>
      <c r="GU167">
        <v>47</v>
      </c>
      <c r="GV167" s="16">
        <v>5950000</v>
      </c>
      <c r="GW167" s="16">
        <v>3420067.4516129033</v>
      </c>
      <c r="GX167" s="35">
        <v>27471887.451612905</v>
      </c>
      <c r="GY167" s="313">
        <v>7925400</v>
      </c>
      <c r="GZ167" s="332">
        <v>18858600</v>
      </c>
      <c r="HA167" s="35">
        <v>7925400</v>
      </c>
      <c r="HB167" s="35">
        <v>687887.45161290467</v>
      </c>
      <c r="HC167" s="13">
        <v>2.503968658231082E-2</v>
      </c>
      <c r="HD167" s="13">
        <v>8.3494516570276692E-2</v>
      </c>
      <c r="HE167" s="16">
        <v>9082.6068003487362</v>
      </c>
      <c r="HF167" s="13">
        <v>0.14278515034436418</v>
      </c>
      <c r="HG167" s="13"/>
      <c r="HH167" s="1">
        <f t="shared" si="71"/>
        <v>-1975400</v>
      </c>
      <c r="HI167" s="27">
        <f t="shared" si="72"/>
        <v>-0.33200000000000002</v>
      </c>
      <c r="HJ167" s="1">
        <f t="shared" si="73"/>
        <v>1444667.4516129028</v>
      </c>
      <c r="HK167" s="27">
        <f t="shared" si="74"/>
        <v>0.15417898100234348</v>
      </c>
      <c r="JO167"/>
      <c r="JP167"/>
      <c r="JS167"/>
      <c r="JT167"/>
      <c r="JV167"/>
      <c r="JZ167"/>
      <c r="KA167"/>
      <c r="KN167" s="278" t="s">
        <v>158</v>
      </c>
      <c r="MI167">
        <v>0</v>
      </c>
      <c r="MJ167">
        <v>0</v>
      </c>
      <c r="MK167">
        <v>0</v>
      </c>
      <c r="ML167">
        <v>0</v>
      </c>
    </row>
    <row r="168" spans="2:350">
      <c r="B168" s="27">
        <f t="shared" si="68"/>
        <v>0</v>
      </c>
      <c r="C168" s="27">
        <f t="shared" si="69"/>
        <v>0</v>
      </c>
      <c r="D168" s="1">
        <f t="shared" si="70"/>
        <v>0</v>
      </c>
      <c r="E168" s="278">
        <v>72026</v>
      </c>
      <c r="F168" s="16">
        <v>1469</v>
      </c>
      <c r="G168">
        <v>9</v>
      </c>
      <c r="H168" s="16">
        <v>2650700</v>
      </c>
      <c r="I168" s="16">
        <v>185549.00000000003</v>
      </c>
      <c r="J168" s="16">
        <v>0</v>
      </c>
      <c r="K168" s="16">
        <v>0</v>
      </c>
      <c r="L168" s="123">
        <v>0</v>
      </c>
      <c r="M168" s="16">
        <v>185549.00000000003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>
        <v>0</v>
      </c>
      <c r="T168" s="12">
        <v>0</v>
      </c>
      <c r="U168" s="313">
        <v>0</v>
      </c>
      <c r="V168" s="16">
        <v>0</v>
      </c>
      <c r="W168" s="123">
        <v>350000</v>
      </c>
      <c r="X168" s="123">
        <v>0</v>
      </c>
      <c r="Y168" s="12">
        <v>350000</v>
      </c>
      <c r="Z168" s="12">
        <v>-164450.99999999997</v>
      </c>
      <c r="AA168" s="13">
        <v>-0.88629418644131708</v>
      </c>
      <c r="AB168" s="13">
        <v>0</v>
      </c>
      <c r="AC168" s="16">
        <v>1804.424778761062</v>
      </c>
      <c r="AD168" s="13">
        <v>0</v>
      </c>
      <c r="AF168" s="1">
        <f t="shared" si="64"/>
        <v>163.22222222222223</v>
      </c>
      <c r="AG168" s="231"/>
      <c r="BZ168" s="278" t="s">
        <v>196</v>
      </c>
      <c r="CC168">
        <v>0</v>
      </c>
      <c r="CD168">
        <v>0</v>
      </c>
      <c r="CE168">
        <v>0</v>
      </c>
      <c r="CF168">
        <v>0</v>
      </c>
      <c r="CL168" s="26" t="s">
        <v>29</v>
      </c>
      <c r="DM168">
        <v>1</v>
      </c>
      <c r="DN168">
        <v>1</v>
      </c>
      <c r="EM168">
        <v>0</v>
      </c>
      <c r="EN168">
        <v>0</v>
      </c>
      <c r="EO168">
        <v>0</v>
      </c>
      <c r="EP168">
        <v>1</v>
      </c>
      <c r="GS168" s="26">
        <v>4</v>
      </c>
      <c r="GT168" s="16">
        <v>9405</v>
      </c>
      <c r="GU168">
        <v>53</v>
      </c>
      <c r="GV168" s="16">
        <v>6575000</v>
      </c>
      <c r="GW168" s="16">
        <v>3420067.4516129033</v>
      </c>
      <c r="GX168" s="35">
        <v>28558267.451612905</v>
      </c>
      <c r="GY168" s="313">
        <v>8757900</v>
      </c>
      <c r="GZ168" s="332">
        <v>27186234</v>
      </c>
      <c r="HA168" s="35">
        <v>8757900</v>
      </c>
      <c r="HB168" s="35">
        <v>-7385866.5483870953</v>
      </c>
      <c r="HC168" s="13">
        <v>-0.25862446175704396</v>
      </c>
      <c r="HD168" s="13">
        <v>8.7675017560290336E-2</v>
      </c>
      <c r="HE168" s="16">
        <v>9082.40297713982</v>
      </c>
      <c r="HF168" s="13">
        <v>0.15956450479981268</v>
      </c>
      <c r="HG168" s="85"/>
      <c r="HH168" s="1">
        <f t="shared" si="71"/>
        <v>-2182900</v>
      </c>
      <c r="HI168" s="27">
        <f t="shared" si="72"/>
        <v>-0.33200000000000002</v>
      </c>
      <c r="HJ168" s="1">
        <f t="shared" si="73"/>
        <v>1237167.4516129028</v>
      </c>
      <c r="HK168" s="27">
        <f t="shared" si="74"/>
        <v>0.12377779915965062</v>
      </c>
      <c r="JO168"/>
      <c r="JP168"/>
      <c r="JS168"/>
      <c r="JT168"/>
      <c r="JV168"/>
      <c r="JZ168"/>
      <c r="KA168"/>
      <c r="KN168" s="278" t="s">
        <v>159</v>
      </c>
      <c r="MI168">
        <v>0</v>
      </c>
      <c r="MJ168">
        <v>0</v>
      </c>
      <c r="MK168">
        <v>0</v>
      </c>
      <c r="ML168">
        <v>0</v>
      </c>
    </row>
    <row r="169" spans="2:350">
      <c r="B169" s="27">
        <f t="shared" si="68"/>
        <v>0</v>
      </c>
      <c r="C169" s="27">
        <f t="shared" si="69"/>
        <v>0</v>
      </c>
      <c r="D169" s="1">
        <f t="shared" si="70"/>
        <v>0</v>
      </c>
      <c r="E169" s="278">
        <v>82026</v>
      </c>
      <c r="F169" s="16">
        <v>1195</v>
      </c>
      <c r="G169">
        <v>9</v>
      </c>
      <c r="H169" s="16">
        <v>2492400</v>
      </c>
      <c r="I169" s="16">
        <v>174468.00000000003</v>
      </c>
      <c r="J169" s="16">
        <v>0</v>
      </c>
      <c r="K169" s="16">
        <v>0</v>
      </c>
      <c r="L169" s="123">
        <v>0</v>
      </c>
      <c r="M169" s="16">
        <v>174468.00000000003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>
        <v>0</v>
      </c>
      <c r="T169" s="12">
        <v>0</v>
      </c>
      <c r="U169" s="313">
        <v>0</v>
      </c>
      <c r="V169" s="16">
        <v>0</v>
      </c>
      <c r="W169" s="123">
        <v>350000</v>
      </c>
      <c r="X169" s="123">
        <v>0</v>
      </c>
      <c r="Y169" s="12">
        <v>350000</v>
      </c>
      <c r="Z169" s="12">
        <v>-175531.99999999997</v>
      </c>
      <c r="AA169" s="13">
        <v>-1.0060985395602629</v>
      </c>
      <c r="AB169" s="13">
        <v>0</v>
      </c>
      <c r="AC169" s="16">
        <v>2085.6903765690377</v>
      </c>
      <c r="AD169" s="13">
        <v>0</v>
      </c>
      <c r="AF169" s="1">
        <f t="shared" si="64"/>
        <v>132.77777777777777</v>
      </c>
      <c r="AG169" s="231"/>
      <c r="BZ169" s="278" t="s">
        <v>29</v>
      </c>
      <c r="CC169">
        <v>0</v>
      </c>
      <c r="CD169">
        <v>0</v>
      </c>
      <c r="CE169">
        <v>0</v>
      </c>
      <c r="CF169">
        <v>0</v>
      </c>
      <c r="CL169" s="26" t="s">
        <v>23</v>
      </c>
      <c r="DM169">
        <v>246</v>
      </c>
      <c r="DN169">
        <v>247</v>
      </c>
      <c r="DO169">
        <v>261</v>
      </c>
      <c r="DP169">
        <v>265</v>
      </c>
      <c r="DQ169">
        <v>262</v>
      </c>
      <c r="EM169">
        <v>0</v>
      </c>
      <c r="EN169">
        <v>0</v>
      </c>
      <c r="EO169">
        <v>0</v>
      </c>
      <c r="EP169">
        <v>265</v>
      </c>
      <c r="GS169" s="26">
        <v>5</v>
      </c>
      <c r="GT169" s="16">
        <v>16782</v>
      </c>
      <c r="GU169">
        <v>50</v>
      </c>
      <c r="GV169" s="16">
        <v>657500</v>
      </c>
      <c r="GW169" s="16">
        <v>3546175.7085253457</v>
      </c>
      <c r="GX169" s="35">
        <v>37686235.708525345</v>
      </c>
      <c r="GY169" s="313">
        <v>8757900</v>
      </c>
      <c r="GZ169" s="332">
        <v>19852599.999999996</v>
      </c>
      <c r="HA169" s="35">
        <v>9597900</v>
      </c>
      <c r="HB169" s="35">
        <v>8235735.7085253485</v>
      </c>
      <c r="HC169" s="13">
        <v>0.21853431508051274</v>
      </c>
      <c r="HD169" s="13">
        <v>4.394110242827922E-2</v>
      </c>
      <c r="HE169" s="16">
        <v>9089.2623048504356</v>
      </c>
      <c r="HF169" s="13">
        <v>8.6209157182566734E-2</v>
      </c>
      <c r="HG169" s="13"/>
      <c r="HH169" s="1">
        <f t="shared" si="71"/>
        <v>-8100400</v>
      </c>
      <c r="HI169" s="27">
        <f t="shared" si="72"/>
        <v>-12.32</v>
      </c>
      <c r="HJ169" s="1">
        <f t="shared" si="73"/>
        <v>-4554224.2914746543</v>
      </c>
      <c r="HK169" s="27">
        <f t="shared" si="74"/>
        <v>-1.0833909671572362</v>
      </c>
      <c r="JO169"/>
      <c r="JP169"/>
      <c r="JS169"/>
      <c r="JT169"/>
      <c r="JV169"/>
      <c r="JZ169"/>
      <c r="KA169"/>
      <c r="KN169" s="278" t="s">
        <v>160</v>
      </c>
      <c r="MI169">
        <v>0</v>
      </c>
      <c r="MJ169">
        <v>0</v>
      </c>
      <c r="MK169">
        <v>0</v>
      </c>
      <c r="ML169">
        <v>0</v>
      </c>
    </row>
    <row r="170" spans="2:350">
      <c r="B170" s="27">
        <f t="shared" ref="B170:B173" si="75">N170/H170</f>
        <v>0</v>
      </c>
      <c r="C170" s="27">
        <f t="shared" ref="C170:C173" si="76">O170/H170</f>
        <v>0</v>
      </c>
      <c r="D170" s="1">
        <f t="shared" ref="D170:D173" si="77">O170/G170</f>
        <v>0</v>
      </c>
      <c r="E170" s="278">
        <v>92026</v>
      </c>
      <c r="F170" s="16">
        <v>564</v>
      </c>
      <c r="G170">
        <v>8</v>
      </c>
      <c r="H170" s="16">
        <v>1800000</v>
      </c>
      <c r="I170" s="16">
        <v>126000.00000000001</v>
      </c>
      <c r="J170" s="16">
        <v>0</v>
      </c>
      <c r="K170" s="16">
        <v>0</v>
      </c>
      <c r="L170" s="123">
        <v>0</v>
      </c>
      <c r="M170" s="16">
        <v>126000.00000000001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>
        <v>0</v>
      </c>
      <c r="T170" s="12">
        <v>0</v>
      </c>
      <c r="U170" s="313">
        <v>0</v>
      </c>
      <c r="V170" s="16">
        <v>0</v>
      </c>
      <c r="W170" s="123">
        <v>350000</v>
      </c>
      <c r="X170" s="123">
        <v>0</v>
      </c>
      <c r="Y170" s="12">
        <v>350000</v>
      </c>
      <c r="Z170" s="12">
        <v>-224000</v>
      </c>
      <c r="AA170" s="13">
        <v>-1.7777777777777777</v>
      </c>
      <c r="AB170" s="13">
        <v>0</v>
      </c>
      <c r="AC170" s="16">
        <v>3191.4893617021276</v>
      </c>
      <c r="AD170" s="13">
        <v>0</v>
      </c>
      <c r="AF170" s="1">
        <f t="shared" si="64"/>
        <v>70.5</v>
      </c>
      <c r="AG170" s="231"/>
      <c r="BZ170" s="278" t="s">
        <v>23</v>
      </c>
      <c r="CA170">
        <v>210</v>
      </c>
      <c r="CB170">
        <v>227</v>
      </c>
      <c r="CC170">
        <v>0</v>
      </c>
      <c r="CD170">
        <v>0</v>
      </c>
      <c r="CE170">
        <v>0</v>
      </c>
      <c r="CF170">
        <v>437</v>
      </c>
      <c r="CL170" s="26" t="s">
        <v>172</v>
      </c>
      <c r="DM170">
        <v>20</v>
      </c>
      <c r="DN170">
        <v>19</v>
      </c>
      <c r="DO170">
        <v>21</v>
      </c>
      <c r="DP170">
        <v>23</v>
      </c>
      <c r="DQ170">
        <v>22</v>
      </c>
      <c r="EM170">
        <v>0</v>
      </c>
      <c r="EN170">
        <v>0</v>
      </c>
      <c r="EO170">
        <v>0</v>
      </c>
      <c r="EP170">
        <v>23</v>
      </c>
      <c r="GS170" s="26">
        <v>6</v>
      </c>
      <c r="GT170" s="16">
        <v>9707</v>
      </c>
      <c r="GU170">
        <v>59</v>
      </c>
      <c r="GV170" s="16">
        <v>9770000</v>
      </c>
      <c r="GW170" s="16">
        <v>4302825.25</v>
      </c>
      <c r="GX170" s="35">
        <v>33121785.25</v>
      </c>
      <c r="GY170" s="313">
        <v>10395000</v>
      </c>
      <c r="GZ170" s="332">
        <v>22588600</v>
      </c>
      <c r="HA170" s="35">
        <v>11235000</v>
      </c>
      <c r="HB170" s="35">
        <v>-701814.75</v>
      </c>
      <c r="HC170" s="13">
        <v>-2.1188916741738732E-2</v>
      </c>
      <c r="HD170" s="13">
        <v>8.8566654458890309E-2</v>
      </c>
      <c r="HE170" s="16">
        <v>9001.3392397239113</v>
      </c>
      <c r="HF170" s="13">
        <v>0.16995513642190074</v>
      </c>
      <c r="HG170" s="85"/>
      <c r="HH170" s="1">
        <f t="shared" si="71"/>
        <v>-625000</v>
      </c>
      <c r="HI170" s="27">
        <f t="shared" si="72"/>
        <v>-6.3971340839303989E-2</v>
      </c>
      <c r="HJ170" s="1">
        <f t="shared" si="73"/>
        <v>3677825.25</v>
      </c>
      <c r="HK170" s="27">
        <f t="shared" si="74"/>
        <v>0.26134235199147376</v>
      </c>
      <c r="JO170"/>
      <c r="JP170"/>
      <c r="JS170"/>
      <c r="JT170"/>
      <c r="JV170"/>
      <c r="JZ170"/>
      <c r="KA170"/>
      <c r="KN170" s="278" t="s">
        <v>161</v>
      </c>
      <c r="MI170">
        <v>0</v>
      </c>
      <c r="MJ170">
        <v>0</v>
      </c>
      <c r="MK170">
        <v>0</v>
      </c>
      <c r="ML170">
        <v>0</v>
      </c>
    </row>
    <row r="171" spans="2:350">
      <c r="B171" s="27">
        <f t="shared" si="75"/>
        <v>0</v>
      </c>
      <c r="C171" s="27">
        <f t="shared" si="76"/>
        <v>0</v>
      </c>
      <c r="D171" s="1">
        <f t="shared" si="77"/>
        <v>0</v>
      </c>
      <c r="E171" s="278">
        <v>102026</v>
      </c>
      <c r="F171" s="16">
        <v>880</v>
      </c>
      <c r="G171">
        <v>9</v>
      </c>
      <c r="H171" s="16">
        <v>2580880</v>
      </c>
      <c r="I171" s="16">
        <v>180661.6</v>
      </c>
      <c r="J171" s="16">
        <v>0</v>
      </c>
      <c r="K171" s="16">
        <v>0</v>
      </c>
      <c r="L171" s="123">
        <v>0</v>
      </c>
      <c r="M171" s="16">
        <v>180661.6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>
        <v>0</v>
      </c>
      <c r="T171" s="12">
        <v>0</v>
      </c>
      <c r="U171" s="313">
        <v>0</v>
      </c>
      <c r="V171" s="16">
        <v>0</v>
      </c>
      <c r="W171" s="123">
        <v>350000</v>
      </c>
      <c r="X171" s="123">
        <v>0</v>
      </c>
      <c r="Y171" s="12">
        <v>350000</v>
      </c>
      <c r="Z171" s="12">
        <v>-169338.4</v>
      </c>
      <c r="AA171" s="13">
        <v>-0.93732370354297756</v>
      </c>
      <c r="AB171" s="13">
        <v>0</v>
      </c>
      <c r="AC171" s="16">
        <v>2932.818181818182</v>
      </c>
      <c r="AD171" s="13">
        <v>0</v>
      </c>
      <c r="AF171" s="1">
        <f t="shared" si="64"/>
        <v>97.777777777777771</v>
      </c>
      <c r="AG171" s="231"/>
      <c r="BZ171" s="278" t="s">
        <v>172</v>
      </c>
      <c r="CA171">
        <v>23</v>
      </c>
      <c r="CB171">
        <v>27</v>
      </c>
      <c r="CC171">
        <v>0</v>
      </c>
      <c r="CD171">
        <v>0</v>
      </c>
      <c r="CE171">
        <v>0</v>
      </c>
      <c r="CF171">
        <v>50</v>
      </c>
      <c r="CL171" s="26" t="s">
        <v>205</v>
      </c>
      <c r="EM171">
        <v>0</v>
      </c>
      <c r="EN171">
        <v>0</v>
      </c>
      <c r="EO171">
        <v>0</v>
      </c>
      <c r="EP171">
        <v>0</v>
      </c>
      <c r="GS171" s="26">
        <v>7</v>
      </c>
      <c r="GT171" s="16">
        <v>11585</v>
      </c>
      <c r="GU171">
        <v>63</v>
      </c>
      <c r="GV171" s="16">
        <v>8600000</v>
      </c>
      <c r="GW171" s="16">
        <v>4302825.25</v>
      </c>
      <c r="GX171" s="35">
        <v>35767795.25</v>
      </c>
      <c r="GY171" s="313">
        <v>12040000</v>
      </c>
      <c r="GZ171" s="332">
        <v>26445500</v>
      </c>
      <c r="HA171" s="35">
        <v>12880000</v>
      </c>
      <c r="HB171" s="35">
        <v>-3557704.75</v>
      </c>
      <c r="HC171" s="13">
        <v>-9.9466705317823575E-2</v>
      </c>
      <c r="HD171" s="13">
        <v>8.8594919363339311E-2</v>
      </c>
      <c r="HE171" s="16">
        <v>9007.9413034095815</v>
      </c>
      <c r="HF171" s="13">
        <v>0.16481884301005204</v>
      </c>
      <c r="HG171" s="85"/>
      <c r="HH171" s="1">
        <f t="shared" si="71"/>
        <v>-3440000</v>
      </c>
      <c r="HI171" s="27">
        <f t="shared" si="72"/>
        <v>-0.4</v>
      </c>
      <c r="HJ171" s="1">
        <f t="shared" si="73"/>
        <v>862825.25</v>
      </c>
      <c r="HK171" s="27">
        <f t="shared" si="74"/>
        <v>6.6871032760828869E-2</v>
      </c>
      <c r="JO171"/>
      <c r="JP171"/>
      <c r="JS171"/>
      <c r="JT171"/>
      <c r="JV171"/>
      <c r="JZ171"/>
      <c r="KA171"/>
      <c r="KN171" s="278" t="s">
        <v>156</v>
      </c>
      <c r="MI171">
        <v>0</v>
      </c>
      <c r="MJ171">
        <v>0</v>
      </c>
      <c r="MK171">
        <v>0</v>
      </c>
      <c r="ML171">
        <v>0</v>
      </c>
    </row>
    <row r="172" spans="2:350">
      <c r="B172" s="27">
        <f t="shared" si="75"/>
        <v>0</v>
      </c>
      <c r="C172" s="27">
        <f t="shared" si="76"/>
        <v>0</v>
      </c>
      <c r="D172" s="1">
        <f t="shared" si="77"/>
        <v>0</v>
      </c>
      <c r="E172" s="278">
        <v>112026</v>
      </c>
      <c r="F172" s="16">
        <v>953</v>
      </c>
      <c r="G172">
        <v>8</v>
      </c>
      <c r="H172" s="16">
        <v>2599200</v>
      </c>
      <c r="I172" s="16">
        <v>181944.00000000003</v>
      </c>
      <c r="J172" s="16">
        <v>0</v>
      </c>
      <c r="K172" s="16">
        <v>0</v>
      </c>
      <c r="L172" s="123">
        <v>0</v>
      </c>
      <c r="M172" s="16">
        <v>181944.00000000003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>
        <v>0</v>
      </c>
      <c r="T172" s="12">
        <v>0</v>
      </c>
      <c r="U172" s="313">
        <v>0</v>
      </c>
      <c r="V172" s="16">
        <v>0</v>
      </c>
      <c r="W172" s="123">
        <v>350000</v>
      </c>
      <c r="X172" s="123">
        <v>0</v>
      </c>
      <c r="Y172" s="12">
        <v>350000</v>
      </c>
      <c r="Z172" s="12">
        <v>-168055.99999999997</v>
      </c>
      <c r="AA172" s="13">
        <v>-0.92366882117574611</v>
      </c>
      <c r="AB172" s="13">
        <v>0</v>
      </c>
      <c r="AC172" s="16">
        <v>2727.3871983210911</v>
      </c>
      <c r="AD172" s="13">
        <v>0</v>
      </c>
      <c r="AF172" s="1">
        <f t="shared" si="64"/>
        <v>119.125</v>
      </c>
      <c r="AG172" s="231"/>
      <c r="BZ172" s="278" t="s">
        <v>205</v>
      </c>
      <c r="CA172">
        <v>5</v>
      </c>
      <c r="CB172">
        <v>9</v>
      </c>
      <c r="CC172">
        <v>0</v>
      </c>
      <c r="CD172">
        <v>0</v>
      </c>
      <c r="CE172">
        <v>0</v>
      </c>
      <c r="CF172">
        <v>14</v>
      </c>
      <c r="CL172" s="26" t="s">
        <v>173</v>
      </c>
      <c r="DM172">
        <v>19</v>
      </c>
      <c r="DN172">
        <v>23</v>
      </c>
      <c r="DO172">
        <v>22</v>
      </c>
      <c r="DP172">
        <v>23</v>
      </c>
      <c r="DQ172">
        <v>18</v>
      </c>
      <c r="EM172">
        <v>0</v>
      </c>
      <c r="EN172">
        <v>0</v>
      </c>
      <c r="EO172">
        <v>0</v>
      </c>
      <c r="EP172">
        <v>23</v>
      </c>
      <c r="GS172" s="26">
        <v>8</v>
      </c>
      <c r="GT172" s="16">
        <v>11022</v>
      </c>
      <c r="GU172">
        <v>61</v>
      </c>
      <c r="GV172" s="16">
        <v>8050000</v>
      </c>
      <c r="GW172" s="16">
        <v>4302825.25</v>
      </c>
      <c r="GX172" s="35">
        <v>34746355.25</v>
      </c>
      <c r="GY172" s="313">
        <v>11270000</v>
      </c>
      <c r="GZ172" s="332">
        <v>30870067</v>
      </c>
      <c r="HA172" s="35">
        <v>12110000</v>
      </c>
      <c r="HB172" s="35">
        <v>-8233711.75</v>
      </c>
      <c r="HC172" s="13">
        <v>-0.23696619949800346</v>
      </c>
      <c r="HD172" s="13">
        <v>8.8592162262671748E-2</v>
      </c>
      <c r="HE172" s="16">
        <v>9026.7646525131549</v>
      </c>
      <c r="HF172" s="13">
        <v>0.16031278582412833</v>
      </c>
      <c r="HG172" s="13"/>
      <c r="HH172" s="1">
        <f t="shared" si="71"/>
        <v>-3220000</v>
      </c>
      <c r="HI172" s="27">
        <f t="shared" si="72"/>
        <v>-0.4</v>
      </c>
      <c r="HJ172" s="1">
        <f t="shared" si="73"/>
        <v>1082825.25</v>
      </c>
      <c r="HK172" s="27">
        <f t="shared" si="74"/>
        <v>8.7658104772428483E-2</v>
      </c>
      <c r="JO172"/>
      <c r="JP172"/>
      <c r="JS172"/>
      <c r="JT172"/>
      <c r="JV172"/>
      <c r="JZ172"/>
      <c r="KA172"/>
      <c r="KN172" s="278" t="s">
        <v>162</v>
      </c>
      <c r="MI172">
        <v>0</v>
      </c>
      <c r="MJ172">
        <v>0</v>
      </c>
      <c r="MK172">
        <v>0</v>
      </c>
      <c r="ML172">
        <v>0</v>
      </c>
    </row>
    <row r="173" spans="2:350">
      <c r="B173" s="27">
        <f t="shared" si="75"/>
        <v>0</v>
      </c>
      <c r="C173" s="27">
        <f t="shared" si="76"/>
        <v>0</v>
      </c>
      <c r="D173" s="1">
        <f t="shared" si="77"/>
        <v>0</v>
      </c>
      <c r="E173" s="278">
        <v>122026</v>
      </c>
      <c r="F173" s="16">
        <v>1567</v>
      </c>
      <c r="G173">
        <v>11</v>
      </c>
      <c r="H173" s="16">
        <v>4244120</v>
      </c>
      <c r="I173" s="16">
        <v>297088.40000000002</v>
      </c>
      <c r="J173" s="16">
        <v>0</v>
      </c>
      <c r="K173" s="16">
        <v>0</v>
      </c>
      <c r="L173" s="123">
        <v>0</v>
      </c>
      <c r="M173" s="16">
        <v>297088.40000000002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>
        <v>0</v>
      </c>
      <c r="T173" s="12">
        <v>0</v>
      </c>
      <c r="U173" s="313">
        <v>0</v>
      </c>
      <c r="V173" s="16">
        <v>0</v>
      </c>
      <c r="W173" s="123">
        <v>200000</v>
      </c>
      <c r="X173" s="123">
        <v>0</v>
      </c>
      <c r="Y173" s="12">
        <v>200000</v>
      </c>
      <c r="Z173" s="12">
        <v>97088.400000000023</v>
      </c>
      <c r="AA173" s="13">
        <v>0.32679970002194636</v>
      </c>
      <c r="AB173" s="13">
        <v>0</v>
      </c>
      <c r="AC173" s="16">
        <v>2708.4365028717293</v>
      </c>
      <c r="AD173" s="13">
        <v>0</v>
      </c>
      <c r="AF173" s="1">
        <f t="shared" si="64"/>
        <v>142.45454545454547</v>
      </c>
      <c r="AG173" s="231"/>
      <c r="BZ173" s="278" t="s">
        <v>173</v>
      </c>
      <c r="CA173">
        <v>11</v>
      </c>
      <c r="CB173">
        <v>11</v>
      </c>
      <c r="CC173">
        <v>0</v>
      </c>
      <c r="CD173">
        <v>0</v>
      </c>
      <c r="CE173">
        <v>0</v>
      </c>
      <c r="CF173">
        <v>22</v>
      </c>
      <c r="CL173" s="26" t="s">
        <v>174</v>
      </c>
      <c r="DM173">
        <v>25</v>
      </c>
      <c r="DN173">
        <v>23</v>
      </c>
      <c r="DO173">
        <v>26</v>
      </c>
      <c r="DP173">
        <v>31</v>
      </c>
      <c r="DQ173">
        <v>24</v>
      </c>
      <c r="EM173">
        <v>0</v>
      </c>
      <c r="EN173">
        <v>0</v>
      </c>
      <c r="EO173">
        <v>0</v>
      </c>
      <c r="EP173">
        <v>31</v>
      </c>
      <c r="GS173" s="26">
        <v>9</v>
      </c>
      <c r="GT173" s="16">
        <v>10254</v>
      </c>
      <c r="GU173">
        <v>63</v>
      </c>
      <c r="GV173" s="16">
        <v>7774999.9999999991</v>
      </c>
      <c r="GW173" s="16">
        <v>4361772.6059907833</v>
      </c>
      <c r="GX173" s="35">
        <v>33368412.605990782</v>
      </c>
      <c r="GY173" s="313">
        <v>11200000</v>
      </c>
      <c r="GZ173" s="332">
        <v>24202600</v>
      </c>
      <c r="HA173" s="35">
        <v>12040000</v>
      </c>
      <c r="HB173" s="35">
        <v>-2874187.3940092162</v>
      </c>
      <c r="HC173" s="13">
        <v>-8.6134975251810464E-2</v>
      </c>
      <c r="HD173" s="13">
        <v>8.7743357152026011E-2</v>
      </c>
      <c r="HE173" s="16">
        <v>9116.8324556270727</v>
      </c>
      <c r="HF173" s="13">
        <v>0.17115228274357108</v>
      </c>
      <c r="HH173" s="1">
        <f t="shared" si="71"/>
        <v>-3425000.0000000009</v>
      </c>
      <c r="HI173" s="27">
        <f t="shared" si="72"/>
        <v>-0.44051446945337636</v>
      </c>
      <c r="HJ173" s="1">
        <f t="shared" si="73"/>
        <v>936772.60599078238</v>
      </c>
      <c r="HK173" s="27">
        <f t="shared" si="74"/>
        <v>7.7184654965718469E-2</v>
      </c>
      <c r="JO173"/>
      <c r="JP173"/>
      <c r="JS173"/>
      <c r="JT173"/>
      <c r="JV173"/>
      <c r="JZ173"/>
      <c r="KA173"/>
      <c r="KN173" s="278" t="s">
        <v>163</v>
      </c>
      <c r="LV173" s="379"/>
      <c r="MI173">
        <v>0</v>
      </c>
      <c r="MJ173">
        <v>0</v>
      </c>
      <c r="MK173">
        <v>0</v>
      </c>
      <c r="ML173">
        <v>0</v>
      </c>
    </row>
    <row r="174" spans="2:350">
      <c r="B174" s="27">
        <f t="shared" ref="B174:B184" si="78">N174/H174</f>
        <v>0</v>
      </c>
      <c r="C174" s="27">
        <f t="shared" ref="C174:C184" si="79">O174/H174</f>
        <v>0</v>
      </c>
      <c r="D174" s="1">
        <f t="shared" ref="D174:D184" si="80">O174/G174</f>
        <v>0</v>
      </c>
      <c r="E174" s="278">
        <v>132026</v>
      </c>
      <c r="F174" s="16">
        <v>1142</v>
      </c>
      <c r="G174">
        <v>6</v>
      </c>
      <c r="H174" s="16">
        <v>2228360</v>
      </c>
      <c r="I174" s="16">
        <v>155985.20000000001</v>
      </c>
      <c r="J174" s="16">
        <v>0</v>
      </c>
      <c r="K174" s="16">
        <v>0</v>
      </c>
      <c r="L174" s="123">
        <v>0</v>
      </c>
      <c r="M174" s="16">
        <v>155985.20000000001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>
        <v>0</v>
      </c>
      <c r="T174" s="12">
        <v>0</v>
      </c>
      <c r="U174" s="313">
        <v>0</v>
      </c>
      <c r="V174" s="16">
        <v>0</v>
      </c>
      <c r="W174" s="123">
        <v>350000</v>
      </c>
      <c r="X174" s="123">
        <v>0</v>
      </c>
      <c r="Y174" s="12">
        <v>350000</v>
      </c>
      <c r="Z174" s="12">
        <v>-194014.8</v>
      </c>
      <c r="AA174" s="13">
        <v>-1.2438026171713725</v>
      </c>
      <c r="AB174" s="13">
        <v>0</v>
      </c>
      <c r="AC174" s="16">
        <v>1951.2784588441332</v>
      </c>
      <c r="AD174" s="13">
        <v>0</v>
      </c>
      <c r="AF174" s="1">
        <f t="shared" si="64"/>
        <v>190.33333333333334</v>
      </c>
      <c r="AG174" s="231"/>
      <c r="BZ174" s="278" t="s">
        <v>174</v>
      </c>
      <c r="CA174">
        <v>18</v>
      </c>
      <c r="CB174">
        <v>17</v>
      </c>
      <c r="CC174">
        <v>0</v>
      </c>
      <c r="CD174">
        <v>0</v>
      </c>
      <c r="CE174">
        <v>0</v>
      </c>
      <c r="CF174">
        <v>35</v>
      </c>
      <c r="CL174" s="26" t="s">
        <v>203</v>
      </c>
      <c r="DN174">
        <v>1</v>
      </c>
      <c r="DO174">
        <v>1</v>
      </c>
      <c r="DP174">
        <v>2</v>
      </c>
      <c r="DQ174">
        <v>1</v>
      </c>
      <c r="EM174">
        <v>0</v>
      </c>
      <c r="EN174">
        <v>0</v>
      </c>
      <c r="EO174">
        <v>0</v>
      </c>
      <c r="EP174">
        <v>2</v>
      </c>
      <c r="GS174" s="26">
        <v>10</v>
      </c>
      <c r="GT174" s="16">
        <v>6621</v>
      </c>
      <c r="GU174">
        <v>63</v>
      </c>
      <c r="GV174" s="16">
        <v>7775000</v>
      </c>
      <c r="GW174" s="16">
        <v>4715456.7419354841</v>
      </c>
      <c r="GX174" s="35">
        <v>26616226.741935484</v>
      </c>
      <c r="GY174" s="313">
        <v>11410000</v>
      </c>
      <c r="GZ174" s="332">
        <v>21596500</v>
      </c>
      <c r="HA174" s="35">
        <v>11522903</v>
      </c>
      <c r="HB174" s="35">
        <v>-6503176.2580645159</v>
      </c>
      <c r="HC174" s="13">
        <v>-0.24433126156903248</v>
      </c>
      <c r="HD174" s="13">
        <v>8.7060505942107597E-2</v>
      </c>
      <c r="HE174" s="16">
        <v>9188.4911644766653</v>
      </c>
      <c r="HF174" s="13">
        <v>0.26792905633085129</v>
      </c>
      <c r="HH174" s="1">
        <f t="shared" si="71"/>
        <v>-3635000</v>
      </c>
      <c r="HI174" s="27">
        <f t="shared" si="72"/>
        <v>-0.46752411575562702</v>
      </c>
      <c r="HJ174" s="1">
        <f t="shared" si="73"/>
        <v>1080456.7419354841</v>
      </c>
      <c r="HK174" s="27">
        <f t="shared" si="74"/>
        <v>8.6502580670885842E-2</v>
      </c>
      <c r="JO174"/>
      <c r="JP174"/>
      <c r="JS174"/>
      <c r="JT174"/>
      <c r="JV174"/>
      <c r="JZ174"/>
      <c r="KA174"/>
      <c r="KN174" s="278" t="s">
        <v>164</v>
      </c>
      <c r="MI174">
        <v>0</v>
      </c>
      <c r="MJ174">
        <v>0</v>
      </c>
      <c r="MK174">
        <v>0</v>
      </c>
      <c r="ML174">
        <v>0</v>
      </c>
    </row>
    <row r="175" spans="2:350">
      <c r="B175" s="27">
        <f t="shared" si="78"/>
        <v>0</v>
      </c>
      <c r="C175" s="27">
        <f t="shared" si="79"/>
        <v>0</v>
      </c>
      <c r="D175" s="1">
        <f t="shared" si="80"/>
        <v>0</v>
      </c>
      <c r="E175" s="341">
        <v>142026</v>
      </c>
      <c r="F175" s="81">
        <v>1980</v>
      </c>
      <c r="G175" s="91">
        <v>9</v>
      </c>
      <c r="H175" s="81">
        <v>3544440</v>
      </c>
      <c r="I175" s="81">
        <v>248110.80000000005</v>
      </c>
      <c r="J175" s="81">
        <v>0</v>
      </c>
      <c r="K175" s="81">
        <v>0</v>
      </c>
      <c r="L175" s="310">
        <v>0</v>
      </c>
      <c r="M175" s="81">
        <v>248110.80000000005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  <c r="S175" s="91">
        <v>0</v>
      </c>
      <c r="T175" s="246">
        <v>0</v>
      </c>
      <c r="U175" s="322">
        <v>0</v>
      </c>
      <c r="V175" s="81">
        <v>0</v>
      </c>
      <c r="W175" s="310">
        <v>250000</v>
      </c>
      <c r="X175" s="310">
        <v>0</v>
      </c>
      <c r="Y175" s="246">
        <v>250000</v>
      </c>
      <c r="Z175" s="246">
        <v>-1889.199999999968</v>
      </c>
      <c r="AA175" s="244">
        <v>-7.6143400448507991E-3</v>
      </c>
      <c r="AB175" s="244">
        <v>0</v>
      </c>
      <c r="AC175" s="81">
        <v>1790.121212121212</v>
      </c>
      <c r="AD175" s="244">
        <v>0</v>
      </c>
      <c r="AF175" s="1">
        <f t="shared" si="64"/>
        <v>220</v>
      </c>
      <c r="AG175" s="231"/>
      <c r="BZ175" s="278" t="s">
        <v>203</v>
      </c>
      <c r="CC175">
        <v>0</v>
      </c>
      <c r="CD175">
        <v>0</v>
      </c>
      <c r="CE175">
        <v>0</v>
      </c>
      <c r="CF175">
        <v>0</v>
      </c>
      <c r="CL175" s="26" t="s">
        <v>175</v>
      </c>
      <c r="EM175">
        <v>0</v>
      </c>
      <c r="EN175">
        <v>0</v>
      </c>
      <c r="EO175">
        <v>0</v>
      </c>
      <c r="EP175">
        <v>0</v>
      </c>
      <c r="GS175" s="26">
        <v>11</v>
      </c>
      <c r="GT175" s="16">
        <v>6298</v>
      </c>
      <c r="GU175">
        <v>64</v>
      </c>
      <c r="GV175" s="16">
        <v>8525000</v>
      </c>
      <c r="GW175" s="16">
        <v>4715456.7419354841</v>
      </c>
      <c r="GX175" s="35">
        <v>26237256.741935484</v>
      </c>
      <c r="GY175" s="313">
        <v>12245000</v>
      </c>
      <c r="GZ175" s="332">
        <v>23038400</v>
      </c>
      <c r="HA175" s="35">
        <v>12837903</v>
      </c>
      <c r="HB175" s="35">
        <v>-9639046.2580645159</v>
      </c>
      <c r="HC175" s="13">
        <v>-0.36738010962320816</v>
      </c>
      <c r="HD175" s="13">
        <v>8.6749311294765846E-2</v>
      </c>
      <c r="HE175" s="16">
        <v>9221.9752302318193</v>
      </c>
      <c r="HF175" s="13">
        <v>0.30991735537190085</v>
      </c>
      <c r="HH175" s="1">
        <f t="shared" si="71"/>
        <v>-3720000</v>
      </c>
      <c r="HI175" s="27">
        <f t="shared" si="72"/>
        <v>-0.43636363636363634</v>
      </c>
      <c r="HJ175" s="1">
        <f t="shared" si="73"/>
        <v>995456.74193548411</v>
      </c>
      <c r="HK175" s="27">
        <f t="shared" si="74"/>
        <v>7.5182960930845408E-2</v>
      </c>
      <c r="JO175"/>
      <c r="JP175"/>
      <c r="JS175"/>
      <c r="JT175"/>
      <c r="JV175"/>
      <c r="JZ175"/>
      <c r="KA175"/>
      <c r="KN175" s="278" t="s">
        <v>165</v>
      </c>
      <c r="MC175">
        <v>1</v>
      </c>
      <c r="MD175">
        <v>1</v>
      </c>
      <c r="ME175">
        <v>1</v>
      </c>
      <c r="MF175">
        <v>4</v>
      </c>
      <c r="MI175">
        <v>0</v>
      </c>
      <c r="MJ175">
        <v>0</v>
      </c>
      <c r="MK175">
        <v>0</v>
      </c>
      <c r="ML175">
        <v>7</v>
      </c>
    </row>
    <row r="176" spans="2:350">
      <c r="B176" s="27">
        <f t="shared" si="78"/>
        <v>0</v>
      </c>
      <c r="C176" s="27">
        <f t="shared" si="79"/>
        <v>0</v>
      </c>
      <c r="D176" s="1">
        <f t="shared" si="80"/>
        <v>0</v>
      </c>
      <c r="E176" s="371" t="s">
        <v>181</v>
      </c>
      <c r="F176" s="85">
        <v>0.73380035026269708</v>
      </c>
      <c r="G176" s="85">
        <v>0.5</v>
      </c>
      <c r="H176" s="85">
        <v>0.59060474968137999</v>
      </c>
      <c r="I176" s="85">
        <v>0.59060474968138021</v>
      </c>
      <c r="J176" s="85">
        <v>0</v>
      </c>
      <c r="K176" s="85">
        <v>0</v>
      </c>
      <c r="L176" s="85">
        <v>0</v>
      </c>
      <c r="M176" s="85">
        <v>0.59060474968138021</v>
      </c>
      <c r="N176" s="85">
        <v>0</v>
      </c>
      <c r="O176" s="85">
        <v>0</v>
      </c>
      <c r="P176" s="85">
        <v>0</v>
      </c>
      <c r="Q176" s="85">
        <v>0</v>
      </c>
      <c r="R176" s="85">
        <v>0</v>
      </c>
      <c r="S176" s="85">
        <v>0</v>
      </c>
      <c r="T176" s="85">
        <v>0</v>
      </c>
      <c r="U176" s="372">
        <v>0</v>
      </c>
      <c r="V176" s="85">
        <v>0</v>
      </c>
      <c r="W176" s="85">
        <v>-0.2857142857142857</v>
      </c>
      <c r="X176" s="85">
        <v>0</v>
      </c>
      <c r="Y176" s="85">
        <v>-0.2857142857142857</v>
      </c>
      <c r="Z176" s="85">
        <v>-0.99026259852341181</v>
      </c>
      <c r="AA176" s="85">
        <v>-1.6766925749541284</v>
      </c>
      <c r="AB176" s="85">
        <v>0</v>
      </c>
      <c r="AC176" s="85">
        <v>0.80485754670183285</v>
      </c>
      <c r="AD176" s="85">
        <v>0</v>
      </c>
      <c r="AF176" s="1">
        <f t="shared" si="64"/>
        <v>1.4676007005253942</v>
      </c>
      <c r="AG176" s="231"/>
      <c r="BZ176" s="278" t="s">
        <v>175</v>
      </c>
      <c r="CC176">
        <v>0</v>
      </c>
      <c r="CD176">
        <v>0</v>
      </c>
      <c r="CE176">
        <v>0</v>
      </c>
      <c r="CF176">
        <v>0</v>
      </c>
      <c r="CL176" s="26" t="s">
        <v>200</v>
      </c>
      <c r="EM176">
        <v>0</v>
      </c>
      <c r="EN176">
        <v>0</v>
      </c>
      <c r="EO176">
        <v>0</v>
      </c>
      <c r="EP176">
        <v>0</v>
      </c>
      <c r="GS176" s="26">
        <v>12</v>
      </c>
      <c r="GT176" s="16">
        <v>5956</v>
      </c>
      <c r="GU176">
        <v>65</v>
      </c>
      <c r="GV176" s="16">
        <v>9975000</v>
      </c>
      <c r="GW176" s="16">
        <v>4715456.7419354841</v>
      </c>
      <c r="GX176" s="35">
        <v>26866516.741935484</v>
      </c>
      <c r="GY176" s="313">
        <v>14420000</v>
      </c>
      <c r="GZ176" s="332">
        <v>24649800</v>
      </c>
      <c r="HA176" s="35">
        <v>15372903</v>
      </c>
      <c r="HB176" s="35">
        <v>-13156186.258064516</v>
      </c>
      <c r="HC176" s="13">
        <v>-0.4896870846502126</v>
      </c>
      <c r="HD176" s="13">
        <v>0.10111503844331889</v>
      </c>
      <c r="HE176" s="16">
        <v>9215.2451309603766</v>
      </c>
      <c r="HF176" s="13">
        <v>0.34799402397697043</v>
      </c>
      <c r="HH176" s="1">
        <f t="shared" si="71"/>
        <v>-4445000</v>
      </c>
      <c r="HI176" s="27">
        <f t="shared" si="72"/>
        <v>-0.4456140350877193</v>
      </c>
      <c r="HJ176" s="1">
        <f t="shared" si="73"/>
        <v>270456.74193548411</v>
      </c>
      <c r="HK176" s="27">
        <f t="shared" si="74"/>
        <v>1.8410369853473402E-2</v>
      </c>
      <c r="JO176"/>
      <c r="JP176"/>
      <c r="JS176"/>
      <c r="JT176"/>
      <c r="JV176"/>
      <c r="JZ176"/>
      <c r="KA176"/>
      <c r="KN176" s="278" t="s">
        <v>36</v>
      </c>
      <c r="MF176">
        <v>4</v>
      </c>
      <c r="MG176">
        <v>6</v>
      </c>
      <c r="MH176">
        <v>6</v>
      </c>
      <c r="MI176">
        <v>0</v>
      </c>
      <c r="MJ176">
        <v>0</v>
      </c>
      <c r="MK176">
        <v>0</v>
      </c>
      <c r="ML176">
        <v>16</v>
      </c>
    </row>
    <row r="177" spans="2:350">
      <c r="B177" s="27">
        <f t="shared" si="78"/>
        <v>0</v>
      </c>
      <c r="C177" s="27">
        <f t="shared" si="79"/>
        <v>0</v>
      </c>
      <c r="D177" s="1">
        <f t="shared" si="80"/>
        <v>0</v>
      </c>
      <c r="E177" s="341">
        <v>152026</v>
      </c>
      <c r="F177" s="81">
        <v>1390</v>
      </c>
      <c r="G177" s="91">
        <v>9</v>
      </c>
      <c r="H177" s="81">
        <v>2401600</v>
      </c>
      <c r="I177" s="81">
        <v>168112.00000000003</v>
      </c>
      <c r="J177" s="81">
        <v>0</v>
      </c>
      <c r="K177" s="81">
        <v>0</v>
      </c>
      <c r="L177" s="310">
        <v>0</v>
      </c>
      <c r="M177" s="81">
        <v>168112.00000000003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  <c r="S177" s="91">
        <v>0</v>
      </c>
      <c r="T177" s="246">
        <v>0</v>
      </c>
      <c r="U177" s="322">
        <v>0</v>
      </c>
      <c r="V177" s="81">
        <v>0</v>
      </c>
      <c r="W177" s="310">
        <v>350000</v>
      </c>
      <c r="X177" s="310">
        <v>0</v>
      </c>
      <c r="Y177" s="246">
        <v>350000</v>
      </c>
      <c r="Z177" s="246">
        <v>-181887.99999999997</v>
      </c>
      <c r="AA177" s="244">
        <v>-1.0819453697534973</v>
      </c>
      <c r="AB177" s="244">
        <v>0</v>
      </c>
      <c r="AC177" s="81">
        <v>1727.769784172662</v>
      </c>
      <c r="AD177" s="244">
        <v>0</v>
      </c>
      <c r="AF177" s="1">
        <f t="shared" si="64"/>
        <v>154.44444444444446</v>
      </c>
      <c r="AG177" s="231"/>
      <c r="BZ177" s="278" t="s">
        <v>200</v>
      </c>
      <c r="CC177">
        <v>0</v>
      </c>
      <c r="CD177">
        <v>0</v>
      </c>
      <c r="CE177">
        <v>0</v>
      </c>
      <c r="CF177">
        <v>0</v>
      </c>
      <c r="CL177" s="26" t="s">
        <v>176</v>
      </c>
      <c r="DM177">
        <v>9</v>
      </c>
      <c r="DN177">
        <v>5</v>
      </c>
      <c r="DP177">
        <v>9</v>
      </c>
      <c r="DQ177">
        <v>10</v>
      </c>
      <c r="EM177">
        <v>0</v>
      </c>
      <c r="EN177">
        <v>0</v>
      </c>
      <c r="EO177">
        <v>0</v>
      </c>
      <c r="EP177">
        <v>10</v>
      </c>
      <c r="GS177" s="26">
        <v>13</v>
      </c>
      <c r="GT177" s="16">
        <v>9066</v>
      </c>
      <c r="GU177">
        <v>61</v>
      </c>
      <c r="GV177" s="16">
        <v>8575000</v>
      </c>
      <c r="GW177" s="16">
        <v>4715456.7419354841</v>
      </c>
      <c r="GX177" s="35">
        <v>30686856.741935484</v>
      </c>
      <c r="GY177" s="313">
        <v>12005000</v>
      </c>
      <c r="GZ177" s="332">
        <v>24402800</v>
      </c>
      <c r="HA177" s="35">
        <v>12957903</v>
      </c>
      <c r="HB177" s="35">
        <v>-6673846.2580645159</v>
      </c>
      <c r="HC177" s="13">
        <v>-0.21748223723885976</v>
      </c>
      <c r="HD177" s="13">
        <v>8.7551907291163689E-2</v>
      </c>
      <c r="HE177" s="16">
        <v>9137.436576218839</v>
      </c>
      <c r="HF177" s="13">
        <v>0.20702559150169</v>
      </c>
      <c r="JO177"/>
      <c r="JP177"/>
      <c r="JS177"/>
      <c r="JT177"/>
      <c r="JV177"/>
      <c r="JZ177"/>
      <c r="KA177"/>
      <c r="KN177" s="278" t="s">
        <v>166</v>
      </c>
      <c r="MI177">
        <v>0</v>
      </c>
      <c r="MJ177">
        <v>0</v>
      </c>
      <c r="MK177">
        <v>0</v>
      </c>
      <c r="ML177">
        <v>0</v>
      </c>
    </row>
    <row r="178" spans="2:350">
      <c r="B178" s="27">
        <f t="shared" si="78"/>
        <v>0</v>
      </c>
      <c r="C178" s="27">
        <f t="shared" si="79"/>
        <v>0</v>
      </c>
      <c r="D178" s="1" t="e">
        <f t="shared" si="80"/>
        <v>#DIV/0!</v>
      </c>
      <c r="E178" s="390" t="s">
        <v>182</v>
      </c>
      <c r="F178" s="349">
        <v>-0.29797979797979796</v>
      </c>
      <c r="G178" s="349">
        <v>0</v>
      </c>
      <c r="H178" s="349">
        <v>-0.32243175226552007</v>
      </c>
      <c r="I178" s="349">
        <v>-0.32243175226552007</v>
      </c>
      <c r="J178" s="349">
        <v>0</v>
      </c>
      <c r="K178" s="349">
        <v>0</v>
      </c>
      <c r="L178" s="349">
        <v>0</v>
      </c>
      <c r="M178" s="349">
        <v>-0.32243175226552007</v>
      </c>
      <c r="N178" s="349">
        <v>0</v>
      </c>
      <c r="O178" s="349">
        <v>0</v>
      </c>
      <c r="P178" s="349">
        <v>0</v>
      </c>
      <c r="Q178" s="349">
        <v>0</v>
      </c>
      <c r="R178" s="349">
        <v>0</v>
      </c>
      <c r="S178" s="349">
        <v>0</v>
      </c>
      <c r="T178" s="349">
        <v>0</v>
      </c>
      <c r="U178" s="391">
        <v>0</v>
      </c>
      <c r="V178" s="349">
        <v>0</v>
      </c>
      <c r="W178" s="349">
        <v>0.4</v>
      </c>
      <c r="X178" s="349">
        <v>0</v>
      </c>
      <c r="Y178" s="349">
        <v>0.4</v>
      </c>
      <c r="Z178" s="349">
        <v>95.277789540547872</v>
      </c>
      <c r="AA178" s="349">
        <v>-295.49753977730876</v>
      </c>
      <c r="AB178" s="349">
        <v>0</v>
      </c>
      <c r="AC178" s="349">
        <v>1.0820591008232707</v>
      </c>
      <c r="AD178" s="349">
        <v>0</v>
      </c>
      <c r="AF178" s="1" t="e">
        <f t="shared" si="64"/>
        <v>#DIV/0!</v>
      </c>
      <c r="AG178" s="231"/>
      <c r="BZ178" s="278" t="s">
        <v>176</v>
      </c>
      <c r="CC178">
        <v>0</v>
      </c>
      <c r="CD178">
        <v>0</v>
      </c>
      <c r="CE178">
        <v>0</v>
      </c>
      <c r="CF178">
        <v>0</v>
      </c>
      <c r="CL178" s="26" t="s">
        <v>201</v>
      </c>
      <c r="EM178">
        <v>0</v>
      </c>
      <c r="EN178">
        <v>0</v>
      </c>
      <c r="EO178">
        <v>0</v>
      </c>
      <c r="EP178">
        <v>0</v>
      </c>
      <c r="GS178" s="26">
        <v>14</v>
      </c>
      <c r="GT178" s="16">
        <v>9005</v>
      </c>
      <c r="GU178">
        <v>49</v>
      </c>
      <c r="GV178" s="16">
        <v>4650000</v>
      </c>
      <c r="GW178" s="16">
        <v>3954331.3548387093</v>
      </c>
      <c r="GX178" s="35">
        <v>25963771.35483871</v>
      </c>
      <c r="GY178" s="313">
        <v>8505000</v>
      </c>
      <c r="GZ178" s="332">
        <v>19354000</v>
      </c>
      <c r="HA178" s="35">
        <v>9457903</v>
      </c>
      <c r="HB178" s="35">
        <v>-2848131.6451612907</v>
      </c>
      <c r="HC178" s="13">
        <v>-0.10969637677965846</v>
      </c>
      <c r="HD178" s="13">
        <v>8.7147972515242422E-2</v>
      </c>
      <c r="HE178" s="16">
        <v>9179.7890061077178</v>
      </c>
      <c r="HF178" s="13">
        <v>0.14698054775960515</v>
      </c>
      <c r="JO178"/>
      <c r="JP178"/>
      <c r="JS178"/>
      <c r="JT178"/>
      <c r="JV178"/>
      <c r="JZ178"/>
      <c r="KA178"/>
      <c r="KN178" s="26" t="s">
        <v>173</v>
      </c>
      <c r="KO178">
        <v>12</v>
      </c>
      <c r="KP178">
        <v>15</v>
      </c>
      <c r="KQ178">
        <v>14</v>
      </c>
      <c r="KR178">
        <v>15</v>
      </c>
      <c r="KS178">
        <v>28</v>
      </c>
      <c r="KT178">
        <v>15</v>
      </c>
      <c r="KU178">
        <v>15</v>
      </c>
      <c r="KV178">
        <v>15</v>
      </c>
      <c r="KW178">
        <v>20</v>
      </c>
      <c r="KX178">
        <v>12</v>
      </c>
      <c r="KY178">
        <v>12</v>
      </c>
      <c r="KZ178">
        <v>16</v>
      </c>
      <c r="LA178">
        <v>16</v>
      </c>
      <c r="LB178">
        <v>17</v>
      </c>
      <c r="LC178">
        <v>17</v>
      </c>
      <c r="LD178">
        <v>17</v>
      </c>
      <c r="LE178">
        <v>16</v>
      </c>
      <c r="LF178">
        <v>31</v>
      </c>
      <c r="LG178">
        <v>16</v>
      </c>
      <c r="LH178">
        <v>16</v>
      </c>
      <c r="LI178">
        <v>16</v>
      </c>
      <c r="LJ178">
        <v>23</v>
      </c>
      <c r="LK178">
        <v>13</v>
      </c>
      <c r="LL178">
        <v>12</v>
      </c>
      <c r="LM178">
        <v>12</v>
      </c>
      <c r="LN178">
        <v>18</v>
      </c>
      <c r="LO178">
        <v>38</v>
      </c>
      <c r="LP178">
        <v>23</v>
      </c>
      <c r="LQ178">
        <v>22</v>
      </c>
      <c r="LR178">
        <v>23</v>
      </c>
      <c r="LS178">
        <v>39</v>
      </c>
      <c r="LT178">
        <v>25</v>
      </c>
      <c r="LU178">
        <v>24</v>
      </c>
      <c r="LV178">
        <v>27</v>
      </c>
      <c r="LW178">
        <v>27</v>
      </c>
      <c r="LX178">
        <v>27</v>
      </c>
      <c r="LY178">
        <v>26</v>
      </c>
      <c r="LZ178">
        <v>29</v>
      </c>
      <c r="MA178">
        <v>26</v>
      </c>
      <c r="MB178">
        <v>39</v>
      </c>
      <c r="MC178">
        <v>19</v>
      </c>
      <c r="MD178">
        <v>16</v>
      </c>
      <c r="ME178">
        <v>18</v>
      </c>
      <c r="MF178">
        <v>27</v>
      </c>
      <c r="MG178">
        <v>12</v>
      </c>
      <c r="MH178">
        <v>10</v>
      </c>
      <c r="MI178">
        <v>0</v>
      </c>
      <c r="MJ178">
        <v>0</v>
      </c>
      <c r="MK178">
        <v>0</v>
      </c>
      <c r="ML178">
        <v>926</v>
      </c>
    </row>
    <row r="179" spans="2:350">
      <c r="B179" s="27">
        <f t="shared" si="78"/>
        <v>8.9303758317042264E-2</v>
      </c>
      <c r="C179" s="27">
        <f t="shared" si="79"/>
        <v>0.13036628897705121</v>
      </c>
      <c r="D179" s="1">
        <f t="shared" si="80"/>
        <v>6973627.7387543358</v>
      </c>
      <c r="E179" s="26" t="s">
        <v>174</v>
      </c>
      <c r="F179" s="16">
        <v>379718.1654024467</v>
      </c>
      <c r="G179">
        <v>65</v>
      </c>
      <c r="H179" s="16">
        <v>3477017000.1450696</v>
      </c>
      <c r="I179" s="16">
        <v>806225810.14506936</v>
      </c>
      <c r="J179" s="16">
        <v>287311071.85846686</v>
      </c>
      <c r="K179" s="16">
        <v>80855999.000000015</v>
      </c>
      <c r="L179" s="123">
        <v>80000</v>
      </c>
      <c r="M179" s="16">
        <v>1190802080.6265719</v>
      </c>
      <c r="N179" s="16">
        <v>310510685.84520262</v>
      </c>
      <c r="O179" s="16">
        <v>453285803.01903182</v>
      </c>
      <c r="P179" s="16">
        <v>25722801</v>
      </c>
      <c r="Q179" s="16">
        <v>0</v>
      </c>
      <c r="R179" s="16">
        <v>400000</v>
      </c>
      <c r="S179">
        <v>0</v>
      </c>
      <c r="T179" s="12">
        <v>789919289.71096087</v>
      </c>
      <c r="U179" s="313">
        <v>411879957.25164878</v>
      </c>
      <c r="V179" s="16">
        <v>0</v>
      </c>
      <c r="W179" s="123">
        <v>41681666.780952387</v>
      </c>
      <c r="X179" s="123">
        <v>564515</v>
      </c>
      <c r="Y179" s="12">
        <v>454126138.89554065</v>
      </c>
      <c r="Z179" s="12">
        <v>-53243350.04445678</v>
      </c>
      <c r="AA179" s="13">
        <v>-4.4712174181322714E-2</v>
      </c>
      <c r="AB179" s="13">
        <v>8.9303758317042264E-2</v>
      </c>
      <c r="AC179" s="16">
        <v>9156.8360877861378</v>
      </c>
      <c r="AD179" s="13">
        <v>0.13036628897705121</v>
      </c>
      <c r="AF179" s="1">
        <f t="shared" si="64"/>
        <v>5841.8179292684108</v>
      </c>
      <c r="AG179" s="231"/>
      <c r="BZ179" s="278" t="s">
        <v>201</v>
      </c>
      <c r="CC179">
        <v>0</v>
      </c>
      <c r="CD179">
        <v>0</v>
      </c>
      <c r="CE179">
        <v>0</v>
      </c>
      <c r="CF179">
        <v>0</v>
      </c>
      <c r="CL179" s="26" t="s">
        <v>178</v>
      </c>
      <c r="EM179">
        <v>0</v>
      </c>
      <c r="EN179">
        <v>0</v>
      </c>
      <c r="EO179">
        <v>0</v>
      </c>
      <c r="EP179">
        <v>0</v>
      </c>
      <c r="GS179" s="26">
        <v>15</v>
      </c>
      <c r="GT179" s="16">
        <v>11902</v>
      </c>
      <c r="GU179">
        <v>56</v>
      </c>
      <c r="GV179" s="16">
        <v>7550000</v>
      </c>
      <c r="GW179" s="16">
        <v>3649881.2</v>
      </c>
      <c r="GX179" s="35">
        <v>34805881.200000003</v>
      </c>
      <c r="GY179" s="313">
        <v>11200000</v>
      </c>
      <c r="GZ179" s="332">
        <v>25906400</v>
      </c>
      <c r="HA179" s="35">
        <v>11200000</v>
      </c>
      <c r="HB179" s="35">
        <v>-2300518.799999997</v>
      </c>
      <c r="HC179" s="13">
        <v>-6.6095691897034833E-2</v>
      </c>
      <c r="HD179" s="13">
        <v>9.1219152854511973E-2</v>
      </c>
      <c r="HE179" s="16">
        <v>9124.5168879179964</v>
      </c>
      <c r="HF179" s="13">
        <v>0.14732965009208104</v>
      </c>
      <c r="JO179"/>
      <c r="JP179"/>
      <c r="JS179"/>
      <c r="JT179"/>
      <c r="JV179"/>
      <c r="JZ179"/>
      <c r="KA179"/>
      <c r="KN179" s="278" t="s">
        <v>21</v>
      </c>
      <c r="KO179">
        <v>12</v>
      </c>
      <c r="KP179">
        <v>15</v>
      </c>
      <c r="KQ179">
        <v>14</v>
      </c>
      <c r="KR179">
        <v>15</v>
      </c>
      <c r="KS179">
        <v>17</v>
      </c>
      <c r="MI179">
        <v>0</v>
      </c>
      <c r="MJ179">
        <v>0</v>
      </c>
      <c r="MK179">
        <v>0</v>
      </c>
      <c r="ML179">
        <v>73</v>
      </c>
    </row>
    <row r="180" spans="2:350">
      <c r="B180" s="27">
        <f t="shared" si="78"/>
        <v>9.2966184318555009E-2</v>
      </c>
      <c r="C180" s="27">
        <f t="shared" si="79"/>
        <v>0.14047105911330046</v>
      </c>
      <c r="D180" s="1">
        <f t="shared" si="80"/>
        <v>156428.57142857142</v>
      </c>
      <c r="E180" s="278">
        <v>1</v>
      </c>
      <c r="F180" s="16">
        <v>4861</v>
      </c>
      <c r="G180">
        <v>40</v>
      </c>
      <c r="H180" s="16">
        <v>44544000</v>
      </c>
      <c r="I180" s="16">
        <v>890880</v>
      </c>
      <c r="J180" s="16">
        <v>3128571.4285714282</v>
      </c>
      <c r="K180" s="16">
        <v>1954324.2580645161</v>
      </c>
      <c r="M180" s="16">
        <v>5973775.6866359441</v>
      </c>
      <c r="N180" s="16">
        <v>4141085.7142857141</v>
      </c>
      <c r="O180" s="16">
        <v>6257142.8571428563</v>
      </c>
      <c r="P180" s="16"/>
      <c r="Q180" s="16"/>
      <c r="R180" s="16"/>
      <c r="S180"/>
      <c r="T180" s="12">
        <v>10398228.571428571</v>
      </c>
      <c r="U180" s="313">
        <v>4167257.1428571427</v>
      </c>
      <c r="V180" s="16"/>
      <c r="W180" s="123"/>
      <c r="X180" s="123"/>
      <c r="Y180" s="12">
        <v>4167257.1428571427</v>
      </c>
      <c r="Z180" s="12">
        <v>-8591710.0276497677</v>
      </c>
      <c r="AA180" s="13">
        <v>-1.4382378044208219</v>
      </c>
      <c r="AB180" s="13">
        <v>9.2966184318555009E-2</v>
      </c>
      <c r="AC180" s="16">
        <v>9163.5465953507501</v>
      </c>
      <c r="AD180" s="13">
        <v>0.14047105911330046</v>
      </c>
      <c r="AF180" s="1">
        <f t="shared" si="64"/>
        <v>121.52500000000001</v>
      </c>
      <c r="AG180" s="231"/>
      <c r="BZ180" s="278" t="s">
        <v>178</v>
      </c>
      <c r="CC180">
        <v>0</v>
      </c>
      <c r="CD180">
        <v>0</v>
      </c>
      <c r="CE180">
        <v>0</v>
      </c>
      <c r="CF180">
        <v>0</v>
      </c>
      <c r="CL180" s="26" t="s">
        <v>177</v>
      </c>
      <c r="DQ180">
        <v>1</v>
      </c>
      <c r="EM180">
        <v>0</v>
      </c>
      <c r="EN180">
        <v>0</v>
      </c>
      <c r="EO180">
        <v>0</v>
      </c>
      <c r="EP180">
        <v>1</v>
      </c>
      <c r="GS180" s="26">
        <v>16</v>
      </c>
      <c r="GT180" s="16">
        <v>11851</v>
      </c>
      <c r="GU180">
        <v>53</v>
      </c>
      <c r="GV180" s="16">
        <v>7100000</v>
      </c>
      <c r="GW180" s="16">
        <v>3649881.2</v>
      </c>
      <c r="GX180" s="35">
        <v>34282231.200000003</v>
      </c>
      <c r="GY180" s="313">
        <v>10395000</v>
      </c>
      <c r="GZ180" s="332">
        <v>24330500</v>
      </c>
      <c r="HA180" s="35">
        <v>10395000</v>
      </c>
      <c r="HB180" s="35">
        <v>-443268.79999999702</v>
      </c>
      <c r="HC180" s="13">
        <v>-1.2929986890701472E-2</v>
      </c>
      <c r="HD180" s="13">
        <v>8.8161993769470398E-2</v>
      </c>
      <c r="HE180" s="16">
        <v>9073.9178128427975</v>
      </c>
      <c r="HF180" s="13">
        <v>0.13809457385967361</v>
      </c>
      <c r="JO180"/>
      <c r="JP180"/>
      <c r="JS180"/>
      <c r="JT180"/>
      <c r="JV180"/>
      <c r="JZ180"/>
      <c r="KA180"/>
      <c r="KN180" s="278" t="s">
        <v>158</v>
      </c>
      <c r="KS180">
        <v>11</v>
      </c>
      <c r="KT180">
        <v>15</v>
      </c>
      <c r="KU180">
        <v>15</v>
      </c>
      <c r="KV180">
        <v>15</v>
      </c>
      <c r="KW180">
        <v>13</v>
      </c>
      <c r="MI180">
        <v>0</v>
      </c>
      <c r="MJ180">
        <v>0</v>
      </c>
      <c r="MK180">
        <v>0</v>
      </c>
      <c r="ML180">
        <v>69</v>
      </c>
    </row>
    <row r="181" spans="2:350">
      <c r="B181" s="27">
        <f t="shared" si="78"/>
        <v>8.6974157749665992E-2</v>
      </c>
      <c r="C181" s="27">
        <f t="shared" si="79"/>
        <v>0.13541002154523898</v>
      </c>
      <c r="D181" s="1">
        <f t="shared" si="80"/>
        <v>255681.81818181818</v>
      </c>
      <c r="E181" s="278">
        <v>2</v>
      </c>
      <c r="F181" s="16">
        <v>9110</v>
      </c>
      <c r="G181">
        <v>44</v>
      </c>
      <c r="H181" s="16">
        <v>83081000</v>
      </c>
      <c r="I181" s="16">
        <v>17447010</v>
      </c>
      <c r="J181" s="16">
        <v>5625000</v>
      </c>
      <c r="K181" s="16">
        <v>3420067.4516129033</v>
      </c>
      <c r="M181" s="16">
        <v>26492077.451612905</v>
      </c>
      <c r="N181" s="16">
        <v>7225900</v>
      </c>
      <c r="O181" s="16">
        <v>11250000</v>
      </c>
      <c r="P181" s="16">
        <v>0</v>
      </c>
      <c r="Q181" s="16"/>
      <c r="R181" s="16">
        <v>0</v>
      </c>
      <c r="S181"/>
      <c r="T181" s="12">
        <v>18475900</v>
      </c>
      <c r="U181" s="313">
        <v>10156500</v>
      </c>
      <c r="V181" s="16"/>
      <c r="W181" s="123">
        <v>0</v>
      </c>
      <c r="X181" s="123"/>
      <c r="Y181" s="12">
        <v>10156500</v>
      </c>
      <c r="Z181" s="12">
        <v>-2140322.5483870953</v>
      </c>
      <c r="AA181" s="13">
        <v>-8.0791042238810423E-2</v>
      </c>
      <c r="AB181" s="13">
        <v>8.6974157749665992E-2</v>
      </c>
      <c r="AC181" s="16">
        <v>9119.7585071350168</v>
      </c>
      <c r="AD181" s="13">
        <v>0.13541002154523898</v>
      </c>
      <c r="AF181" s="1">
        <f t="shared" si="64"/>
        <v>207.04545454545453</v>
      </c>
      <c r="AG181" s="231"/>
      <c r="BZ181" s="278" t="s">
        <v>177</v>
      </c>
      <c r="CC181">
        <v>0</v>
      </c>
      <c r="CD181">
        <v>0</v>
      </c>
      <c r="CE181">
        <v>0</v>
      </c>
      <c r="CF181">
        <v>0</v>
      </c>
      <c r="CL181" s="26" t="s">
        <v>202</v>
      </c>
      <c r="EM181">
        <v>0</v>
      </c>
      <c r="EN181">
        <v>0</v>
      </c>
      <c r="EO181">
        <v>0</v>
      </c>
      <c r="EP181">
        <v>0</v>
      </c>
      <c r="GS181" s="26">
        <v>17</v>
      </c>
      <c r="GT181" s="16">
        <v>10383</v>
      </c>
      <c r="GU181">
        <v>51</v>
      </c>
      <c r="GV181" s="16">
        <v>4680000</v>
      </c>
      <c r="GW181" s="16">
        <v>3649881.2</v>
      </c>
      <c r="GX181" s="35">
        <v>28804341.199999999</v>
      </c>
      <c r="GY181" s="313">
        <v>9555000</v>
      </c>
      <c r="GZ181" s="332">
        <v>17181400</v>
      </c>
      <c r="HA181" s="35">
        <v>10395000</v>
      </c>
      <c r="HB181" s="35">
        <v>1227941.1999999993</v>
      </c>
      <c r="HC181" s="13">
        <v>4.263042127830368E-2</v>
      </c>
      <c r="HD181" s="13">
        <v>8.8435576943551308E-2</v>
      </c>
      <c r="HE181" s="16">
        <v>9046.1331021862661</v>
      </c>
      <c r="HF181" s="13">
        <v>1.9962523688861443E-2</v>
      </c>
      <c r="JO181"/>
      <c r="JP181"/>
      <c r="JS181"/>
      <c r="JT181"/>
      <c r="JV181"/>
      <c r="JZ181"/>
      <c r="KA181"/>
      <c r="KN181" s="278" t="s">
        <v>159</v>
      </c>
      <c r="KW181">
        <v>7</v>
      </c>
      <c r="KX181">
        <v>12</v>
      </c>
      <c r="KY181">
        <v>12</v>
      </c>
      <c r="KZ181">
        <v>16</v>
      </c>
      <c r="LA181">
        <v>16</v>
      </c>
      <c r="LB181">
        <v>3</v>
      </c>
      <c r="MI181">
        <v>0</v>
      </c>
      <c r="MJ181">
        <v>0</v>
      </c>
      <c r="MK181">
        <v>0</v>
      </c>
      <c r="ML181">
        <v>66</v>
      </c>
    </row>
    <row r="182" spans="2:350">
      <c r="B182" s="27">
        <f t="shared" si="78"/>
        <v>8.3494516570276692E-2</v>
      </c>
      <c r="C182" s="27">
        <f t="shared" si="79"/>
        <v>0.14278515034436418</v>
      </c>
      <c r="D182" s="1">
        <f t="shared" si="80"/>
        <v>253191.48936170212</v>
      </c>
      <c r="E182" s="278">
        <v>3</v>
      </c>
      <c r="F182" s="16">
        <v>9176</v>
      </c>
      <c r="G182">
        <v>47</v>
      </c>
      <c r="H182" s="16">
        <v>83342000</v>
      </c>
      <c r="I182" s="16">
        <v>17501820</v>
      </c>
      <c r="J182" s="16">
        <v>5950000</v>
      </c>
      <c r="K182" s="16">
        <v>3420067.4516129033</v>
      </c>
      <c r="M182" s="16">
        <v>27471887.451612905</v>
      </c>
      <c r="N182" s="16">
        <v>6958600</v>
      </c>
      <c r="O182" s="16">
        <v>11900000</v>
      </c>
      <c r="P182" s="16">
        <v>0</v>
      </c>
      <c r="Q182" s="16"/>
      <c r="R182" s="16">
        <v>0</v>
      </c>
      <c r="S182"/>
      <c r="T182" s="12">
        <v>18858600</v>
      </c>
      <c r="U182" s="313">
        <v>7925400</v>
      </c>
      <c r="V182" s="16"/>
      <c r="W182" s="123">
        <v>0</v>
      </c>
      <c r="X182" s="123"/>
      <c r="Y182" s="12">
        <v>7925400</v>
      </c>
      <c r="Z182" s="12">
        <v>687887.45161290467</v>
      </c>
      <c r="AA182" s="13">
        <v>2.503968658231082E-2</v>
      </c>
      <c r="AB182" s="13">
        <v>8.3494516570276692E-2</v>
      </c>
      <c r="AC182" s="16">
        <v>9082.6068003487362</v>
      </c>
      <c r="AD182" s="13">
        <v>0.14278515034436418</v>
      </c>
      <c r="AF182" s="1">
        <f t="shared" si="64"/>
        <v>195.2340425531915</v>
      </c>
      <c r="AG182" s="231"/>
      <c r="BZ182" s="278" t="s">
        <v>202</v>
      </c>
      <c r="CC182">
        <v>0</v>
      </c>
      <c r="CD182">
        <v>0</v>
      </c>
      <c r="CE182">
        <v>0</v>
      </c>
      <c r="CF182">
        <v>0</v>
      </c>
      <c r="CL182" s="26" t="s">
        <v>204</v>
      </c>
      <c r="EM182">
        <v>0</v>
      </c>
      <c r="EN182">
        <v>0</v>
      </c>
      <c r="EO182">
        <v>0</v>
      </c>
      <c r="EP182">
        <v>0</v>
      </c>
      <c r="GS182" s="26">
        <v>18</v>
      </c>
      <c r="GT182" s="16">
        <v>8582</v>
      </c>
      <c r="GU182">
        <v>43</v>
      </c>
      <c r="GV182" s="16">
        <v>7740000</v>
      </c>
      <c r="GW182" s="16">
        <v>3355633.4967741934</v>
      </c>
      <c r="GX182" s="35">
        <v>28092433.496774197</v>
      </c>
      <c r="GY182" s="313">
        <v>15470000</v>
      </c>
      <c r="GZ182" s="332">
        <v>9643800</v>
      </c>
      <c r="HA182" s="35">
        <v>16310000</v>
      </c>
      <c r="HB182" s="35">
        <v>2138633.4967741948</v>
      </c>
      <c r="HC182" s="13">
        <v>7.6128452774294905E-2</v>
      </c>
      <c r="HD182" s="13">
        <v>9.8921618852459023E-2</v>
      </c>
      <c r="HE182" s="16">
        <v>9098.1123281286418</v>
      </c>
      <c r="HF182" s="13">
        <v>2.4590163934426229E-2</v>
      </c>
      <c r="JO182"/>
      <c r="JP182"/>
      <c r="JS182"/>
      <c r="JT182"/>
      <c r="JV182"/>
      <c r="JZ182"/>
      <c r="KA182"/>
      <c r="KN182" s="278" t="s">
        <v>160</v>
      </c>
      <c r="LB182">
        <v>14</v>
      </c>
      <c r="LC182">
        <v>17</v>
      </c>
      <c r="LD182">
        <v>17</v>
      </c>
      <c r="LE182">
        <v>16</v>
      </c>
      <c r="LF182">
        <v>16</v>
      </c>
      <c r="MI182">
        <v>0</v>
      </c>
      <c r="MJ182">
        <v>0</v>
      </c>
      <c r="MK182">
        <v>0</v>
      </c>
      <c r="ML182">
        <v>80</v>
      </c>
    </row>
    <row r="183" spans="2:350">
      <c r="B183" s="27">
        <f t="shared" si="78"/>
        <v>8.7675017560290336E-2</v>
      </c>
      <c r="C183" s="27">
        <f t="shared" si="79"/>
        <v>0.15956450479981268</v>
      </c>
      <c r="D183" s="1">
        <f t="shared" si="80"/>
        <v>257169.81132075473</v>
      </c>
      <c r="E183" s="278">
        <v>4</v>
      </c>
      <c r="F183" s="16">
        <v>9405</v>
      </c>
      <c r="G183">
        <v>53</v>
      </c>
      <c r="H183" s="16">
        <v>85420000</v>
      </c>
      <c r="I183" s="16">
        <v>17938200</v>
      </c>
      <c r="J183" s="16">
        <v>6575000</v>
      </c>
      <c r="K183" s="16">
        <v>3420067.4516129033</v>
      </c>
      <c r="M183" s="16">
        <v>28558267.451612905</v>
      </c>
      <c r="N183" s="16">
        <v>7489200</v>
      </c>
      <c r="O183" s="16">
        <v>13630000</v>
      </c>
      <c r="P183" s="16">
        <v>6067034</v>
      </c>
      <c r="Q183" s="16"/>
      <c r="R183" s="16"/>
      <c r="S183"/>
      <c r="T183" s="12">
        <v>27186234</v>
      </c>
      <c r="U183" s="313">
        <v>8757900</v>
      </c>
      <c r="V183" s="16"/>
      <c r="W183" s="123">
        <v>0</v>
      </c>
      <c r="X183" s="123"/>
      <c r="Y183" s="12">
        <v>8757900</v>
      </c>
      <c r="Z183" s="12">
        <v>-7385866.5483870953</v>
      </c>
      <c r="AA183" s="13">
        <v>-0.25862446175704396</v>
      </c>
      <c r="AB183" s="13">
        <v>8.7675017560290336E-2</v>
      </c>
      <c r="AC183" s="16">
        <v>9082.40297713982</v>
      </c>
      <c r="AD183" s="13">
        <v>0.15956450479981268</v>
      </c>
      <c r="AF183" s="1">
        <f t="shared" si="64"/>
        <v>177.45283018867926</v>
      </c>
      <c r="AG183" s="231"/>
      <c r="BZ183" s="278" t="s">
        <v>204</v>
      </c>
      <c r="CC183">
        <v>0</v>
      </c>
      <c r="CD183">
        <v>0</v>
      </c>
      <c r="CE183">
        <v>0</v>
      </c>
      <c r="CF183">
        <v>0</v>
      </c>
      <c r="CL183" s="11" t="s">
        <v>163</v>
      </c>
      <c r="DQ183">
        <v>262</v>
      </c>
      <c r="DR183">
        <v>263</v>
      </c>
      <c r="DS183">
        <v>254</v>
      </c>
      <c r="DT183">
        <v>248</v>
      </c>
      <c r="DU183">
        <v>251</v>
      </c>
      <c r="EM183">
        <v>0</v>
      </c>
      <c r="EN183">
        <v>0</v>
      </c>
      <c r="EO183">
        <v>0</v>
      </c>
      <c r="EP183">
        <v>263</v>
      </c>
      <c r="GS183" s="26">
        <v>19</v>
      </c>
      <c r="GT183" s="16">
        <v>6317</v>
      </c>
      <c r="GU183">
        <v>34</v>
      </c>
      <c r="GV183" s="16">
        <v>3060000</v>
      </c>
      <c r="GW183" s="16">
        <v>2222477.4193548388</v>
      </c>
      <c r="GX183" s="35">
        <v>18180617.419354837</v>
      </c>
      <c r="GY183" s="313">
        <v>6160000</v>
      </c>
      <c r="GZ183" s="332">
        <v>8490300</v>
      </c>
      <c r="HA183" s="35">
        <v>7000000</v>
      </c>
      <c r="HB183" s="35">
        <v>2690317.4193548374</v>
      </c>
      <c r="HC183" s="13">
        <v>0.14797723076724348</v>
      </c>
      <c r="HD183" s="13">
        <v>9.9508173766933869E-2</v>
      </c>
      <c r="HE183" s="16">
        <v>9044.4831407313595</v>
      </c>
      <c r="HF183" s="13">
        <v>2.7041691462176637E-2</v>
      </c>
      <c r="JO183"/>
      <c r="JP183"/>
      <c r="JS183"/>
      <c r="JT183"/>
      <c r="JV183"/>
      <c r="JZ183"/>
      <c r="KA183"/>
      <c r="KN183" s="278" t="s">
        <v>161</v>
      </c>
      <c r="LF183" s="203">
        <v>15</v>
      </c>
      <c r="LG183">
        <v>16</v>
      </c>
      <c r="LH183">
        <v>16</v>
      </c>
      <c r="LI183">
        <v>16</v>
      </c>
      <c r="LJ183">
        <v>14</v>
      </c>
      <c r="MI183">
        <v>0</v>
      </c>
      <c r="MJ183">
        <v>0</v>
      </c>
      <c r="MK183">
        <v>0</v>
      </c>
      <c r="ML183">
        <v>77</v>
      </c>
    </row>
    <row r="184" spans="2:350">
      <c r="B184" s="27">
        <f t="shared" si="78"/>
        <v>4.394110242827922E-2</v>
      </c>
      <c r="C184" s="27">
        <f t="shared" si="79"/>
        <v>8.6209157182566734E-2</v>
      </c>
      <c r="D184" s="1">
        <f t="shared" si="80"/>
        <v>263000</v>
      </c>
      <c r="E184" s="278">
        <v>5</v>
      </c>
      <c r="F184" s="16">
        <v>16782</v>
      </c>
      <c r="G184">
        <v>50</v>
      </c>
      <c r="H184" s="16">
        <v>152536000</v>
      </c>
      <c r="I184" s="16">
        <v>32032560</v>
      </c>
      <c r="J184" s="16">
        <v>657500</v>
      </c>
      <c r="K184" s="16">
        <v>3546175.7085253457</v>
      </c>
      <c r="M184" s="16">
        <v>37686235.708525345</v>
      </c>
      <c r="N184" s="16">
        <v>6702599.9999999991</v>
      </c>
      <c r="O184" s="16">
        <v>13150000</v>
      </c>
      <c r="P184" s="16"/>
      <c r="Q184" s="16"/>
      <c r="R184" s="16"/>
      <c r="S184"/>
      <c r="T184" s="12">
        <v>19852599.999999996</v>
      </c>
      <c r="U184" s="313">
        <v>8757900</v>
      </c>
      <c r="V184" s="16"/>
      <c r="W184" s="123">
        <v>840000</v>
      </c>
      <c r="X184" s="123"/>
      <c r="Y184" s="12">
        <v>9597900</v>
      </c>
      <c r="Z184" s="12">
        <v>8235735.7085253485</v>
      </c>
      <c r="AA184" s="13">
        <v>0.21853431508051274</v>
      </c>
      <c r="AB184" s="13">
        <v>4.394110242827922E-2</v>
      </c>
      <c r="AC184" s="16">
        <v>9089.2623048504356</v>
      </c>
      <c r="AD184" s="13">
        <v>8.6209157182566734E-2</v>
      </c>
      <c r="AF184" s="1">
        <f t="shared" si="64"/>
        <v>335.64</v>
      </c>
      <c r="AG184" s="231"/>
      <c r="BZ184" s="26" t="s">
        <v>200</v>
      </c>
      <c r="CC184">
        <v>0</v>
      </c>
      <c r="CD184">
        <v>0</v>
      </c>
      <c r="CE184">
        <v>0</v>
      </c>
      <c r="CF184">
        <v>0</v>
      </c>
      <c r="CL184" s="26" t="s">
        <v>34</v>
      </c>
      <c r="EM184">
        <v>0</v>
      </c>
      <c r="EN184">
        <v>0</v>
      </c>
      <c r="EO184">
        <v>0</v>
      </c>
      <c r="EP184">
        <v>0</v>
      </c>
      <c r="GS184" s="26">
        <v>20</v>
      </c>
      <c r="GT184" s="16">
        <v>4695</v>
      </c>
      <c r="GU184">
        <v>26</v>
      </c>
      <c r="GV184" s="16">
        <v>2304000</v>
      </c>
      <c r="GW184" s="16">
        <v>2222477.4193548388</v>
      </c>
      <c r="GX184" s="35">
        <v>13834677.419354839</v>
      </c>
      <c r="GY184" s="313">
        <v>4550000</v>
      </c>
      <c r="GZ184" s="332">
        <v>6345500</v>
      </c>
      <c r="HA184" s="35">
        <v>5390000</v>
      </c>
      <c r="HB184" s="35">
        <v>2099177.4193548393</v>
      </c>
      <c r="HC184" s="13">
        <v>0.15173302244243664</v>
      </c>
      <c r="HD184" s="13">
        <v>9.9611032531824614E-2</v>
      </c>
      <c r="HE184" s="16">
        <v>9035.1437699680519</v>
      </c>
      <c r="HF184" s="13">
        <v>2.593116454502593E-2</v>
      </c>
      <c r="JO184"/>
      <c r="JP184"/>
      <c r="JS184"/>
      <c r="JT184"/>
      <c r="JV184"/>
      <c r="JZ184"/>
      <c r="KA184"/>
      <c r="KN184" s="278" t="s">
        <v>156</v>
      </c>
      <c r="LJ184">
        <v>9</v>
      </c>
      <c r="LK184">
        <v>13</v>
      </c>
      <c r="LL184">
        <v>12</v>
      </c>
      <c r="LM184">
        <v>12</v>
      </c>
      <c r="LN184">
        <v>18</v>
      </c>
      <c r="LO184">
        <v>19</v>
      </c>
      <c r="MI184">
        <v>0</v>
      </c>
      <c r="MJ184">
        <v>0</v>
      </c>
      <c r="MK184">
        <v>0</v>
      </c>
      <c r="ML184">
        <v>83</v>
      </c>
    </row>
    <row r="185" spans="2:350">
      <c r="B185" s="27">
        <f t="shared" ref="B185:B210" si="81">N185/H185</f>
        <v>8.8566654458890309E-2</v>
      </c>
      <c r="C185" s="27">
        <f t="shared" ref="C185:C210" si="82">O185/H185</f>
        <v>0.16995513642190074</v>
      </c>
      <c r="D185" s="1">
        <f t="shared" ref="D185:D210" si="83">O185/G185</f>
        <v>251694.91525423728</v>
      </c>
      <c r="E185" s="278">
        <v>6</v>
      </c>
      <c r="F185" s="16">
        <v>9707</v>
      </c>
      <c r="G185">
        <v>59</v>
      </c>
      <c r="H185" s="16">
        <v>87376000</v>
      </c>
      <c r="I185" s="16">
        <v>18348960</v>
      </c>
      <c r="J185" s="16">
        <v>9770000</v>
      </c>
      <c r="K185" s="16">
        <v>4302825.25</v>
      </c>
      <c r="M185" s="16">
        <v>33121785.25</v>
      </c>
      <c r="N185" s="16">
        <v>7738600</v>
      </c>
      <c r="O185" s="16">
        <v>14850000</v>
      </c>
      <c r="P185" s="16">
        <v>0</v>
      </c>
      <c r="Q185" s="16"/>
      <c r="R185" s="16">
        <v>0</v>
      </c>
      <c r="S185"/>
      <c r="T185" s="12">
        <v>22588600</v>
      </c>
      <c r="U185" s="313">
        <v>10395000</v>
      </c>
      <c r="V185" s="16"/>
      <c r="W185" s="123">
        <v>840000</v>
      </c>
      <c r="X185" s="123"/>
      <c r="Y185" s="12">
        <v>11235000</v>
      </c>
      <c r="Z185" s="12">
        <v>-701814.75</v>
      </c>
      <c r="AA185" s="13">
        <v>-2.1188916741738732E-2</v>
      </c>
      <c r="AB185" s="13">
        <v>8.8566654458890309E-2</v>
      </c>
      <c r="AC185" s="16">
        <v>9001.3392397239113</v>
      </c>
      <c r="AD185" s="13">
        <v>0.16995513642190074</v>
      </c>
      <c r="AF185" s="1">
        <f t="shared" si="64"/>
        <v>164.52542372881356</v>
      </c>
      <c r="AG185" s="231"/>
      <c r="BZ185" s="278" t="s">
        <v>34</v>
      </c>
      <c r="CC185">
        <v>0</v>
      </c>
      <c r="CD185">
        <v>0</v>
      </c>
      <c r="CE185">
        <v>0</v>
      </c>
      <c r="CF185">
        <v>0</v>
      </c>
      <c r="CL185" s="26" t="s">
        <v>170</v>
      </c>
      <c r="EM185">
        <v>0</v>
      </c>
      <c r="EN185">
        <v>0</v>
      </c>
      <c r="EO185">
        <v>0</v>
      </c>
      <c r="EP185">
        <v>0</v>
      </c>
      <c r="GS185" s="26">
        <v>21</v>
      </c>
      <c r="GT185" s="16">
        <v>4759</v>
      </c>
      <c r="GU185">
        <v>24</v>
      </c>
      <c r="GV185" s="16">
        <v>2412000</v>
      </c>
      <c r="GW185" s="16">
        <v>2222477.4193548388</v>
      </c>
      <c r="GX185" s="35">
        <v>13900597.419354839</v>
      </c>
      <c r="GY185" s="313">
        <v>4970000</v>
      </c>
      <c r="GZ185" s="332">
        <v>6713100</v>
      </c>
      <c r="HA185" s="35">
        <v>5810000</v>
      </c>
      <c r="HB185" s="35">
        <v>1377497.4193548393</v>
      </c>
      <c r="HC185" s="13">
        <v>9.9096274627509667E-2</v>
      </c>
      <c r="HD185" s="13">
        <v>9.9256117908787536E-2</v>
      </c>
      <c r="HE185" s="16">
        <v>9067.4511451985709</v>
      </c>
      <c r="HF185" s="13">
        <v>2.7113459399332591E-2</v>
      </c>
      <c r="JO185"/>
      <c r="JP185"/>
      <c r="JS185"/>
      <c r="JT185"/>
      <c r="JV185"/>
      <c r="JZ185"/>
      <c r="KA185"/>
      <c r="KN185" s="278" t="s">
        <v>162</v>
      </c>
      <c r="LO185">
        <v>19</v>
      </c>
      <c r="LP185">
        <v>23</v>
      </c>
      <c r="LQ185">
        <v>22</v>
      </c>
      <c r="LR185">
        <v>23</v>
      </c>
      <c r="LS185">
        <v>18</v>
      </c>
      <c r="MI185">
        <v>0</v>
      </c>
      <c r="MJ185">
        <v>0</v>
      </c>
      <c r="MK185">
        <v>0</v>
      </c>
      <c r="ML185">
        <v>105</v>
      </c>
    </row>
    <row r="186" spans="2:350">
      <c r="B186" s="27">
        <f t="shared" si="81"/>
        <v>8.8594919363339311E-2</v>
      </c>
      <c r="C186" s="27">
        <f t="shared" si="82"/>
        <v>0.16481884301005204</v>
      </c>
      <c r="D186" s="1">
        <f t="shared" si="83"/>
        <v>273015.87301587302</v>
      </c>
      <c r="E186" s="278">
        <v>7</v>
      </c>
      <c r="F186" s="16">
        <v>11585</v>
      </c>
      <c r="G186">
        <v>63</v>
      </c>
      <c r="H186" s="16">
        <v>104357000</v>
      </c>
      <c r="I186" s="16">
        <v>21914970</v>
      </c>
      <c r="J186" s="16">
        <v>8600000</v>
      </c>
      <c r="K186" s="16">
        <v>4302825.25</v>
      </c>
      <c r="M186" s="16">
        <v>35767795.25</v>
      </c>
      <c r="N186" s="16">
        <v>9245500</v>
      </c>
      <c r="O186" s="16">
        <v>17200000</v>
      </c>
      <c r="P186" s="16">
        <v>0</v>
      </c>
      <c r="Q186" s="16"/>
      <c r="R186" s="16">
        <v>0</v>
      </c>
      <c r="S186"/>
      <c r="T186" s="12">
        <v>26445500</v>
      </c>
      <c r="U186" s="313">
        <v>12040000</v>
      </c>
      <c r="V186" s="16"/>
      <c r="W186" s="123">
        <v>840000</v>
      </c>
      <c r="X186" s="123"/>
      <c r="Y186" s="12">
        <v>12880000</v>
      </c>
      <c r="Z186" s="12">
        <v>-3557704.75</v>
      </c>
      <c r="AA186" s="13">
        <v>-9.9466705317823575E-2</v>
      </c>
      <c r="AB186" s="13">
        <v>8.8594919363339311E-2</v>
      </c>
      <c r="AC186" s="16">
        <v>9007.9413034095815</v>
      </c>
      <c r="AD186" s="13">
        <v>0.16481884301005204</v>
      </c>
      <c r="AF186" s="1">
        <f t="shared" si="64"/>
        <v>183.88888888888889</v>
      </c>
      <c r="AG186" s="231"/>
      <c r="BZ186" s="278" t="s">
        <v>170</v>
      </c>
      <c r="CC186">
        <v>0</v>
      </c>
      <c r="CD186">
        <v>0</v>
      </c>
      <c r="CE186">
        <v>0</v>
      </c>
      <c r="CF186">
        <v>0</v>
      </c>
      <c r="CL186" s="26" t="s">
        <v>27</v>
      </c>
      <c r="DQ186">
        <v>4</v>
      </c>
      <c r="EM186">
        <v>0</v>
      </c>
      <c r="EN186">
        <v>0</v>
      </c>
      <c r="EO186">
        <v>0</v>
      </c>
      <c r="EP186">
        <v>4</v>
      </c>
      <c r="GS186" s="26">
        <v>22</v>
      </c>
      <c r="GT186" s="16">
        <v>4379</v>
      </c>
      <c r="GU186">
        <v>24</v>
      </c>
      <c r="GV186" s="16">
        <v>2304000</v>
      </c>
      <c r="GW186" s="16">
        <v>2171380.6451612902</v>
      </c>
      <c r="GX186" s="35">
        <v>12983420.645161288</v>
      </c>
      <c r="GY186" s="313">
        <v>4550000</v>
      </c>
      <c r="GZ186" s="332">
        <v>5766100</v>
      </c>
      <c r="HA186" s="35">
        <v>5390000</v>
      </c>
      <c r="HB186" s="35">
        <v>1827320.6451612881</v>
      </c>
      <c r="HC186" s="13">
        <v>0.14074262053908737</v>
      </c>
      <c r="HD186" s="13">
        <v>0.1002212389380531</v>
      </c>
      <c r="HE186" s="16">
        <v>8980.1324503311262</v>
      </c>
      <c r="HF186" s="13">
        <v>2.3522530770013223E-2</v>
      </c>
      <c r="JO186"/>
      <c r="JP186"/>
      <c r="JS186"/>
      <c r="JT186"/>
      <c r="JV186"/>
      <c r="JZ186"/>
      <c r="KA186"/>
      <c r="KN186" s="278" t="s">
        <v>163</v>
      </c>
      <c r="LS186">
        <v>21</v>
      </c>
      <c r="LT186">
        <v>25</v>
      </c>
      <c r="LU186">
        <v>24</v>
      </c>
      <c r="LV186" s="379">
        <v>27</v>
      </c>
      <c r="LW186">
        <v>27</v>
      </c>
      <c r="MI186">
        <v>0</v>
      </c>
      <c r="MJ186">
        <v>0</v>
      </c>
      <c r="MK186">
        <v>0</v>
      </c>
      <c r="ML186">
        <v>124</v>
      </c>
    </row>
    <row r="187" spans="2:350">
      <c r="B187" s="27">
        <f t="shared" si="81"/>
        <v>8.8592162262671748E-2</v>
      </c>
      <c r="C187" s="27">
        <f t="shared" si="82"/>
        <v>0.16031278582412833</v>
      </c>
      <c r="D187" s="1">
        <f t="shared" si="83"/>
        <v>261475.40983606558</v>
      </c>
      <c r="E187" s="278">
        <v>8</v>
      </c>
      <c r="F187" s="16">
        <v>11022</v>
      </c>
      <c r="G187">
        <v>61</v>
      </c>
      <c r="H187" s="16">
        <v>99493000</v>
      </c>
      <c r="I187" s="16">
        <v>20893530</v>
      </c>
      <c r="J187" s="16">
        <v>8050000</v>
      </c>
      <c r="K187" s="16">
        <v>4302825.25</v>
      </c>
      <c r="M187" s="16">
        <v>34746355.25</v>
      </c>
      <c r="N187" s="16">
        <v>8814300</v>
      </c>
      <c r="O187" s="16">
        <v>15950000</v>
      </c>
      <c r="P187" s="16">
        <v>6105767</v>
      </c>
      <c r="Q187" s="16"/>
      <c r="R187" s="16">
        <v>0</v>
      </c>
      <c r="S187"/>
      <c r="T187" s="12">
        <v>30870067</v>
      </c>
      <c r="U187" s="313">
        <v>11270000</v>
      </c>
      <c r="V187" s="16">
        <v>0</v>
      </c>
      <c r="W187" s="123">
        <v>840000</v>
      </c>
      <c r="X187" s="123">
        <v>0</v>
      </c>
      <c r="Y187" s="12">
        <v>12110000</v>
      </c>
      <c r="Z187" s="12">
        <v>-8233711.75</v>
      </c>
      <c r="AA187" s="13">
        <v>-0.23696619949800346</v>
      </c>
      <c r="AB187" s="13">
        <v>8.8592162262671748E-2</v>
      </c>
      <c r="AC187" s="16">
        <v>9026.7646525131549</v>
      </c>
      <c r="AD187" s="13">
        <v>0.16031278582412833</v>
      </c>
      <c r="AF187" s="1">
        <f t="shared" si="64"/>
        <v>180.68852459016392</v>
      </c>
      <c r="AG187" s="231"/>
      <c r="BZ187" s="278" t="s">
        <v>27</v>
      </c>
      <c r="CC187">
        <v>0</v>
      </c>
      <c r="CD187">
        <v>0</v>
      </c>
      <c r="CE187">
        <v>0</v>
      </c>
      <c r="CF187">
        <v>0</v>
      </c>
      <c r="CL187" s="26" t="s">
        <v>33</v>
      </c>
      <c r="EM187">
        <v>0</v>
      </c>
      <c r="EN187">
        <v>0</v>
      </c>
      <c r="EO187">
        <v>0</v>
      </c>
      <c r="EP187">
        <v>0</v>
      </c>
      <c r="GS187" s="26">
        <v>23</v>
      </c>
      <c r="GT187" s="16">
        <v>4783</v>
      </c>
      <c r="GU187">
        <v>22</v>
      </c>
      <c r="GV187" s="16">
        <v>3850000</v>
      </c>
      <c r="GW187" s="16">
        <v>1864800</v>
      </c>
      <c r="GX187" s="35">
        <v>14869540</v>
      </c>
      <c r="GY187" s="313">
        <v>4515000</v>
      </c>
      <c r="GZ187" s="332">
        <v>6420000</v>
      </c>
      <c r="HA187" s="35">
        <v>5355000</v>
      </c>
      <c r="HB187" s="35">
        <v>3094540</v>
      </c>
      <c r="HC187" s="13">
        <v>0.20811269212093986</v>
      </c>
      <c r="HD187" s="13">
        <v>5.0924439143001328E-2</v>
      </c>
      <c r="HE187" s="16">
        <v>9114.3633702697043</v>
      </c>
      <c r="HF187" s="13">
        <v>6.9275588383722525E-2</v>
      </c>
      <c r="JO187"/>
      <c r="JP187"/>
      <c r="JS187"/>
      <c r="JT187"/>
      <c r="JV187"/>
      <c r="JZ187"/>
      <c r="KA187"/>
      <c r="KN187" s="278" t="s">
        <v>164</v>
      </c>
      <c r="LX187">
        <v>27</v>
      </c>
      <c r="LY187">
        <v>26</v>
      </c>
      <c r="LZ187">
        <v>29</v>
      </c>
      <c r="MA187">
        <v>26</v>
      </c>
      <c r="MB187">
        <v>18</v>
      </c>
      <c r="MI187">
        <v>0</v>
      </c>
      <c r="MJ187">
        <v>0</v>
      </c>
      <c r="MK187">
        <v>0</v>
      </c>
      <c r="ML187">
        <v>126</v>
      </c>
    </row>
    <row r="188" spans="2:350">
      <c r="B188" s="27">
        <f t="shared" si="81"/>
        <v>8.7743357152026011E-2</v>
      </c>
      <c r="C188" s="27">
        <f t="shared" si="82"/>
        <v>0.17115228274357108</v>
      </c>
      <c r="D188" s="1">
        <f t="shared" si="83"/>
        <v>253968.25396825394</v>
      </c>
      <c r="E188" s="278">
        <v>9</v>
      </c>
      <c r="F188" s="16">
        <v>10254</v>
      </c>
      <c r="G188">
        <v>63</v>
      </c>
      <c r="H188" s="16">
        <v>93484000</v>
      </c>
      <c r="I188" s="16">
        <v>19631640</v>
      </c>
      <c r="J188" s="16">
        <v>7774999.9999999991</v>
      </c>
      <c r="K188" s="16">
        <v>4361772.6059907833</v>
      </c>
      <c r="M188" s="16">
        <v>33368412.605990782</v>
      </c>
      <c r="N188" s="16">
        <v>8202600</v>
      </c>
      <c r="O188" s="16">
        <v>15999999.999999998</v>
      </c>
      <c r="P188" s="16">
        <v>0</v>
      </c>
      <c r="Q188" s="16"/>
      <c r="R188" s="16">
        <v>0</v>
      </c>
      <c r="S188"/>
      <c r="T188" s="12">
        <v>24202600</v>
      </c>
      <c r="U188" s="313">
        <v>11200000</v>
      </c>
      <c r="V188" s="16">
        <v>0</v>
      </c>
      <c r="W188" s="123">
        <v>840000</v>
      </c>
      <c r="X188" s="123">
        <v>0</v>
      </c>
      <c r="Y188" s="12">
        <v>12040000</v>
      </c>
      <c r="Z188" s="12">
        <v>-2874187.3940092162</v>
      </c>
      <c r="AA188" s="13">
        <v>-8.6134975251810464E-2</v>
      </c>
      <c r="AB188" s="13">
        <v>8.7743357152026011E-2</v>
      </c>
      <c r="AC188" s="16">
        <v>9116.8324556270727</v>
      </c>
      <c r="AD188" s="13">
        <v>0.17115228274357108</v>
      </c>
      <c r="AF188" s="1">
        <f t="shared" si="64"/>
        <v>162.76190476190476</v>
      </c>
      <c r="AG188" s="231"/>
      <c r="BZ188" s="278" t="s">
        <v>33</v>
      </c>
      <c r="CC188">
        <v>0</v>
      </c>
      <c r="CD188">
        <v>0</v>
      </c>
      <c r="CE188">
        <v>0</v>
      </c>
      <c r="CF188">
        <v>0</v>
      </c>
      <c r="CL188" s="26" t="s">
        <v>171</v>
      </c>
      <c r="EM188">
        <v>0</v>
      </c>
      <c r="EN188">
        <v>0</v>
      </c>
      <c r="EO188">
        <v>0</v>
      </c>
      <c r="EP188">
        <v>0</v>
      </c>
      <c r="GS188" s="26">
        <v>24</v>
      </c>
      <c r="GT188" s="16">
        <v>4124</v>
      </c>
      <c r="GU188">
        <v>22</v>
      </c>
      <c r="GV188" s="16">
        <v>3850000</v>
      </c>
      <c r="GW188" s="16">
        <v>0</v>
      </c>
      <c r="GX188" s="35">
        <v>13504840</v>
      </c>
      <c r="GY188" s="313">
        <v>4060000</v>
      </c>
      <c r="GZ188" s="332">
        <v>7631840</v>
      </c>
      <c r="HA188" s="35">
        <v>4900000</v>
      </c>
      <c r="HB188" s="35">
        <v>973000</v>
      </c>
      <c r="HC188" s="13">
        <v>7.204824344457246E-2</v>
      </c>
      <c r="HD188" s="13">
        <v>0.10736360208972909</v>
      </c>
      <c r="HE188" s="16">
        <v>9004.3646944713873</v>
      </c>
      <c r="HF188" s="13">
        <v>7.3113588624979797E-2</v>
      </c>
      <c r="JO188"/>
      <c r="JP188"/>
      <c r="JS188"/>
      <c r="JT188"/>
      <c r="JV188"/>
      <c r="JZ188"/>
      <c r="KA188"/>
      <c r="KN188" s="278" t="s">
        <v>165</v>
      </c>
      <c r="MB188">
        <v>21</v>
      </c>
      <c r="MC188">
        <v>19</v>
      </c>
      <c r="MD188">
        <v>16</v>
      </c>
      <c r="ME188">
        <v>18</v>
      </c>
      <c r="MF188">
        <v>14</v>
      </c>
      <c r="MI188">
        <v>0</v>
      </c>
      <c r="MJ188">
        <v>0</v>
      </c>
      <c r="MK188">
        <v>0</v>
      </c>
      <c r="ML188">
        <v>88</v>
      </c>
    </row>
    <row r="189" spans="2:350">
      <c r="B189" s="27">
        <f t="shared" si="81"/>
        <v>8.7060505942107597E-2</v>
      </c>
      <c r="C189" s="27">
        <f t="shared" si="82"/>
        <v>0.26792905633085129</v>
      </c>
      <c r="D189" s="1">
        <f t="shared" si="83"/>
        <v>258730.15873015873</v>
      </c>
      <c r="E189" s="278">
        <v>10</v>
      </c>
      <c r="F189" s="16">
        <v>6621</v>
      </c>
      <c r="G189">
        <v>63</v>
      </c>
      <c r="H189" s="16">
        <v>60837000</v>
      </c>
      <c r="I189" s="16">
        <v>12775770</v>
      </c>
      <c r="J189" s="16">
        <v>7775000</v>
      </c>
      <c r="K189" s="16">
        <v>4715456.7419354841</v>
      </c>
      <c r="M189" s="16">
        <v>26616226.741935484</v>
      </c>
      <c r="N189" s="16">
        <v>5296500</v>
      </c>
      <c r="O189" s="16">
        <v>16300000</v>
      </c>
      <c r="P189" s="16">
        <v>0</v>
      </c>
      <c r="Q189" s="16"/>
      <c r="R189" s="16">
        <v>0</v>
      </c>
      <c r="S189"/>
      <c r="T189" s="12">
        <v>21596500</v>
      </c>
      <c r="U189" s="313">
        <v>11410000</v>
      </c>
      <c r="V189" s="16">
        <v>0</v>
      </c>
      <c r="W189" s="123">
        <v>0</v>
      </c>
      <c r="X189" s="123">
        <v>112903</v>
      </c>
      <c r="Y189" s="12">
        <v>11522903</v>
      </c>
      <c r="Z189" s="12">
        <v>-6503176.2580645159</v>
      </c>
      <c r="AA189" s="13">
        <v>-0.24433126156903248</v>
      </c>
      <c r="AB189" s="13">
        <v>8.7060505942107597E-2</v>
      </c>
      <c r="AC189" s="16">
        <v>9188.4911644766653</v>
      </c>
      <c r="AD189" s="13">
        <v>0.26792905633085129</v>
      </c>
      <c r="AF189" s="1">
        <f t="shared" si="64"/>
        <v>105.0952380952381</v>
      </c>
      <c r="AG189" s="231"/>
      <c r="BZ189" s="278" t="s">
        <v>171</v>
      </c>
      <c r="CC189">
        <v>0</v>
      </c>
      <c r="CD189">
        <v>0</v>
      </c>
      <c r="CE189">
        <v>0</v>
      </c>
      <c r="CF189">
        <v>0</v>
      </c>
      <c r="CL189" s="26" t="s">
        <v>276</v>
      </c>
      <c r="DS189">
        <v>2</v>
      </c>
      <c r="DT189">
        <v>2</v>
      </c>
      <c r="DU189">
        <v>2</v>
      </c>
      <c r="EM189">
        <v>0</v>
      </c>
      <c r="EN189">
        <v>0</v>
      </c>
      <c r="EO189">
        <v>0</v>
      </c>
      <c r="EP189">
        <v>2</v>
      </c>
      <c r="GS189" s="26">
        <v>25</v>
      </c>
      <c r="GT189" s="16">
        <v>4587</v>
      </c>
      <c r="GU189">
        <v>28</v>
      </c>
      <c r="GV189" s="16">
        <v>4075000</v>
      </c>
      <c r="GW189" s="16">
        <v>0</v>
      </c>
      <c r="GX189" s="35">
        <v>14984720</v>
      </c>
      <c r="GY189" s="313">
        <v>4970000</v>
      </c>
      <c r="GZ189" s="332">
        <v>4268620</v>
      </c>
      <c r="HA189" s="35">
        <v>5810000</v>
      </c>
      <c r="HB189" s="35">
        <v>4906100</v>
      </c>
      <c r="HC189" s="13">
        <v>0.32740685177967954</v>
      </c>
      <c r="HD189" s="13">
        <v>9.1155212132846997E-2</v>
      </c>
      <c r="HE189" s="16">
        <v>9084.8048833660341</v>
      </c>
      <c r="HF189" s="13">
        <v>1.1278556344787867E-2</v>
      </c>
      <c r="JO189"/>
      <c r="JP189"/>
      <c r="JS189"/>
      <c r="JT189"/>
      <c r="JV189"/>
      <c r="JZ189"/>
      <c r="KA189"/>
      <c r="KN189" s="278" t="s">
        <v>36</v>
      </c>
      <c r="MF189">
        <v>13</v>
      </c>
      <c r="MG189">
        <v>12</v>
      </c>
      <c r="MH189">
        <v>10</v>
      </c>
      <c r="MI189">
        <v>0</v>
      </c>
      <c r="MJ189">
        <v>0</v>
      </c>
      <c r="MK189">
        <v>0</v>
      </c>
      <c r="ML189">
        <v>35</v>
      </c>
    </row>
    <row r="190" spans="2:350">
      <c r="B190" s="27">
        <f t="shared" si="81"/>
        <v>8.6749311294765846E-2</v>
      </c>
      <c r="C190" s="27">
        <f t="shared" si="82"/>
        <v>0.30991735537190085</v>
      </c>
      <c r="D190" s="1">
        <f t="shared" si="83"/>
        <v>281250</v>
      </c>
      <c r="E190" s="278">
        <v>11</v>
      </c>
      <c r="F190" s="16">
        <v>6298</v>
      </c>
      <c r="G190">
        <v>64</v>
      </c>
      <c r="H190" s="16">
        <v>58080000</v>
      </c>
      <c r="I190" s="16">
        <v>12196800</v>
      </c>
      <c r="J190" s="16">
        <v>8525000</v>
      </c>
      <c r="K190" s="16">
        <v>4715456.7419354841</v>
      </c>
      <c r="M190" s="16">
        <v>26237256.741935484</v>
      </c>
      <c r="N190" s="16">
        <v>5038400</v>
      </c>
      <c r="O190" s="16">
        <v>18000000</v>
      </c>
      <c r="P190" s="16">
        <v>0</v>
      </c>
      <c r="Q190" s="16"/>
      <c r="R190" s="16">
        <v>0</v>
      </c>
      <c r="S190"/>
      <c r="T190" s="12">
        <v>23038400</v>
      </c>
      <c r="U190" s="313">
        <v>12245000</v>
      </c>
      <c r="V190" s="16">
        <v>0</v>
      </c>
      <c r="W190" s="123">
        <v>480000</v>
      </c>
      <c r="X190" s="123">
        <v>112903</v>
      </c>
      <c r="Y190" s="12">
        <v>12837903</v>
      </c>
      <c r="Z190" s="12">
        <v>-9639046.2580645159</v>
      </c>
      <c r="AA190" s="13">
        <v>-0.36738010962320816</v>
      </c>
      <c r="AB190" s="13">
        <v>8.6749311294765846E-2</v>
      </c>
      <c r="AC190" s="16">
        <v>9221.9752302318193</v>
      </c>
      <c r="AD190" s="13">
        <v>0.30991735537190085</v>
      </c>
      <c r="AF190" s="1">
        <f t="shared" si="64"/>
        <v>98.40625</v>
      </c>
      <c r="AG190" s="231"/>
      <c r="BZ190" s="278" t="s">
        <v>276</v>
      </c>
      <c r="CC190">
        <v>0</v>
      </c>
      <c r="CD190">
        <v>0</v>
      </c>
      <c r="CE190">
        <v>0</v>
      </c>
      <c r="CF190">
        <v>0</v>
      </c>
      <c r="CL190" s="26" t="s">
        <v>277</v>
      </c>
      <c r="DS190">
        <v>2</v>
      </c>
      <c r="DT190">
        <v>1</v>
      </c>
      <c r="EM190">
        <v>0</v>
      </c>
      <c r="EN190">
        <v>0</v>
      </c>
      <c r="EO190">
        <v>0</v>
      </c>
      <c r="EP190">
        <v>2</v>
      </c>
      <c r="GS190" s="26">
        <v>26</v>
      </c>
      <c r="GT190" s="16">
        <v>4774</v>
      </c>
      <c r="GU190">
        <v>26</v>
      </c>
      <c r="GV190" s="16">
        <v>385000</v>
      </c>
      <c r="GW190" s="16">
        <v>0</v>
      </c>
      <c r="GX190" s="35">
        <v>11717920</v>
      </c>
      <c r="GY190" s="313">
        <v>4900000</v>
      </c>
      <c r="GZ190" s="332">
        <v>8815900</v>
      </c>
      <c r="HA190" s="35">
        <v>5740000</v>
      </c>
      <c r="HB190" s="35">
        <v>-2837980</v>
      </c>
      <c r="HC190" s="13">
        <v>-0.24219144694621572</v>
      </c>
      <c r="HD190" s="13">
        <v>9.101443943713787E-2</v>
      </c>
      <c r="HE190" s="16">
        <v>9110.1801424382065</v>
      </c>
      <c r="HF190" s="13">
        <v>0.11168720684263772</v>
      </c>
      <c r="JO190"/>
      <c r="JP190"/>
      <c r="JS190"/>
      <c r="JT190"/>
      <c r="JV190"/>
      <c r="JZ190"/>
      <c r="KA190"/>
      <c r="KN190" s="278" t="s">
        <v>166</v>
      </c>
      <c r="MI190">
        <v>0</v>
      </c>
      <c r="MJ190">
        <v>0</v>
      </c>
      <c r="MK190">
        <v>0</v>
      </c>
      <c r="ML190">
        <v>0</v>
      </c>
    </row>
    <row r="191" spans="2:350">
      <c r="B191" s="27">
        <f t="shared" si="81"/>
        <v>0.10111503844331889</v>
      </c>
      <c r="C191" s="27">
        <f t="shared" si="82"/>
        <v>0.34799402397697043</v>
      </c>
      <c r="D191" s="1">
        <f t="shared" si="83"/>
        <v>293846.15384615387</v>
      </c>
      <c r="E191" s="278">
        <v>12</v>
      </c>
      <c r="F191" s="16">
        <v>5956</v>
      </c>
      <c r="G191">
        <v>65</v>
      </c>
      <c r="H191" s="16">
        <v>54886000</v>
      </c>
      <c r="I191" s="16">
        <v>11526060</v>
      </c>
      <c r="J191" s="16">
        <v>9975000</v>
      </c>
      <c r="K191" s="16">
        <v>4715456.7419354841</v>
      </c>
      <c r="M191" s="16">
        <v>26866516.741935484</v>
      </c>
      <c r="N191" s="16">
        <v>5549800</v>
      </c>
      <c r="O191" s="16">
        <v>19100000</v>
      </c>
      <c r="P191" s="16">
        <v>0</v>
      </c>
      <c r="Q191" s="16"/>
      <c r="R191" s="16">
        <v>0</v>
      </c>
      <c r="S191"/>
      <c r="T191" s="12">
        <v>24649800</v>
      </c>
      <c r="U191" s="313">
        <v>14420000</v>
      </c>
      <c r="V191" s="16">
        <v>0</v>
      </c>
      <c r="W191" s="123">
        <v>840000</v>
      </c>
      <c r="X191" s="123">
        <v>112903</v>
      </c>
      <c r="Y191" s="12">
        <v>15372903</v>
      </c>
      <c r="Z191" s="12">
        <v>-13156186.258064516</v>
      </c>
      <c r="AA191" s="13">
        <v>-0.4896870846502126</v>
      </c>
      <c r="AB191" s="13">
        <v>0.10111503844331889</v>
      </c>
      <c r="AC191" s="16">
        <v>9215.2451309603766</v>
      </c>
      <c r="AD191" s="13">
        <v>0.34799402397697043</v>
      </c>
      <c r="AF191" s="1">
        <f t="shared" si="64"/>
        <v>91.630769230769232</v>
      </c>
      <c r="AG191" s="231"/>
      <c r="BZ191" s="278" t="s">
        <v>277</v>
      </c>
      <c r="CC191">
        <v>0</v>
      </c>
      <c r="CD191">
        <v>0</v>
      </c>
      <c r="CE191">
        <v>0</v>
      </c>
      <c r="CF191">
        <v>0</v>
      </c>
      <c r="CL191" s="26" t="s">
        <v>199</v>
      </c>
      <c r="EM191">
        <v>0</v>
      </c>
      <c r="EN191">
        <v>0</v>
      </c>
      <c r="EO191">
        <v>0</v>
      </c>
      <c r="EP191">
        <v>0</v>
      </c>
      <c r="GS191" s="26">
        <v>27</v>
      </c>
      <c r="GT191" s="16">
        <v>4279</v>
      </c>
      <c r="GU191">
        <v>25</v>
      </c>
      <c r="GV191" s="16">
        <v>4225000</v>
      </c>
      <c r="GW191" s="16">
        <v>0</v>
      </c>
      <c r="GX191" s="35">
        <v>14403080</v>
      </c>
      <c r="GY191" s="313">
        <v>4725000</v>
      </c>
      <c r="GZ191" s="332">
        <v>7613850</v>
      </c>
      <c r="HA191" s="35">
        <v>5565000</v>
      </c>
      <c r="HB191" s="35">
        <v>1224230</v>
      </c>
      <c r="HC191" s="13">
        <v>8.4997792138903627E-2</v>
      </c>
      <c r="HD191" s="13">
        <v>8.798316948890833E-2</v>
      </c>
      <c r="HE191" s="16">
        <v>9081.0937134844589</v>
      </c>
      <c r="HF191" s="13">
        <v>0.10795717741520408</v>
      </c>
      <c r="JO191"/>
      <c r="JP191"/>
      <c r="JS191"/>
      <c r="JT191"/>
      <c r="JV191"/>
      <c r="JZ191"/>
      <c r="KA191"/>
      <c r="KN191" s="26" t="s">
        <v>174</v>
      </c>
      <c r="KO191">
        <v>40</v>
      </c>
      <c r="KP191">
        <v>44</v>
      </c>
      <c r="KQ191">
        <v>47</v>
      </c>
      <c r="KR191">
        <v>53</v>
      </c>
      <c r="KS191">
        <v>86</v>
      </c>
      <c r="KT191">
        <v>59</v>
      </c>
      <c r="KU191">
        <v>63</v>
      </c>
      <c r="KV191">
        <v>61</v>
      </c>
      <c r="KW191">
        <v>114</v>
      </c>
      <c r="KX191">
        <v>63</v>
      </c>
      <c r="KY191">
        <v>64</v>
      </c>
      <c r="KZ191">
        <v>65</v>
      </c>
      <c r="LA191">
        <v>61</v>
      </c>
      <c r="LB191">
        <v>82</v>
      </c>
      <c r="LC191">
        <v>56</v>
      </c>
      <c r="LD191">
        <v>53</v>
      </c>
      <c r="LE191">
        <v>51</v>
      </c>
      <c r="LF191">
        <v>76</v>
      </c>
      <c r="LG191">
        <v>34</v>
      </c>
      <c r="LH191">
        <v>26</v>
      </c>
      <c r="LI191">
        <v>24</v>
      </c>
      <c r="LJ191">
        <v>43</v>
      </c>
      <c r="LK191">
        <v>22</v>
      </c>
      <c r="LL191">
        <v>22</v>
      </c>
      <c r="LM191">
        <v>28</v>
      </c>
      <c r="LN191">
        <v>26</v>
      </c>
      <c r="LO191">
        <v>50</v>
      </c>
      <c r="LP191">
        <v>23</v>
      </c>
      <c r="LQ191">
        <v>26</v>
      </c>
      <c r="LR191">
        <v>31</v>
      </c>
      <c r="LS191">
        <v>53</v>
      </c>
      <c r="LT191">
        <v>30</v>
      </c>
      <c r="LU191">
        <v>25</v>
      </c>
      <c r="LV191">
        <v>32</v>
      </c>
      <c r="LW191">
        <v>40</v>
      </c>
      <c r="LX191">
        <v>43</v>
      </c>
      <c r="LY191">
        <v>42</v>
      </c>
      <c r="LZ191">
        <v>42</v>
      </c>
      <c r="MA191">
        <v>44</v>
      </c>
      <c r="MB191">
        <v>88</v>
      </c>
      <c r="MC191">
        <v>37</v>
      </c>
      <c r="MD191">
        <v>31</v>
      </c>
      <c r="ME191">
        <v>32</v>
      </c>
      <c r="MF191">
        <v>51</v>
      </c>
      <c r="MG191">
        <v>26</v>
      </c>
      <c r="MH191">
        <v>23</v>
      </c>
      <c r="MI191">
        <v>0</v>
      </c>
      <c r="MJ191">
        <v>0</v>
      </c>
      <c r="MK191">
        <v>0</v>
      </c>
      <c r="ML191">
        <v>2132</v>
      </c>
    </row>
    <row r="192" spans="2:350">
      <c r="B192" s="27">
        <f t="shared" si="81"/>
        <v>8.7551907291163689E-2</v>
      </c>
      <c r="C192" s="27">
        <f t="shared" si="82"/>
        <v>0.20702559150169</v>
      </c>
      <c r="D192" s="1">
        <f t="shared" si="83"/>
        <v>281147.54098360654</v>
      </c>
      <c r="E192" s="278">
        <v>13</v>
      </c>
      <c r="F192" s="16">
        <v>9066</v>
      </c>
      <c r="G192">
        <v>61</v>
      </c>
      <c r="H192" s="16">
        <v>82840000</v>
      </c>
      <c r="I192" s="16">
        <v>17396400</v>
      </c>
      <c r="J192" s="16">
        <v>8575000</v>
      </c>
      <c r="K192" s="16">
        <v>4715456.7419354841</v>
      </c>
      <c r="M192" s="16">
        <v>30686856.741935484</v>
      </c>
      <c r="N192" s="16">
        <v>7252800</v>
      </c>
      <c r="O192" s="16">
        <v>17150000</v>
      </c>
      <c r="P192" s="16">
        <v>0</v>
      </c>
      <c r="Q192" s="16"/>
      <c r="R192" s="16">
        <v>0</v>
      </c>
      <c r="S192"/>
      <c r="T192" s="12">
        <v>24402800</v>
      </c>
      <c r="U192" s="313">
        <v>12005000</v>
      </c>
      <c r="V192" s="16">
        <v>0</v>
      </c>
      <c r="W192" s="123">
        <v>840000</v>
      </c>
      <c r="X192" s="123">
        <v>112903</v>
      </c>
      <c r="Y192" s="12">
        <v>12957903</v>
      </c>
      <c r="Z192" s="12">
        <v>-6673846.2580645159</v>
      </c>
      <c r="AA192" s="13">
        <v>-0.21748223723885976</v>
      </c>
      <c r="AB192" s="13">
        <v>8.7551907291163689E-2</v>
      </c>
      <c r="AC192" s="16">
        <v>9137.436576218839</v>
      </c>
      <c r="AD192" s="13">
        <v>0.20702559150169</v>
      </c>
      <c r="AF192" s="1">
        <f t="shared" si="64"/>
        <v>148.62295081967213</v>
      </c>
      <c r="AG192" s="231"/>
      <c r="BZ192" s="278" t="s">
        <v>199</v>
      </c>
      <c r="CC192">
        <v>0</v>
      </c>
      <c r="CD192">
        <v>0</v>
      </c>
      <c r="CE192">
        <v>0</v>
      </c>
      <c r="CF192">
        <v>0</v>
      </c>
      <c r="CL192" s="26" t="s">
        <v>196</v>
      </c>
      <c r="EM192">
        <v>0</v>
      </c>
      <c r="EN192">
        <v>0</v>
      </c>
      <c r="EO192">
        <v>0</v>
      </c>
      <c r="EP192">
        <v>0</v>
      </c>
      <c r="GS192" s="26">
        <v>28</v>
      </c>
      <c r="GT192" s="16">
        <v>5023</v>
      </c>
      <c r="GU192">
        <v>23</v>
      </c>
      <c r="GV192" s="16">
        <v>3675000</v>
      </c>
      <c r="GW192" s="16">
        <v>0</v>
      </c>
      <c r="GX192" s="35">
        <v>15642360</v>
      </c>
      <c r="GY192" s="313">
        <v>5145000</v>
      </c>
      <c r="GZ192" s="332">
        <v>9390700</v>
      </c>
      <c r="HA192" s="35">
        <v>5985000</v>
      </c>
      <c r="HB192" s="35">
        <v>266660</v>
      </c>
      <c r="HC192" s="13">
        <v>1.7047299768065689E-2</v>
      </c>
      <c r="HD192" s="13">
        <v>9.8027751112662542E-2</v>
      </c>
      <c r="HE192" s="16">
        <v>9125.2239697391997</v>
      </c>
      <c r="HF192" s="13">
        <v>0.10684832882450476</v>
      </c>
      <c r="JO192"/>
      <c r="JP192"/>
      <c r="JS192"/>
      <c r="JT192"/>
      <c r="JV192"/>
      <c r="JZ192"/>
      <c r="KA192"/>
      <c r="KN192" s="278" t="s">
        <v>21</v>
      </c>
      <c r="KO192">
        <v>40</v>
      </c>
      <c r="KP192">
        <v>44</v>
      </c>
      <c r="KQ192">
        <v>47</v>
      </c>
      <c r="KR192">
        <v>53</v>
      </c>
      <c r="KS192">
        <v>50</v>
      </c>
      <c r="MI192">
        <v>0</v>
      </c>
      <c r="MJ192">
        <v>0</v>
      </c>
      <c r="MK192">
        <v>0</v>
      </c>
      <c r="ML192">
        <v>234</v>
      </c>
    </row>
    <row r="193" spans="1:350">
      <c r="B193" s="27">
        <f t="shared" si="81"/>
        <v>8.7147972515242422E-2</v>
      </c>
      <c r="C193" s="27">
        <f t="shared" si="82"/>
        <v>0.14698054775960515</v>
      </c>
      <c r="D193" s="1">
        <f t="shared" si="83"/>
        <v>247959.18367346938</v>
      </c>
      <c r="E193" s="278">
        <v>14</v>
      </c>
      <c r="F193" s="16">
        <v>9005</v>
      </c>
      <c r="G193">
        <v>49</v>
      </c>
      <c r="H193" s="16">
        <v>82664000</v>
      </c>
      <c r="I193" s="16">
        <v>17359440</v>
      </c>
      <c r="J193" s="16">
        <v>4650000</v>
      </c>
      <c r="K193" s="16">
        <v>3954331.3548387093</v>
      </c>
      <c r="M193" s="16">
        <v>25963771.35483871</v>
      </c>
      <c r="N193" s="16">
        <v>7204000</v>
      </c>
      <c r="O193" s="16">
        <v>12150000</v>
      </c>
      <c r="P193" s="16">
        <v>0</v>
      </c>
      <c r="Q193" s="16"/>
      <c r="R193" s="16">
        <v>0</v>
      </c>
      <c r="S193"/>
      <c r="T193" s="12">
        <v>19354000</v>
      </c>
      <c r="U193" s="313">
        <v>8505000</v>
      </c>
      <c r="V193" s="16">
        <v>0</v>
      </c>
      <c r="W193" s="123">
        <v>840000</v>
      </c>
      <c r="X193" s="123">
        <v>112903</v>
      </c>
      <c r="Y193" s="12">
        <v>9457903</v>
      </c>
      <c r="Z193" s="12">
        <v>-2848131.6451612907</v>
      </c>
      <c r="AA193" s="13">
        <v>-0.10969637677965846</v>
      </c>
      <c r="AB193" s="13">
        <v>8.7147972515242422E-2</v>
      </c>
      <c r="AC193" s="16">
        <v>9179.7890061077178</v>
      </c>
      <c r="AD193" s="13">
        <v>0.14698054775960515</v>
      </c>
      <c r="AF193" s="1">
        <f t="shared" si="64"/>
        <v>183.77551020408163</v>
      </c>
      <c r="AG193" s="231"/>
      <c r="BZ193" s="278" t="s">
        <v>196</v>
      </c>
      <c r="CC193">
        <v>0</v>
      </c>
      <c r="CD193">
        <v>0</v>
      </c>
      <c r="CE193">
        <v>0</v>
      </c>
      <c r="CF193">
        <v>0</v>
      </c>
      <c r="CL193" s="26" t="s">
        <v>29</v>
      </c>
      <c r="EM193">
        <v>0</v>
      </c>
      <c r="EN193">
        <v>0</v>
      </c>
      <c r="EO193">
        <v>0</v>
      </c>
      <c r="EP193">
        <v>0</v>
      </c>
      <c r="GS193" s="26">
        <v>29</v>
      </c>
      <c r="GT193" s="16">
        <v>4918</v>
      </c>
      <c r="GU193">
        <v>26</v>
      </c>
      <c r="GV193" s="16">
        <v>3975000</v>
      </c>
      <c r="GW193" s="16">
        <v>0</v>
      </c>
      <c r="GX193" s="35">
        <v>15850520</v>
      </c>
      <c r="GY193" s="313">
        <v>4865000</v>
      </c>
      <c r="GZ193" s="332">
        <v>9273520</v>
      </c>
      <c r="HA193" s="35">
        <v>5585000</v>
      </c>
      <c r="HB193" s="35">
        <v>992000</v>
      </c>
      <c r="HC193" s="13">
        <v>6.2584697536736969E-2</v>
      </c>
      <c r="HD193" s="13">
        <v>9.6129505355317543E-2</v>
      </c>
      <c r="HE193" s="16">
        <v>9150.4676697844661</v>
      </c>
      <c r="HF193" s="13">
        <v>0.10993955824185592</v>
      </c>
      <c r="JO193"/>
      <c r="JP193"/>
      <c r="JS193"/>
      <c r="JT193"/>
      <c r="JV193"/>
      <c r="JZ193"/>
      <c r="KA193"/>
      <c r="KN193" s="278" t="s">
        <v>158</v>
      </c>
      <c r="KS193">
        <v>36</v>
      </c>
      <c r="KT193">
        <v>59</v>
      </c>
      <c r="KU193">
        <v>63</v>
      </c>
      <c r="KV193">
        <v>61</v>
      </c>
      <c r="KW193">
        <v>63</v>
      </c>
      <c r="MI193">
        <v>0</v>
      </c>
      <c r="MJ193">
        <v>0</v>
      </c>
      <c r="MK193">
        <v>0</v>
      </c>
      <c r="ML193">
        <v>282</v>
      </c>
    </row>
    <row r="194" spans="1:350">
      <c r="B194" s="27">
        <f t="shared" si="81"/>
        <v>9.1219152854511973E-2</v>
      </c>
      <c r="C194" s="27">
        <f t="shared" si="82"/>
        <v>0.14732965009208104</v>
      </c>
      <c r="D194" s="1">
        <f t="shared" si="83"/>
        <v>285714.28571428574</v>
      </c>
      <c r="E194" s="278">
        <v>15</v>
      </c>
      <c r="F194" s="16">
        <v>11902</v>
      </c>
      <c r="G194">
        <v>56</v>
      </c>
      <c r="H194" s="16">
        <v>108600000</v>
      </c>
      <c r="I194" s="16">
        <v>22806000</v>
      </c>
      <c r="J194" s="16">
        <v>7550000</v>
      </c>
      <c r="K194" s="16">
        <v>3649881.2</v>
      </c>
      <c r="M194" s="16">
        <v>34805881.200000003</v>
      </c>
      <c r="N194" s="16">
        <v>9906400</v>
      </c>
      <c r="O194" s="16">
        <v>16000000</v>
      </c>
      <c r="P194" s="16">
        <v>0</v>
      </c>
      <c r="Q194" s="16"/>
      <c r="R194" s="16">
        <v>0</v>
      </c>
      <c r="S194"/>
      <c r="T194" s="12">
        <v>25906400</v>
      </c>
      <c r="U194" s="313">
        <v>11200000</v>
      </c>
      <c r="V194" s="16">
        <v>0</v>
      </c>
      <c r="W194" s="123">
        <v>0</v>
      </c>
      <c r="X194" s="123">
        <v>0</v>
      </c>
      <c r="Y194" s="12">
        <v>11200000</v>
      </c>
      <c r="Z194" s="12">
        <v>-2300518.799999997</v>
      </c>
      <c r="AA194" s="13">
        <v>-6.6095691897034833E-2</v>
      </c>
      <c r="AB194" s="13">
        <v>9.1219152854511973E-2</v>
      </c>
      <c r="AC194" s="16">
        <v>9124.5168879179964</v>
      </c>
      <c r="AD194" s="13">
        <v>0.14732965009208104</v>
      </c>
      <c r="AF194" s="1">
        <f t="shared" si="64"/>
        <v>212.53571428571428</v>
      </c>
      <c r="AG194" s="16"/>
      <c r="BZ194" s="278" t="s">
        <v>29</v>
      </c>
      <c r="CC194">
        <v>0</v>
      </c>
      <c r="CD194">
        <v>0</v>
      </c>
      <c r="CE194">
        <v>0</v>
      </c>
      <c r="CF194">
        <v>0</v>
      </c>
      <c r="CL194" s="26" t="s">
        <v>23</v>
      </c>
      <c r="DQ194">
        <v>262</v>
      </c>
      <c r="DR194">
        <v>263</v>
      </c>
      <c r="DS194">
        <v>254</v>
      </c>
      <c r="DT194">
        <v>248</v>
      </c>
      <c r="DU194">
        <v>251</v>
      </c>
      <c r="EM194">
        <v>0</v>
      </c>
      <c r="EN194">
        <v>0</v>
      </c>
      <c r="EO194">
        <v>0</v>
      </c>
      <c r="EP194">
        <v>263</v>
      </c>
      <c r="GS194" s="26">
        <v>30</v>
      </c>
      <c r="GT194" s="16">
        <v>4646</v>
      </c>
      <c r="GU194">
        <v>31</v>
      </c>
      <c r="GV194" s="16">
        <v>4550000</v>
      </c>
      <c r="GW194" s="16">
        <v>0</v>
      </c>
      <c r="GX194" s="35">
        <v>15782360</v>
      </c>
      <c r="GY194" s="313">
        <v>5530000</v>
      </c>
      <c r="GZ194" s="332">
        <v>8804800</v>
      </c>
      <c r="HA194" s="35">
        <v>6370000</v>
      </c>
      <c r="HB194" s="35">
        <v>607560</v>
      </c>
      <c r="HC194" s="13">
        <v>3.8496143795984886E-2</v>
      </c>
      <c r="HD194" s="13">
        <v>8.8099962207105059E-2</v>
      </c>
      <c r="HE194" s="16">
        <v>9112.3547137322421</v>
      </c>
      <c r="HF194" s="13">
        <v>0.11987433862433862</v>
      </c>
      <c r="JO194"/>
      <c r="JP194"/>
      <c r="JS194"/>
      <c r="JT194"/>
      <c r="JV194"/>
      <c r="JZ194"/>
      <c r="KA194"/>
      <c r="KN194" s="278" t="s">
        <v>159</v>
      </c>
      <c r="KW194">
        <v>51</v>
      </c>
      <c r="KX194">
        <v>63</v>
      </c>
      <c r="KY194">
        <v>64</v>
      </c>
      <c r="KZ194">
        <v>65</v>
      </c>
      <c r="LA194">
        <v>61</v>
      </c>
      <c r="LB194">
        <v>33</v>
      </c>
      <c r="MI194">
        <v>0</v>
      </c>
      <c r="MJ194">
        <v>0</v>
      </c>
      <c r="MK194">
        <v>0</v>
      </c>
      <c r="ML194">
        <v>337</v>
      </c>
    </row>
    <row r="195" spans="1:350">
      <c r="B195" s="27">
        <f t="shared" si="81"/>
        <v>8.8161993769470398E-2</v>
      </c>
      <c r="C195" s="27">
        <f t="shared" si="82"/>
        <v>0.13809457385967361</v>
      </c>
      <c r="D195" s="1">
        <f t="shared" si="83"/>
        <v>280188.67924528301</v>
      </c>
      <c r="E195" s="278">
        <v>16</v>
      </c>
      <c r="F195" s="16">
        <v>11851</v>
      </c>
      <c r="G195">
        <v>53</v>
      </c>
      <c r="H195" s="16">
        <v>107535000</v>
      </c>
      <c r="I195" s="16">
        <v>22582350</v>
      </c>
      <c r="J195" s="16">
        <v>7100000</v>
      </c>
      <c r="K195" s="16">
        <v>3649881.2</v>
      </c>
      <c r="M195" s="16">
        <v>34282231.200000003</v>
      </c>
      <c r="N195" s="16">
        <v>9480500</v>
      </c>
      <c r="O195" s="16">
        <v>14850000</v>
      </c>
      <c r="P195" s="16">
        <v>0</v>
      </c>
      <c r="Q195" s="16"/>
      <c r="R195" s="16">
        <v>0</v>
      </c>
      <c r="S195"/>
      <c r="T195" s="12">
        <v>24330500</v>
      </c>
      <c r="U195" s="313">
        <v>10395000</v>
      </c>
      <c r="V195" s="16">
        <v>0</v>
      </c>
      <c r="W195" s="123">
        <v>0</v>
      </c>
      <c r="X195" s="123">
        <v>0</v>
      </c>
      <c r="Y195" s="12">
        <v>10395000</v>
      </c>
      <c r="Z195" s="12">
        <v>-443268.79999999702</v>
      </c>
      <c r="AA195" s="13">
        <v>-1.2929986890701472E-2</v>
      </c>
      <c r="AB195" s="13">
        <v>8.8161993769470398E-2</v>
      </c>
      <c r="AC195" s="16">
        <v>9073.9178128427975</v>
      </c>
      <c r="AD195" s="13">
        <v>0.13809457385967361</v>
      </c>
      <c r="AF195" s="1">
        <f t="shared" si="64"/>
        <v>223.60377358490567</v>
      </c>
      <c r="AG195" s="231"/>
      <c r="BZ195" s="278" t="s">
        <v>23</v>
      </c>
      <c r="CC195">
        <v>0</v>
      </c>
      <c r="CD195">
        <v>0</v>
      </c>
      <c r="CE195">
        <v>0</v>
      </c>
      <c r="CF195">
        <v>0</v>
      </c>
      <c r="CL195" s="26" t="s">
        <v>172</v>
      </c>
      <c r="DQ195">
        <v>22</v>
      </c>
      <c r="DR195">
        <v>21</v>
      </c>
      <c r="DS195">
        <v>21</v>
      </c>
      <c r="DT195">
        <v>24</v>
      </c>
      <c r="DU195">
        <v>26</v>
      </c>
      <c r="EM195">
        <v>0</v>
      </c>
      <c r="EN195">
        <v>0</v>
      </c>
      <c r="EO195">
        <v>0</v>
      </c>
      <c r="EP195">
        <v>26</v>
      </c>
      <c r="GS195" s="26">
        <v>31</v>
      </c>
      <c r="GT195" s="16">
        <v>5172</v>
      </c>
      <c r="GU195">
        <v>29</v>
      </c>
      <c r="GV195" s="16">
        <v>4375000</v>
      </c>
      <c r="GW195" s="16">
        <v>0</v>
      </c>
      <c r="GX195" s="35">
        <v>16702240</v>
      </c>
      <c r="GY195" s="313">
        <v>5285000</v>
      </c>
      <c r="GZ195" s="332">
        <v>7112380</v>
      </c>
      <c r="HA195" s="35">
        <v>6125000</v>
      </c>
      <c r="HB195" s="35">
        <v>3464860</v>
      </c>
      <c r="HC195" s="13">
        <v>0.20744882123595398</v>
      </c>
      <c r="HD195" s="13">
        <v>6.3606230370936254E-2</v>
      </c>
      <c r="HE195" s="16">
        <v>9111.3689095127611</v>
      </c>
      <c r="HF195" s="13">
        <v>8.7322807911043202E-2</v>
      </c>
      <c r="JO195"/>
      <c r="JP195"/>
      <c r="JS195"/>
      <c r="JT195"/>
      <c r="JV195"/>
      <c r="JZ195"/>
      <c r="KA195"/>
      <c r="KN195" s="278" t="s">
        <v>160</v>
      </c>
      <c r="LB195">
        <v>49</v>
      </c>
      <c r="LC195">
        <v>56</v>
      </c>
      <c r="LD195">
        <v>53</v>
      </c>
      <c r="LE195">
        <v>51</v>
      </c>
      <c r="LF195">
        <v>43</v>
      </c>
      <c r="MI195">
        <v>0</v>
      </c>
      <c r="MJ195">
        <v>0</v>
      </c>
      <c r="MK195">
        <v>0</v>
      </c>
      <c r="ML195">
        <v>252</v>
      </c>
    </row>
    <row r="196" spans="1:350">
      <c r="B196" s="27">
        <f t="shared" si="81"/>
        <v>8.8435576943551308E-2</v>
      </c>
      <c r="C196" s="27">
        <f t="shared" si="82"/>
        <v>1.9962523688861443E-2</v>
      </c>
      <c r="D196" s="1">
        <f t="shared" si="83"/>
        <v>36764.705882352944</v>
      </c>
      <c r="E196" s="278">
        <v>17</v>
      </c>
      <c r="F196" s="16">
        <v>10383</v>
      </c>
      <c r="G196">
        <v>51</v>
      </c>
      <c r="H196" s="16">
        <v>93926000</v>
      </c>
      <c r="I196" s="16">
        <v>19724460</v>
      </c>
      <c r="J196" s="16">
        <v>4680000</v>
      </c>
      <c r="K196" s="16">
        <v>3649881.2</v>
      </c>
      <c r="M196" s="16">
        <v>28804341.199999999</v>
      </c>
      <c r="N196" s="16">
        <v>8306400</v>
      </c>
      <c r="O196" s="16">
        <v>1875000</v>
      </c>
      <c r="P196" s="16">
        <v>7000000</v>
      </c>
      <c r="Q196" s="16"/>
      <c r="R196" s="16">
        <v>0</v>
      </c>
      <c r="S196"/>
      <c r="T196" s="12">
        <v>17181400</v>
      </c>
      <c r="U196" s="313">
        <v>9555000</v>
      </c>
      <c r="V196" s="16">
        <v>0</v>
      </c>
      <c r="W196" s="123">
        <v>840000</v>
      </c>
      <c r="X196" s="123">
        <v>0</v>
      </c>
      <c r="Y196" s="12">
        <v>10395000</v>
      </c>
      <c r="Z196" s="12">
        <v>1227941.1999999993</v>
      </c>
      <c r="AA196" s="13">
        <v>4.263042127830368E-2</v>
      </c>
      <c r="AB196" s="13">
        <v>8.8435576943551308E-2</v>
      </c>
      <c r="AC196" s="16">
        <v>9046.1331021862661</v>
      </c>
      <c r="AD196" s="13">
        <v>1.9962523688861443E-2</v>
      </c>
      <c r="AF196" s="1">
        <f t="shared" si="64"/>
        <v>203.58823529411765</v>
      </c>
      <c r="AG196" s="145"/>
      <c r="BZ196" s="278" t="s">
        <v>172</v>
      </c>
      <c r="CC196">
        <v>0</v>
      </c>
      <c r="CD196">
        <v>0</v>
      </c>
      <c r="CE196">
        <v>0</v>
      </c>
      <c r="CF196">
        <v>0</v>
      </c>
      <c r="CL196" s="26" t="s">
        <v>205</v>
      </c>
      <c r="EM196">
        <v>0</v>
      </c>
      <c r="EN196">
        <v>0</v>
      </c>
      <c r="EO196">
        <v>0</v>
      </c>
      <c r="EP196">
        <v>0</v>
      </c>
      <c r="GS196" s="26">
        <v>32</v>
      </c>
      <c r="GT196" s="16">
        <v>6145</v>
      </c>
      <c r="GU196">
        <v>30</v>
      </c>
      <c r="GV196" s="16">
        <v>4250000</v>
      </c>
      <c r="GW196" s="16">
        <v>0</v>
      </c>
      <c r="GX196" s="35">
        <v>18907240</v>
      </c>
      <c r="GY196" s="313">
        <v>5355000</v>
      </c>
      <c r="GZ196" s="332">
        <v>11334400</v>
      </c>
      <c r="HA196" s="35">
        <v>5855000</v>
      </c>
      <c r="HB196" s="35">
        <v>1717840</v>
      </c>
      <c r="HC196" s="13">
        <v>9.0856201116609303E-2</v>
      </c>
      <c r="HD196" s="13">
        <v>0.10176499804874588</v>
      </c>
      <c r="HE196" s="16">
        <v>9173.9625711960944</v>
      </c>
      <c r="HF196" s="13">
        <v>9.9292226913115969E-2</v>
      </c>
      <c r="JO196"/>
      <c r="JP196"/>
      <c r="JS196"/>
      <c r="JT196"/>
      <c r="JV196"/>
      <c r="JZ196"/>
      <c r="KA196"/>
      <c r="KN196" s="278" t="s">
        <v>161</v>
      </c>
      <c r="LF196">
        <v>33</v>
      </c>
      <c r="LG196">
        <v>34</v>
      </c>
      <c r="LH196">
        <v>26</v>
      </c>
      <c r="LI196">
        <v>24</v>
      </c>
      <c r="LJ196">
        <v>24</v>
      </c>
      <c r="MI196">
        <v>0</v>
      </c>
      <c r="MJ196">
        <v>0</v>
      </c>
      <c r="MK196">
        <v>0</v>
      </c>
      <c r="ML196">
        <v>141</v>
      </c>
    </row>
    <row r="197" spans="1:350">
      <c r="B197" s="27">
        <f t="shared" si="81"/>
        <v>9.8921618852459023E-2</v>
      </c>
      <c r="C197" s="27">
        <f t="shared" si="82"/>
        <v>2.4590163934426229E-2</v>
      </c>
      <c r="D197" s="1">
        <f t="shared" si="83"/>
        <v>44651.162790697672</v>
      </c>
      <c r="E197" s="278">
        <v>18</v>
      </c>
      <c r="F197" s="16">
        <v>8582</v>
      </c>
      <c r="G197">
        <v>43</v>
      </c>
      <c r="H197" s="16">
        <v>78080000</v>
      </c>
      <c r="I197" s="16">
        <v>16396800</v>
      </c>
      <c r="J197" s="16">
        <v>7740000</v>
      </c>
      <c r="K197" s="16">
        <v>3355633.4967741934</v>
      </c>
      <c r="M197" s="16">
        <v>28092433.496774197</v>
      </c>
      <c r="N197" s="16">
        <v>7723800</v>
      </c>
      <c r="O197" s="16">
        <v>1920000</v>
      </c>
      <c r="P197" s="16">
        <v>0</v>
      </c>
      <c r="Q197" s="16"/>
      <c r="R197" s="16">
        <v>0</v>
      </c>
      <c r="S197"/>
      <c r="T197" s="12">
        <v>9643800</v>
      </c>
      <c r="U197" s="313">
        <v>15470000</v>
      </c>
      <c r="V197" s="16">
        <v>0</v>
      </c>
      <c r="W197" s="123">
        <v>840000</v>
      </c>
      <c r="X197" s="123">
        <v>0</v>
      </c>
      <c r="Y197" s="12">
        <v>16310000</v>
      </c>
      <c r="Z197" s="12">
        <v>2138633.4967741948</v>
      </c>
      <c r="AA197" s="13">
        <v>7.6128452774294905E-2</v>
      </c>
      <c r="AB197" s="13">
        <v>9.8921618852459023E-2</v>
      </c>
      <c r="AC197" s="16">
        <v>9098.1123281286418</v>
      </c>
      <c r="AD197" s="13">
        <v>2.4590163934426229E-2</v>
      </c>
      <c r="AF197" s="1">
        <f t="shared" si="64"/>
        <v>199.58139534883722</v>
      </c>
      <c r="AG197" s="16"/>
      <c r="BZ197" s="278" t="s">
        <v>205</v>
      </c>
      <c r="CC197">
        <v>0</v>
      </c>
      <c r="CD197">
        <v>0</v>
      </c>
      <c r="CE197">
        <v>0</v>
      </c>
      <c r="CF197">
        <v>0</v>
      </c>
      <c r="CL197" s="26" t="s">
        <v>173</v>
      </c>
      <c r="DQ197">
        <v>21</v>
      </c>
      <c r="DR197">
        <v>25</v>
      </c>
      <c r="DS197">
        <v>24</v>
      </c>
      <c r="DT197">
        <v>27</v>
      </c>
      <c r="DU197">
        <v>27</v>
      </c>
      <c r="EM197">
        <v>0</v>
      </c>
      <c r="EN197">
        <v>0</v>
      </c>
      <c r="EO197">
        <v>0</v>
      </c>
      <c r="EP197">
        <v>27</v>
      </c>
      <c r="GS197" s="26">
        <v>33</v>
      </c>
      <c r="GT197" s="16">
        <v>5374</v>
      </c>
      <c r="GU197">
        <v>25</v>
      </c>
      <c r="GV197" s="16">
        <v>3975000</v>
      </c>
      <c r="GW197" s="16">
        <v>0</v>
      </c>
      <c r="GX197" s="35">
        <v>16834200</v>
      </c>
      <c r="GY197" s="313">
        <v>4795000</v>
      </c>
      <c r="GZ197" s="332">
        <v>10169880</v>
      </c>
      <c r="HA197" s="35">
        <v>4795000</v>
      </c>
      <c r="HB197" s="35">
        <v>1869320</v>
      </c>
      <c r="HC197" s="13">
        <v>0.11104299580615651</v>
      </c>
      <c r="HD197" s="13">
        <v>0.10326174496644296</v>
      </c>
      <c r="HE197" s="16">
        <v>9149.6092296241168</v>
      </c>
      <c r="HF197" s="13">
        <v>0.1035692495424039</v>
      </c>
      <c r="JO197"/>
      <c r="JP197"/>
      <c r="JS197"/>
      <c r="JT197"/>
      <c r="JV197"/>
      <c r="JZ197"/>
      <c r="KA197"/>
      <c r="KN197" s="278" t="s">
        <v>156</v>
      </c>
      <c r="LJ197">
        <v>19</v>
      </c>
      <c r="LK197">
        <v>22</v>
      </c>
      <c r="LL197">
        <v>22</v>
      </c>
      <c r="LM197">
        <v>28</v>
      </c>
      <c r="LN197">
        <v>26</v>
      </c>
      <c r="LO197">
        <v>25</v>
      </c>
      <c r="MI197">
        <v>0</v>
      </c>
      <c r="MJ197">
        <v>0</v>
      </c>
      <c r="MK197">
        <v>0</v>
      </c>
      <c r="ML197">
        <v>142</v>
      </c>
    </row>
    <row r="198" spans="1:350">
      <c r="B198" s="27">
        <f t="shared" si="81"/>
        <v>9.9508173766933869E-2</v>
      </c>
      <c r="C198" s="27">
        <f t="shared" si="82"/>
        <v>2.7041691462176637E-2</v>
      </c>
      <c r="D198" s="1">
        <f t="shared" si="83"/>
        <v>45441.176470588238</v>
      </c>
      <c r="E198" s="278">
        <v>19</v>
      </c>
      <c r="F198" s="16">
        <v>6317</v>
      </c>
      <c r="G198">
        <v>34</v>
      </c>
      <c r="H198" s="16">
        <v>57134000</v>
      </c>
      <c r="I198" s="16">
        <v>11998140</v>
      </c>
      <c r="J198" s="16">
        <v>3060000</v>
      </c>
      <c r="K198" s="16">
        <v>2222477.4193548388</v>
      </c>
      <c r="M198" s="16">
        <v>18180617.419354837</v>
      </c>
      <c r="N198" s="16">
        <v>5685300</v>
      </c>
      <c r="O198" s="16">
        <v>1545000</v>
      </c>
      <c r="P198" s="16">
        <v>1260000</v>
      </c>
      <c r="Q198" s="16"/>
      <c r="R198" s="16">
        <v>0</v>
      </c>
      <c r="S198"/>
      <c r="T198" s="12">
        <v>8490300</v>
      </c>
      <c r="U198" s="313">
        <v>6160000</v>
      </c>
      <c r="V198" s="16">
        <v>0</v>
      </c>
      <c r="W198" s="123">
        <v>840000</v>
      </c>
      <c r="X198" s="123">
        <v>0</v>
      </c>
      <c r="Y198" s="12">
        <v>7000000</v>
      </c>
      <c r="Z198" s="12">
        <v>2690317.4193548374</v>
      </c>
      <c r="AA198" s="13">
        <v>0.14797723076724348</v>
      </c>
      <c r="AB198" s="13">
        <v>9.9508173766933869E-2</v>
      </c>
      <c r="AC198" s="16">
        <v>9044.4831407313595</v>
      </c>
      <c r="AD198" s="13">
        <v>2.7041691462176637E-2</v>
      </c>
      <c r="AF198" s="1">
        <f t="shared" si="64"/>
        <v>185.79411764705881</v>
      </c>
      <c r="AG198" s="231"/>
      <c r="BZ198" s="278" t="s">
        <v>173</v>
      </c>
      <c r="CC198">
        <v>0</v>
      </c>
      <c r="CD198">
        <v>0</v>
      </c>
      <c r="CE198">
        <v>0</v>
      </c>
      <c r="CF198">
        <v>0</v>
      </c>
      <c r="CL198" s="26" t="s">
        <v>174</v>
      </c>
      <c r="DQ198">
        <v>29</v>
      </c>
      <c r="DR198">
        <v>30</v>
      </c>
      <c r="DS198">
        <v>25</v>
      </c>
      <c r="DT198">
        <v>32</v>
      </c>
      <c r="DU198">
        <v>40</v>
      </c>
      <c r="EM198">
        <v>0</v>
      </c>
      <c r="EN198">
        <v>0</v>
      </c>
      <c r="EO198">
        <v>0</v>
      </c>
      <c r="EP198">
        <v>40</v>
      </c>
      <c r="GS198" s="26">
        <v>34</v>
      </c>
      <c r="GT198" s="16">
        <v>5286</v>
      </c>
      <c r="GU198">
        <v>32</v>
      </c>
      <c r="GV198" s="16">
        <v>4500000</v>
      </c>
      <c r="GW198" s="16">
        <v>0</v>
      </c>
      <c r="GX198" s="35">
        <v>17153800</v>
      </c>
      <c r="GY198" s="313">
        <v>5670000</v>
      </c>
      <c r="GZ198" s="332">
        <v>10529860</v>
      </c>
      <c r="HA198" s="35">
        <v>6070000</v>
      </c>
      <c r="HB198" s="35">
        <v>553940</v>
      </c>
      <c r="HC198" s="13">
        <v>3.2292553253506509E-2</v>
      </c>
      <c r="HD198" s="13">
        <v>9.0582058701942955E-2</v>
      </c>
      <c r="HE198" s="16">
        <v>9152.4782444192206</v>
      </c>
      <c r="HF198" s="13">
        <v>0.12706696982224058</v>
      </c>
      <c r="JO198"/>
      <c r="JP198"/>
      <c r="JS198"/>
      <c r="JT198"/>
      <c r="JV198"/>
      <c r="JZ198"/>
      <c r="KA198"/>
      <c r="KN198" s="278" t="s">
        <v>162</v>
      </c>
      <c r="LO198">
        <v>25</v>
      </c>
      <c r="LP198">
        <v>23</v>
      </c>
      <c r="LQ198">
        <v>26</v>
      </c>
      <c r="LR198">
        <v>31</v>
      </c>
      <c r="LS198">
        <v>24</v>
      </c>
      <c r="MI198">
        <v>0</v>
      </c>
      <c r="MJ198">
        <v>0</v>
      </c>
      <c r="MK198">
        <v>0</v>
      </c>
      <c r="ML198">
        <v>129</v>
      </c>
    </row>
    <row r="199" spans="1:350">
      <c r="B199" s="27">
        <f t="shared" si="81"/>
        <v>9.9611032531824614E-2</v>
      </c>
      <c r="C199" s="27">
        <f t="shared" si="82"/>
        <v>2.593116454502593E-2</v>
      </c>
      <c r="D199" s="1">
        <f t="shared" si="83"/>
        <v>42307.692307692305</v>
      </c>
      <c r="E199" s="278">
        <v>20</v>
      </c>
      <c r="F199" s="16">
        <v>4695</v>
      </c>
      <c r="G199">
        <v>26</v>
      </c>
      <c r="H199" s="16">
        <v>42420000</v>
      </c>
      <c r="I199" s="16">
        <v>8908200</v>
      </c>
      <c r="J199" s="16">
        <v>2304000</v>
      </c>
      <c r="K199" s="16">
        <v>2222477.4193548388</v>
      </c>
      <c r="M199" s="16">
        <v>13834677.419354839</v>
      </c>
      <c r="N199" s="16">
        <v>4225500</v>
      </c>
      <c r="O199" s="16">
        <v>1100000</v>
      </c>
      <c r="P199" s="16">
        <v>1020000</v>
      </c>
      <c r="Q199" s="16"/>
      <c r="R199" s="16">
        <v>0</v>
      </c>
      <c r="S199"/>
      <c r="T199" s="12">
        <v>6345500</v>
      </c>
      <c r="U199" s="313">
        <v>4550000</v>
      </c>
      <c r="V199" s="16">
        <v>0</v>
      </c>
      <c r="W199" s="123">
        <v>840000</v>
      </c>
      <c r="X199" s="123">
        <v>0</v>
      </c>
      <c r="Y199" s="12">
        <v>5390000</v>
      </c>
      <c r="Z199" s="12">
        <v>2099177.4193548393</v>
      </c>
      <c r="AA199" s="13">
        <v>0.15173302244243664</v>
      </c>
      <c r="AB199" s="13">
        <v>9.9611032531824614E-2</v>
      </c>
      <c r="AC199" s="16">
        <v>9035.1437699680519</v>
      </c>
      <c r="AD199" s="13">
        <v>2.593116454502593E-2</v>
      </c>
      <c r="AF199" s="1">
        <f t="shared" si="64"/>
        <v>180.57692307692307</v>
      </c>
      <c r="AG199" s="231"/>
      <c r="BZ199" s="278" t="s">
        <v>174</v>
      </c>
      <c r="CC199">
        <v>0</v>
      </c>
      <c r="CD199">
        <v>0</v>
      </c>
      <c r="CE199">
        <v>0</v>
      </c>
      <c r="CF199">
        <v>0</v>
      </c>
      <c r="CL199" s="26" t="s">
        <v>203</v>
      </c>
      <c r="DQ199">
        <v>1</v>
      </c>
      <c r="EM199">
        <v>0</v>
      </c>
      <c r="EN199">
        <v>0</v>
      </c>
      <c r="EO199">
        <v>0</v>
      </c>
      <c r="EP199">
        <v>1</v>
      </c>
      <c r="GS199" s="26">
        <v>35</v>
      </c>
      <c r="GT199" s="16">
        <v>7752</v>
      </c>
      <c r="GU199">
        <v>40</v>
      </c>
      <c r="GV199" s="16">
        <v>6250000</v>
      </c>
      <c r="GW199" s="16">
        <v>0</v>
      </c>
      <c r="GX199" s="35">
        <v>24729240</v>
      </c>
      <c r="GY199" s="313">
        <v>7490000</v>
      </c>
      <c r="GZ199" s="332">
        <v>18368860</v>
      </c>
      <c r="HA199" s="35">
        <v>8190000</v>
      </c>
      <c r="HB199" s="35">
        <v>-1829620</v>
      </c>
      <c r="HC199" s="13">
        <v>-7.3986099047119933E-2</v>
      </c>
      <c r="HD199" s="13">
        <v>0.10508568534203788</v>
      </c>
      <c r="HE199" s="16">
        <v>9168.472652218783</v>
      </c>
      <c r="HF199" s="13">
        <v>0.15054731688099726</v>
      </c>
      <c r="JO199"/>
      <c r="JP199"/>
      <c r="JS199"/>
      <c r="JT199"/>
      <c r="JV199"/>
      <c r="JZ199"/>
      <c r="KA199"/>
      <c r="KN199" s="278" t="s">
        <v>163</v>
      </c>
      <c r="LS199">
        <v>29</v>
      </c>
      <c r="LT199">
        <v>30</v>
      </c>
      <c r="LU199">
        <v>25</v>
      </c>
      <c r="LV199" s="379">
        <v>32</v>
      </c>
      <c r="LW199">
        <v>40</v>
      </c>
      <c r="MI199">
        <v>0</v>
      </c>
      <c r="MJ199">
        <v>0</v>
      </c>
      <c r="MK199">
        <v>0</v>
      </c>
      <c r="ML199">
        <v>156</v>
      </c>
    </row>
    <row r="200" spans="1:350">
      <c r="B200" s="27">
        <f t="shared" si="81"/>
        <v>9.9256117908787536E-2</v>
      </c>
      <c r="C200" s="27">
        <f t="shared" si="82"/>
        <v>2.7113459399332591E-2</v>
      </c>
      <c r="D200" s="1">
        <f t="shared" si="83"/>
        <v>48750</v>
      </c>
      <c r="E200" s="278">
        <v>21</v>
      </c>
      <c r="F200" s="16">
        <v>4759</v>
      </c>
      <c r="G200">
        <v>24</v>
      </c>
      <c r="H200" s="16">
        <v>43152000</v>
      </c>
      <c r="I200" s="16">
        <v>9061920</v>
      </c>
      <c r="J200" s="16">
        <v>2412000</v>
      </c>
      <c r="K200" s="16">
        <v>2222477.4193548388</v>
      </c>
      <c r="M200" s="16">
        <v>13900597.419354839</v>
      </c>
      <c r="N200" s="16">
        <v>4283100</v>
      </c>
      <c r="O200" s="16">
        <v>1170000</v>
      </c>
      <c r="P200" s="16">
        <v>1260000</v>
      </c>
      <c r="Q200" s="16"/>
      <c r="R200" s="16">
        <v>0</v>
      </c>
      <c r="S200"/>
      <c r="T200" s="12">
        <v>6713100</v>
      </c>
      <c r="U200" s="313">
        <v>4970000</v>
      </c>
      <c r="V200" s="16">
        <v>0</v>
      </c>
      <c r="W200" s="123">
        <v>840000</v>
      </c>
      <c r="X200" s="123">
        <v>0</v>
      </c>
      <c r="Y200" s="12">
        <v>5810000</v>
      </c>
      <c r="Z200" s="12">
        <v>1377497.4193548393</v>
      </c>
      <c r="AA200" s="13">
        <v>9.9096274627509667E-2</v>
      </c>
      <c r="AB200" s="13">
        <v>9.9256117908787536E-2</v>
      </c>
      <c r="AC200" s="16">
        <v>9067.4511451985709</v>
      </c>
      <c r="AD200" s="13">
        <v>2.7113459399332591E-2</v>
      </c>
      <c r="AF200" s="1">
        <f t="shared" si="64"/>
        <v>198.29166666666666</v>
      </c>
      <c r="AG200" s="231"/>
      <c r="BZ200" s="278" t="s">
        <v>203</v>
      </c>
      <c r="CC200">
        <v>0</v>
      </c>
      <c r="CD200">
        <v>0</v>
      </c>
      <c r="CE200">
        <v>0</v>
      </c>
      <c r="CF200">
        <v>0</v>
      </c>
      <c r="CL200" s="26" t="s">
        <v>175</v>
      </c>
      <c r="EM200">
        <v>0</v>
      </c>
      <c r="EN200">
        <v>0</v>
      </c>
      <c r="EO200">
        <v>0</v>
      </c>
      <c r="EP200">
        <v>0</v>
      </c>
      <c r="GS200" s="26">
        <v>36</v>
      </c>
      <c r="GT200" s="16">
        <v>7511</v>
      </c>
      <c r="GU200">
        <v>43</v>
      </c>
      <c r="GV200" s="16">
        <v>6625000</v>
      </c>
      <c r="GW200" s="16">
        <v>0</v>
      </c>
      <c r="GX200" s="35">
        <v>24460480</v>
      </c>
      <c r="GY200" s="313">
        <v>8190000</v>
      </c>
      <c r="GZ200" s="332">
        <v>18312580</v>
      </c>
      <c r="HA200" s="35">
        <v>8890000</v>
      </c>
      <c r="HB200" s="35">
        <v>-2742100</v>
      </c>
      <c r="HC200" s="13">
        <v>-0.11210327843116734</v>
      </c>
      <c r="HD200" s="13">
        <v>9.639610484270679E-2</v>
      </c>
      <c r="HE200" s="16">
        <v>9133.004926108375</v>
      </c>
      <c r="HF200" s="13">
        <v>0.1705589084229861</v>
      </c>
      <c r="JO200"/>
      <c r="JP200"/>
      <c r="JS200"/>
      <c r="JT200"/>
      <c r="JV200"/>
      <c r="JZ200"/>
      <c r="KA200"/>
      <c r="KN200" s="278" t="s">
        <v>164</v>
      </c>
      <c r="LX200">
        <v>43</v>
      </c>
      <c r="LY200">
        <v>42</v>
      </c>
      <c r="LZ200">
        <v>42</v>
      </c>
      <c r="MA200">
        <v>44</v>
      </c>
      <c r="MB200">
        <v>44</v>
      </c>
      <c r="MI200">
        <v>0</v>
      </c>
      <c r="MJ200">
        <v>0</v>
      </c>
      <c r="MK200">
        <v>0</v>
      </c>
      <c r="ML200">
        <v>215</v>
      </c>
    </row>
    <row r="201" spans="1:350">
      <c r="B201" s="27">
        <f t="shared" si="81"/>
        <v>0.1002212389380531</v>
      </c>
      <c r="C201" s="27">
        <f t="shared" si="82"/>
        <v>2.3522530770013223E-2</v>
      </c>
      <c r="D201" s="1">
        <f t="shared" si="83"/>
        <v>38541.666666666664</v>
      </c>
      <c r="E201" s="278">
        <v>22</v>
      </c>
      <c r="F201" s="16">
        <v>4379</v>
      </c>
      <c r="G201">
        <v>24</v>
      </c>
      <c r="H201" s="16">
        <v>39324000</v>
      </c>
      <c r="I201" s="16">
        <v>8258040</v>
      </c>
      <c r="J201" s="16">
        <v>2304000</v>
      </c>
      <c r="K201" s="16">
        <v>2171380.6451612902</v>
      </c>
      <c r="M201" s="16">
        <v>12983420.645161288</v>
      </c>
      <c r="N201" s="16">
        <v>3941100</v>
      </c>
      <c r="O201" s="16">
        <v>925000</v>
      </c>
      <c r="P201" s="16">
        <v>899999.99999999988</v>
      </c>
      <c r="Q201" s="16"/>
      <c r="R201" s="16">
        <v>0</v>
      </c>
      <c r="S201"/>
      <c r="T201" s="12">
        <v>5766100</v>
      </c>
      <c r="U201" s="313">
        <v>4550000</v>
      </c>
      <c r="V201" s="16">
        <v>0</v>
      </c>
      <c r="W201" s="123">
        <v>840000</v>
      </c>
      <c r="X201" s="123">
        <v>0</v>
      </c>
      <c r="Y201" s="12">
        <v>5390000</v>
      </c>
      <c r="Z201" s="12">
        <v>1827320.6451612881</v>
      </c>
      <c r="AA201" s="13">
        <v>0.14074262053908737</v>
      </c>
      <c r="AB201" s="13">
        <v>0.1002212389380531</v>
      </c>
      <c r="AC201" s="16">
        <v>8980.1324503311262</v>
      </c>
      <c r="AD201" s="13">
        <v>2.3522530770013223E-2</v>
      </c>
      <c r="AF201" s="1">
        <f t="shared" si="64"/>
        <v>182.45833333333334</v>
      </c>
      <c r="AG201" s="231"/>
      <c r="BZ201" s="278" t="s">
        <v>175</v>
      </c>
      <c r="CC201">
        <v>0</v>
      </c>
      <c r="CD201">
        <v>0</v>
      </c>
      <c r="CE201">
        <v>0</v>
      </c>
      <c r="CF201">
        <v>0</v>
      </c>
      <c r="CL201" s="26" t="s">
        <v>200</v>
      </c>
      <c r="EM201">
        <v>0</v>
      </c>
      <c r="EN201">
        <v>0</v>
      </c>
      <c r="EO201">
        <v>0</v>
      </c>
      <c r="EP201">
        <v>0</v>
      </c>
      <c r="GS201" s="26">
        <v>37</v>
      </c>
      <c r="GT201" s="16">
        <v>7131</v>
      </c>
      <c r="GU201">
        <v>42</v>
      </c>
      <c r="GV201" s="16">
        <v>6700000</v>
      </c>
      <c r="GW201" s="16">
        <v>0</v>
      </c>
      <c r="GX201" s="35">
        <v>26302080</v>
      </c>
      <c r="GY201" s="313">
        <v>8400000</v>
      </c>
      <c r="GZ201" s="332">
        <v>19571160</v>
      </c>
      <c r="HA201" s="35">
        <v>9100000</v>
      </c>
      <c r="HB201" s="35">
        <v>-2369080</v>
      </c>
      <c r="HC201" s="13">
        <v>-9.007196389030829E-2</v>
      </c>
      <c r="HD201" s="13">
        <v>0.10093803327645051</v>
      </c>
      <c r="HE201" s="16">
        <v>10518.580844201375</v>
      </c>
      <c r="HF201" s="13">
        <v>0.15998293515358361</v>
      </c>
      <c r="JO201"/>
      <c r="JP201"/>
      <c r="JS201"/>
      <c r="JT201"/>
      <c r="JV201"/>
      <c r="JZ201"/>
      <c r="KA201"/>
      <c r="KN201" s="278" t="s">
        <v>165</v>
      </c>
      <c r="MB201">
        <v>44</v>
      </c>
      <c r="MC201">
        <v>37</v>
      </c>
      <c r="MD201">
        <v>31</v>
      </c>
      <c r="ME201">
        <v>32</v>
      </c>
      <c r="MF201">
        <v>28</v>
      </c>
      <c r="MI201">
        <v>0</v>
      </c>
      <c r="MJ201">
        <v>0</v>
      </c>
      <c r="MK201">
        <v>0</v>
      </c>
      <c r="ML201">
        <v>172</v>
      </c>
    </row>
    <row r="202" spans="1:350">
      <c r="A202">
        <v>33</v>
      </c>
      <c r="B202" s="27">
        <f t="shared" si="81"/>
        <v>5.0924439143001328E-2</v>
      </c>
      <c r="C202" s="27">
        <f t="shared" si="82"/>
        <v>6.9275588383722525E-2</v>
      </c>
      <c r="D202" s="1">
        <f t="shared" si="83"/>
        <v>137272.72727272726</v>
      </c>
      <c r="E202" s="278">
        <v>23</v>
      </c>
      <c r="F202" s="16">
        <v>4783</v>
      </c>
      <c r="G202">
        <v>22</v>
      </c>
      <c r="H202" s="16">
        <v>43594000</v>
      </c>
      <c r="I202" s="16">
        <v>9154740</v>
      </c>
      <c r="J202" s="16">
        <v>3850000</v>
      </c>
      <c r="K202" s="16">
        <v>1864800</v>
      </c>
      <c r="M202" s="16">
        <v>14869540</v>
      </c>
      <c r="N202" s="16">
        <v>2220000</v>
      </c>
      <c r="O202" s="16">
        <v>3020000</v>
      </c>
      <c r="P202" s="16">
        <v>1180000</v>
      </c>
      <c r="Q202" s="16"/>
      <c r="R202" s="16">
        <v>0</v>
      </c>
      <c r="S202"/>
      <c r="T202" s="12">
        <v>6420000</v>
      </c>
      <c r="U202" s="313">
        <v>4515000</v>
      </c>
      <c r="V202" s="16">
        <v>0</v>
      </c>
      <c r="W202" s="123">
        <v>840000</v>
      </c>
      <c r="X202" s="123">
        <v>0</v>
      </c>
      <c r="Y202" s="12">
        <v>5355000</v>
      </c>
      <c r="Z202" s="12">
        <v>3094540</v>
      </c>
      <c r="AA202" s="13">
        <v>0.20811269212093986</v>
      </c>
      <c r="AB202" s="13">
        <v>5.0924439143001328E-2</v>
      </c>
      <c r="AC202" s="16">
        <v>9114.3633702697043</v>
      </c>
      <c r="AD202" s="13">
        <v>6.9275588383722525E-2</v>
      </c>
      <c r="AF202" s="1">
        <f t="shared" si="64"/>
        <v>217.40909090909091</v>
      </c>
      <c r="AG202" s="231"/>
      <c r="BZ202" s="278" t="s">
        <v>200</v>
      </c>
      <c r="CC202">
        <v>0</v>
      </c>
      <c r="CD202">
        <v>0</v>
      </c>
      <c r="CE202">
        <v>0</v>
      </c>
      <c r="CF202">
        <v>0</v>
      </c>
      <c r="CL202" s="26" t="s">
        <v>176</v>
      </c>
      <c r="DQ202">
        <v>11</v>
      </c>
      <c r="DR202">
        <v>13</v>
      </c>
      <c r="DS202">
        <v>15</v>
      </c>
      <c r="DT202">
        <v>13</v>
      </c>
      <c r="DU202">
        <v>13</v>
      </c>
      <c r="EM202">
        <v>0</v>
      </c>
      <c r="EN202">
        <v>0</v>
      </c>
      <c r="EO202">
        <v>0</v>
      </c>
      <c r="EP202">
        <v>15</v>
      </c>
      <c r="GS202" s="26">
        <v>38</v>
      </c>
      <c r="GT202" s="16">
        <v>7885</v>
      </c>
      <c r="GU202">
        <v>42</v>
      </c>
      <c r="GV202" s="16">
        <v>6325000</v>
      </c>
      <c r="GW202" s="16">
        <v>0</v>
      </c>
      <c r="GX202" s="35">
        <v>25125200</v>
      </c>
      <c r="GY202" s="313">
        <v>8085000</v>
      </c>
      <c r="GZ202" s="332">
        <v>18550780</v>
      </c>
      <c r="HA202" s="35">
        <v>8785000</v>
      </c>
      <c r="HB202" s="35">
        <v>-2210580</v>
      </c>
      <c r="HC202" s="13">
        <v>-8.7982583223218128E-2</v>
      </c>
      <c r="HD202" s="13">
        <v>9.7206053873923906E-2</v>
      </c>
      <c r="HE202" s="16">
        <v>9133.7983512999363</v>
      </c>
      <c r="HF202" s="13">
        <v>0.16037211885587338</v>
      </c>
      <c r="JO202"/>
      <c r="JP202"/>
      <c r="JS202"/>
      <c r="JT202"/>
      <c r="JV202"/>
      <c r="JZ202"/>
      <c r="KA202"/>
      <c r="KN202" s="278" t="s">
        <v>36</v>
      </c>
      <c r="MF202">
        <v>23</v>
      </c>
      <c r="MG202">
        <v>26</v>
      </c>
      <c r="MH202">
        <v>23</v>
      </c>
      <c r="MI202">
        <v>0</v>
      </c>
      <c r="MJ202">
        <v>0</v>
      </c>
      <c r="MK202">
        <v>0</v>
      </c>
      <c r="ML202">
        <v>72</v>
      </c>
    </row>
    <row r="203" spans="1:350">
      <c r="B203" s="27">
        <f t="shared" si="81"/>
        <v>0.10736360208972909</v>
      </c>
      <c r="C203" s="27">
        <f t="shared" si="82"/>
        <v>7.3113588624979797E-2</v>
      </c>
      <c r="D203" s="1">
        <f t="shared" si="83"/>
        <v>123409.09090909091</v>
      </c>
      <c r="E203" s="278">
        <v>24</v>
      </c>
      <c r="F203" s="16">
        <v>4124</v>
      </c>
      <c r="G203">
        <v>22</v>
      </c>
      <c r="H203" s="16">
        <v>37134000</v>
      </c>
      <c r="I203" s="16">
        <v>9654840</v>
      </c>
      <c r="J203" s="16">
        <v>3850000</v>
      </c>
      <c r="K203" s="16">
        <v>0</v>
      </c>
      <c r="M203" s="16">
        <v>13504840</v>
      </c>
      <c r="N203" s="16">
        <v>3986840</v>
      </c>
      <c r="O203" s="16">
        <v>2715000</v>
      </c>
      <c r="P203" s="16">
        <v>930000</v>
      </c>
      <c r="Q203" s="16"/>
      <c r="R203" s="16">
        <v>0</v>
      </c>
      <c r="S203"/>
      <c r="T203" s="12">
        <v>7631840</v>
      </c>
      <c r="U203" s="313">
        <v>4060000</v>
      </c>
      <c r="V203" s="16">
        <v>0</v>
      </c>
      <c r="W203" s="123">
        <v>840000</v>
      </c>
      <c r="X203" s="123">
        <v>0</v>
      </c>
      <c r="Y203" s="12">
        <v>4900000</v>
      </c>
      <c r="Z203" s="12">
        <v>973000</v>
      </c>
      <c r="AA203" s="13">
        <v>7.204824344457246E-2</v>
      </c>
      <c r="AB203" s="13">
        <v>0.10736360208972909</v>
      </c>
      <c r="AC203" s="16">
        <v>9004.3646944713873</v>
      </c>
      <c r="AD203" s="13">
        <v>7.3113588624979797E-2</v>
      </c>
      <c r="AF203" s="1">
        <f t="shared" si="64"/>
        <v>187.45454545454547</v>
      </c>
      <c r="AG203" s="231"/>
      <c r="BZ203" s="278" t="s">
        <v>176</v>
      </c>
      <c r="CC203">
        <v>0</v>
      </c>
      <c r="CD203">
        <v>0</v>
      </c>
      <c r="CE203">
        <v>0</v>
      </c>
      <c r="CF203">
        <v>0</v>
      </c>
      <c r="CL203" s="26" t="s">
        <v>201</v>
      </c>
      <c r="EM203">
        <v>0</v>
      </c>
      <c r="EN203">
        <v>0</v>
      </c>
      <c r="EO203">
        <v>0</v>
      </c>
      <c r="EP203">
        <v>0</v>
      </c>
      <c r="GS203" s="26">
        <v>39</v>
      </c>
      <c r="GT203" s="16">
        <v>8147</v>
      </c>
      <c r="GU203">
        <v>44</v>
      </c>
      <c r="GV203" s="16">
        <v>6425000</v>
      </c>
      <c r="GW203" s="16">
        <v>0</v>
      </c>
      <c r="GX203" s="35">
        <v>25905440</v>
      </c>
      <c r="GY203" s="313">
        <v>8015000</v>
      </c>
      <c r="GZ203" s="332">
        <v>15923720</v>
      </c>
      <c r="HA203" s="35">
        <v>8715000</v>
      </c>
      <c r="HB203" s="35">
        <v>1266720</v>
      </c>
      <c r="HC203" s="13">
        <v>4.8897837674249114E-2</v>
      </c>
      <c r="HD203" s="13">
        <v>0.10140132179893611</v>
      </c>
      <c r="HE203" s="16">
        <v>9137.5966613477358</v>
      </c>
      <c r="HF203" s="13">
        <v>0.10981408844231906</v>
      </c>
      <c r="JO203"/>
      <c r="JP203"/>
      <c r="JS203"/>
      <c r="JT203"/>
      <c r="JV203"/>
      <c r="JZ203"/>
      <c r="KA203"/>
      <c r="KN203" s="278" t="s">
        <v>166</v>
      </c>
      <c r="MI203">
        <v>0</v>
      </c>
      <c r="MJ203">
        <v>0</v>
      </c>
      <c r="MK203">
        <v>0</v>
      </c>
      <c r="ML203">
        <v>0</v>
      </c>
    </row>
    <row r="204" spans="1:350">
      <c r="B204" s="27">
        <f t="shared" si="81"/>
        <v>9.1155212132846997E-2</v>
      </c>
      <c r="C204" s="27">
        <f t="shared" si="82"/>
        <v>1.1278556344787867E-2</v>
      </c>
      <c r="D204" s="1">
        <f t="shared" si="83"/>
        <v>16785.714285714286</v>
      </c>
      <c r="E204" s="278">
        <v>25</v>
      </c>
      <c r="F204" s="16">
        <v>4587</v>
      </c>
      <c r="G204">
        <v>28</v>
      </c>
      <c r="H204" s="16">
        <v>41672000</v>
      </c>
      <c r="I204" s="16">
        <v>10834720</v>
      </c>
      <c r="J204" s="16">
        <v>4075000</v>
      </c>
      <c r="K204" s="16">
        <v>0</v>
      </c>
      <c r="M204" s="16">
        <v>14984720</v>
      </c>
      <c r="N204" s="16">
        <v>3798620</v>
      </c>
      <c r="O204" s="16">
        <v>470000</v>
      </c>
      <c r="P204" s="16">
        <v>0</v>
      </c>
      <c r="Q204" s="16"/>
      <c r="R204" s="16">
        <v>0</v>
      </c>
      <c r="S204"/>
      <c r="T204" s="12">
        <v>4268620</v>
      </c>
      <c r="U204" s="313">
        <v>4970000</v>
      </c>
      <c r="V204" s="16">
        <v>0</v>
      </c>
      <c r="W204" s="123">
        <v>840000</v>
      </c>
      <c r="X204" s="123">
        <v>0</v>
      </c>
      <c r="Y204" s="12">
        <v>5810000</v>
      </c>
      <c r="Z204" s="12">
        <v>4906100</v>
      </c>
      <c r="AA204" s="13">
        <v>0.32740685177967954</v>
      </c>
      <c r="AB204" s="13">
        <v>9.1155212132846997E-2</v>
      </c>
      <c r="AC204" s="16">
        <v>9084.8048833660341</v>
      </c>
      <c r="AD204" s="13">
        <v>1.1278556344787867E-2</v>
      </c>
      <c r="AF204" s="1">
        <f t="shared" si="64"/>
        <v>163.82142857142858</v>
      </c>
      <c r="AG204" s="231"/>
      <c r="BZ204" s="278" t="s">
        <v>201</v>
      </c>
      <c r="CC204">
        <v>0</v>
      </c>
      <c r="CD204">
        <v>0</v>
      </c>
      <c r="CE204">
        <v>0</v>
      </c>
      <c r="CF204">
        <v>0</v>
      </c>
      <c r="CL204" s="26" t="s">
        <v>178</v>
      </c>
      <c r="EM204">
        <v>0</v>
      </c>
      <c r="EN204">
        <v>0</v>
      </c>
      <c r="EO204">
        <v>0</v>
      </c>
      <c r="EP204">
        <v>0</v>
      </c>
      <c r="GS204" s="26">
        <v>40</v>
      </c>
      <c r="GT204" s="16">
        <v>7913</v>
      </c>
      <c r="GU204">
        <v>44</v>
      </c>
      <c r="GV204" s="16">
        <v>6125000</v>
      </c>
      <c r="GW204" s="16">
        <v>0</v>
      </c>
      <c r="GX204" s="35">
        <v>24973480</v>
      </c>
      <c r="GY204" s="313">
        <v>7840000</v>
      </c>
      <c r="GZ204" s="332">
        <v>13355350</v>
      </c>
      <c r="HA204" s="35">
        <v>8540000</v>
      </c>
      <c r="HB204" s="35">
        <v>3078130</v>
      </c>
      <c r="HC204" s="13">
        <v>0.1232559499116663</v>
      </c>
      <c r="HD204" s="13">
        <v>7.0172518577861262E-2</v>
      </c>
      <c r="HE204" s="16">
        <v>9149.2480727916081</v>
      </c>
      <c r="HF204" s="13">
        <v>0.11429873753418603</v>
      </c>
      <c r="JO204"/>
      <c r="JP204"/>
      <c r="JS204"/>
      <c r="JT204"/>
      <c r="JV204"/>
      <c r="JZ204"/>
      <c r="KA204"/>
      <c r="KN204" s="26" t="s">
        <v>203</v>
      </c>
      <c r="MI204">
        <v>0</v>
      </c>
      <c r="MJ204">
        <v>0</v>
      </c>
      <c r="MK204">
        <v>0</v>
      </c>
      <c r="ML204">
        <v>0</v>
      </c>
    </row>
    <row r="205" spans="1:350">
      <c r="B205" s="27">
        <f t="shared" si="81"/>
        <v>9.101443943713787E-2</v>
      </c>
      <c r="C205" s="27">
        <f t="shared" si="82"/>
        <v>0.11168720684263772</v>
      </c>
      <c r="D205" s="1">
        <f t="shared" si="83"/>
        <v>186826.92307692306</v>
      </c>
      <c r="E205" s="278">
        <v>26</v>
      </c>
      <c r="F205" s="16">
        <v>4774</v>
      </c>
      <c r="G205">
        <v>26</v>
      </c>
      <c r="H205" s="16">
        <v>43492000</v>
      </c>
      <c r="I205" s="16">
        <v>11307920</v>
      </c>
      <c r="J205" s="16">
        <v>385000</v>
      </c>
      <c r="K205" s="16">
        <v>0</v>
      </c>
      <c r="M205" s="16">
        <v>11717920</v>
      </c>
      <c r="N205" s="16">
        <v>3958400</v>
      </c>
      <c r="O205" s="16">
        <v>4857500</v>
      </c>
      <c r="P205" s="16">
        <v>0</v>
      </c>
      <c r="Q205" s="16"/>
      <c r="R205" s="16">
        <v>0</v>
      </c>
      <c r="S205"/>
      <c r="T205" s="12">
        <v>8815900</v>
      </c>
      <c r="U205" s="313">
        <v>4900000</v>
      </c>
      <c r="V205" s="16">
        <v>0</v>
      </c>
      <c r="W205" s="123">
        <v>840000</v>
      </c>
      <c r="X205" s="123">
        <v>0</v>
      </c>
      <c r="Y205" s="12">
        <v>5740000</v>
      </c>
      <c r="Z205" s="12">
        <v>-2837980</v>
      </c>
      <c r="AA205" s="13">
        <v>-0.24219144694621572</v>
      </c>
      <c r="AB205" s="13">
        <v>9.101443943713787E-2</v>
      </c>
      <c r="AC205" s="16">
        <v>9110.1801424382065</v>
      </c>
      <c r="AD205" s="13">
        <v>0.11168720684263772</v>
      </c>
      <c r="AF205" s="1">
        <f t="shared" si="64"/>
        <v>183.61538461538461</v>
      </c>
      <c r="AG205" s="231"/>
      <c r="BZ205" s="278" t="s">
        <v>178</v>
      </c>
      <c r="CC205">
        <v>0</v>
      </c>
      <c r="CD205">
        <v>0</v>
      </c>
      <c r="CE205">
        <v>0</v>
      </c>
      <c r="CF205">
        <v>0</v>
      </c>
      <c r="CL205" s="26" t="s">
        <v>177</v>
      </c>
      <c r="DQ205">
        <v>1</v>
      </c>
      <c r="DR205">
        <v>1</v>
      </c>
      <c r="DS205">
        <v>2</v>
      </c>
      <c r="DT205">
        <v>2</v>
      </c>
      <c r="DU205">
        <v>2</v>
      </c>
      <c r="EM205">
        <v>0</v>
      </c>
      <c r="EN205">
        <v>0</v>
      </c>
      <c r="EO205">
        <v>0</v>
      </c>
      <c r="EP205">
        <v>2</v>
      </c>
      <c r="GS205" s="26">
        <v>41</v>
      </c>
      <c r="GT205" s="16">
        <v>7162</v>
      </c>
      <c r="GU205">
        <v>37</v>
      </c>
      <c r="GV205" s="16">
        <v>5300000</v>
      </c>
      <c r="GW205" s="16">
        <v>0</v>
      </c>
      <c r="GX205" s="35">
        <v>22466360</v>
      </c>
      <c r="GY205" s="313">
        <v>6720000</v>
      </c>
      <c r="GZ205" s="332">
        <v>13559200</v>
      </c>
      <c r="HA205" s="35">
        <v>7420000</v>
      </c>
      <c r="HB205" s="35">
        <v>1487160</v>
      </c>
      <c r="HC205" s="13">
        <v>6.6194968833402479E-2</v>
      </c>
      <c r="HD205" s="13">
        <v>9.9020323719118897E-2</v>
      </c>
      <c r="HE205" s="16">
        <v>9178.4417760402121</v>
      </c>
      <c r="HF205" s="13">
        <v>0.10724717050018255</v>
      </c>
      <c r="JO205"/>
      <c r="JP205"/>
      <c r="JS205"/>
      <c r="JT205"/>
      <c r="JV205"/>
      <c r="JZ205"/>
      <c r="KA205"/>
      <c r="KN205" s="278" t="s">
        <v>21</v>
      </c>
      <c r="MI205">
        <v>0</v>
      </c>
      <c r="MJ205">
        <v>0</v>
      </c>
      <c r="MK205">
        <v>0</v>
      </c>
      <c r="ML205">
        <v>0</v>
      </c>
    </row>
    <row r="206" spans="1:350">
      <c r="B206" s="27">
        <f t="shared" si="81"/>
        <v>8.798316948890833E-2</v>
      </c>
      <c r="C206" s="27">
        <f t="shared" si="82"/>
        <v>0.10795717741520408</v>
      </c>
      <c r="D206" s="1">
        <f t="shared" si="83"/>
        <v>167800</v>
      </c>
      <c r="E206" s="278">
        <v>27</v>
      </c>
      <c r="F206" s="16">
        <v>4279</v>
      </c>
      <c r="G206">
        <v>25</v>
      </c>
      <c r="H206" s="16">
        <v>38858000</v>
      </c>
      <c r="I206" s="16">
        <v>10103080</v>
      </c>
      <c r="J206" s="16">
        <v>4225000</v>
      </c>
      <c r="K206" s="16">
        <v>0</v>
      </c>
      <c r="M206" s="16">
        <v>14403080</v>
      </c>
      <c r="N206" s="16">
        <v>3418850</v>
      </c>
      <c r="O206" s="16">
        <v>4195000</v>
      </c>
      <c r="P206" s="16">
        <v>0</v>
      </c>
      <c r="Q206" s="16"/>
      <c r="R206" s="16">
        <v>0</v>
      </c>
      <c r="S206"/>
      <c r="T206" s="12">
        <v>7613850</v>
      </c>
      <c r="U206" s="313">
        <v>4725000</v>
      </c>
      <c r="V206" s="16">
        <v>0</v>
      </c>
      <c r="W206" s="123">
        <v>840000</v>
      </c>
      <c r="X206" s="123">
        <v>0</v>
      </c>
      <c r="Y206" s="12">
        <v>5565000</v>
      </c>
      <c r="Z206" s="12">
        <v>1224230</v>
      </c>
      <c r="AA206" s="13">
        <v>8.4997792138903627E-2</v>
      </c>
      <c r="AB206" s="13">
        <v>8.798316948890833E-2</v>
      </c>
      <c r="AC206" s="16">
        <v>9081.0937134844589</v>
      </c>
      <c r="AD206" s="13">
        <v>0.10795717741520408</v>
      </c>
      <c r="AF206" s="1">
        <f t="shared" si="64"/>
        <v>171.16</v>
      </c>
      <c r="AG206" s="231"/>
      <c r="BZ206" s="278" t="s">
        <v>177</v>
      </c>
      <c r="CC206">
        <v>0</v>
      </c>
      <c r="CD206">
        <v>0</v>
      </c>
      <c r="CE206">
        <v>0</v>
      </c>
      <c r="CF206">
        <v>0</v>
      </c>
      <c r="CL206" s="26" t="s">
        <v>202</v>
      </c>
      <c r="EM206">
        <v>0</v>
      </c>
      <c r="EN206">
        <v>0</v>
      </c>
      <c r="EO206">
        <v>0</v>
      </c>
      <c r="EP206">
        <v>0</v>
      </c>
      <c r="GS206" s="26">
        <v>42</v>
      </c>
      <c r="GT206" s="16">
        <v>5935</v>
      </c>
      <c r="GU206">
        <v>31</v>
      </c>
      <c r="GV206" s="16">
        <v>4525000</v>
      </c>
      <c r="GW206" s="16">
        <v>0</v>
      </c>
      <c r="GX206" s="35">
        <v>18710080</v>
      </c>
      <c r="GY206" s="313">
        <v>5530000</v>
      </c>
      <c r="GZ206" s="332">
        <v>11004760</v>
      </c>
      <c r="HA206" s="35">
        <v>6355000</v>
      </c>
      <c r="HB206" s="35">
        <v>1350320</v>
      </c>
      <c r="HC206" s="13">
        <v>7.2170722947202795E-2</v>
      </c>
      <c r="HD206" s="13">
        <v>9.4940430367682099E-2</v>
      </c>
      <c r="HE206" s="16">
        <v>9192.5863521482734</v>
      </c>
      <c r="HF206" s="13">
        <v>0.10676711023131347</v>
      </c>
      <c r="JO206"/>
      <c r="JP206"/>
      <c r="JS206"/>
      <c r="JT206"/>
      <c r="JV206"/>
      <c r="JZ206"/>
      <c r="KA206"/>
      <c r="KN206" s="278" t="s">
        <v>158</v>
      </c>
      <c r="MI206">
        <v>0</v>
      </c>
      <c r="MJ206">
        <v>0</v>
      </c>
      <c r="MK206">
        <v>0</v>
      </c>
      <c r="ML206">
        <v>0</v>
      </c>
    </row>
    <row r="207" spans="1:350">
      <c r="B207" s="27">
        <f t="shared" si="81"/>
        <v>9.8027751112662542E-2</v>
      </c>
      <c r="C207" s="27">
        <f t="shared" si="82"/>
        <v>0.10684832882450476</v>
      </c>
      <c r="D207" s="1">
        <f t="shared" si="83"/>
        <v>212934.78260869565</v>
      </c>
      <c r="E207" s="278">
        <v>28</v>
      </c>
      <c r="F207" s="16">
        <v>5023</v>
      </c>
      <c r="G207">
        <v>23</v>
      </c>
      <c r="H207" s="16">
        <v>45836000</v>
      </c>
      <c r="I207" s="16">
        <v>11917360</v>
      </c>
      <c r="J207" s="16">
        <v>3675000</v>
      </c>
      <c r="K207" s="16">
        <v>0</v>
      </c>
      <c r="M207" s="16">
        <v>15642360</v>
      </c>
      <c r="N207" s="16">
        <v>4493200</v>
      </c>
      <c r="O207" s="16">
        <v>4897500</v>
      </c>
      <c r="P207" s="16">
        <v>0</v>
      </c>
      <c r="Q207" s="16"/>
      <c r="R207" s="16">
        <v>0</v>
      </c>
      <c r="S207"/>
      <c r="T207" s="12">
        <v>9390700</v>
      </c>
      <c r="U207" s="313">
        <v>5145000</v>
      </c>
      <c r="V207" s="16">
        <v>0</v>
      </c>
      <c r="W207" s="123">
        <v>840000</v>
      </c>
      <c r="X207" s="123">
        <v>0</v>
      </c>
      <c r="Y207" s="12">
        <v>5985000</v>
      </c>
      <c r="Z207" s="12">
        <v>266660</v>
      </c>
      <c r="AA207" s="13">
        <v>1.7047299768065689E-2</v>
      </c>
      <c r="AB207" s="13">
        <v>9.8027751112662542E-2</v>
      </c>
      <c r="AC207" s="16">
        <v>9125.2239697391997</v>
      </c>
      <c r="AD207" s="13">
        <v>0.10684832882450476</v>
      </c>
      <c r="AF207" s="1">
        <f t="shared" si="64"/>
        <v>218.39130434782609</v>
      </c>
      <c r="AG207" s="231"/>
      <c r="BZ207" s="278" t="s">
        <v>202</v>
      </c>
      <c r="CC207">
        <v>0</v>
      </c>
      <c r="CD207">
        <v>0</v>
      </c>
      <c r="CE207">
        <v>0</v>
      </c>
      <c r="CF207">
        <v>0</v>
      </c>
      <c r="CL207" s="26" t="s">
        <v>204</v>
      </c>
      <c r="EM207">
        <v>0</v>
      </c>
      <c r="EN207">
        <v>0</v>
      </c>
      <c r="EO207">
        <v>0</v>
      </c>
      <c r="EP207">
        <v>0</v>
      </c>
      <c r="GS207" s="26">
        <v>43</v>
      </c>
      <c r="GT207" s="16">
        <v>4904</v>
      </c>
      <c r="GU207">
        <v>32</v>
      </c>
      <c r="GV207" s="16">
        <v>4250000</v>
      </c>
      <c r="GW207" s="16">
        <v>0</v>
      </c>
      <c r="GX207" s="35">
        <v>15959360</v>
      </c>
      <c r="GY207" s="313">
        <v>5250000</v>
      </c>
      <c r="GZ207" s="332">
        <v>9611860</v>
      </c>
      <c r="HA207" s="35">
        <v>6125000</v>
      </c>
      <c r="HB207" s="35">
        <v>222500</v>
      </c>
      <c r="HC207" s="13">
        <v>1.3941661821025405E-2</v>
      </c>
      <c r="HD207" s="13">
        <v>9.5187405631050714E-2</v>
      </c>
      <c r="HE207" s="16">
        <v>9183.5236541598697</v>
      </c>
      <c r="HF207" s="13">
        <v>0.11823874233946176</v>
      </c>
      <c r="JO207"/>
      <c r="JP207"/>
      <c r="JS207"/>
      <c r="JT207"/>
      <c r="JV207"/>
      <c r="JZ207"/>
      <c r="KA207"/>
      <c r="KN207" s="278" t="s">
        <v>159</v>
      </c>
      <c r="MI207">
        <v>0</v>
      </c>
      <c r="MJ207">
        <v>0</v>
      </c>
      <c r="MK207">
        <v>0</v>
      </c>
      <c r="ML207">
        <v>0</v>
      </c>
    </row>
    <row r="208" spans="1:350">
      <c r="B208" s="27">
        <f t="shared" si="81"/>
        <v>9.6129505355317543E-2</v>
      </c>
      <c r="C208" s="27">
        <f t="shared" si="82"/>
        <v>0.10993955824185592</v>
      </c>
      <c r="D208" s="1">
        <f t="shared" si="83"/>
        <v>190288.46153846153</v>
      </c>
      <c r="E208" s="278">
        <v>29</v>
      </c>
      <c r="F208" s="16">
        <v>4918</v>
      </c>
      <c r="G208">
        <v>26</v>
      </c>
      <c r="H208" s="16">
        <v>45002000</v>
      </c>
      <c r="I208" s="16">
        <v>11700520</v>
      </c>
      <c r="J208" s="16">
        <v>3975000</v>
      </c>
      <c r="K208" s="16">
        <v>0</v>
      </c>
      <c r="M208" s="16">
        <v>15850520</v>
      </c>
      <c r="N208" s="16">
        <v>4326020</v>
      </c>
      <c r="O208" s="16">
        <v>4947500</v>
      </c>
      <c r="P208" s="16">
        <v>0</v>
      </c>
      <c r="Q208" s="16"/>
      <c r="R208" s="16">
        <v>0</v>
      </c>
      <c r="S208"/>
      <c r="T208" s="12">
        <v>9273520</v>
      </c>
      <c r="U208" s="313">
        <v>4865000</v>
      </c>
      <c r="V208" s="16">
        <v>0</v>
      </c>
      <c r="W208" s="123">
        <v>720000</v>
      </c>
      <c r="X208" s="123">
        <v>0</v>
      </c>
      <c r="Y208" s="12">
        <v>5585000</v>
      </c>
      <c r="Z208" s="12">
        <v>992000</v>
      </c>
      <c r="AA208" s="13">
        <v>6.2584697536736969E-2</v>
      </c>
      <c r="AB208" s="13">
        <v>9.6129505355317543E-2</v>
      </c>
      <c r="AC208" s="16">
        <v>9150.4676697844661</v>
      </c>
      <c r="AD208" s="13">
        <v>0.10993955824185592</v>
      </c>
      <c r="AF208" s="85"/>
      <c r="AG208" s="231"/>
      <c r="BZ208" s="278" t="s">
        <v>204</v>
      </c>
      <c r="CC208">
        <v>0</v>
      </c>
      <c r="CD208">
        <v>0</v>
      </c>
      <c r="CE208">
        <v>0</v>
      </c>
      <c r="CF208">
        <v>0</v>
      </c>
      <c r="CL208" s="11" t="s">
        <v>164</v>
      </c>
      <c r="DV208">
        <v>244</v>
      </c>
      <c r="DW208">
        <v>247</v>
      </c>
      <c r="DX208">
        <v>239</v>
      </c>
      <c r="DY208">
        <v>251</v>
      </c>
      <c r="DZ208">
        <v>224</v>
      </c>
      <c r="EM208">
        <v>0</v>
      </c>
      <c r="EN208">
        <v>0</v>
      </c>
      <c r="EO208">
        <v>0</v>
      </c>
      <c r="EP208">
        <v>251</v>
      </c>
      <c r="GS208" s="82">
        <v>44</v>
      </c>
      <c r="GT208" s="81">
        <v>4603</v>
      </c>
      <c r="GU208" s="91">
        <v>28</v>
      </c>
      <c r="GV208" s="81">
        <v>3675000</v>
      </c>
      <c r="GW208" s="81">
        <v>0</v>
      </c>
      <c r="GX208" s="37">
        <v>14598120</v>
      </c>
      <c r="GY208" s="322">
        <v>5145000</v>
      </c>
      <c r="GZ208" s="333">
        <v>9207220</v>
      </c>
      <c r="HA208" s="37">
        <v>6020000</v>
      </c>
      <c r="HB208" s="37">
        <v>-629100</v>
      </c>
      <c r="HC208" s="244">
        <v>-4.3094590262307747E-2</v>
      </c>
      <c r="HD208" s="244">
        <v>9.1217271255831664E-2</v>
      </c>
      <c r="HE208" s="81">
        <v>9127.0910275907008</v>
      </c>
      <c r="HF208" s="244">
        <v>0.12793963629439209</v>
      </c>
      <c r="JO208"/>
      <c r="JP208"/>
      <c r="JS208"/>
      <c r="JT208"/>
      <c r="JV208"/>
      <c r="JZ208"/>
      <c r="KA208"/>
      <c r="KN208" s="278" t="s">
        <v>160</v>
      </c>
      <c r="MI208">
        <v>0</v>
      </c>
      <c r="MJ208">
        <v>0</v>
      </c>
      <c r="MK208">
        <v>0</v>
      </c>
      <c r="ML208">
        <v>0</v>
      </c>
    </row>
    <row r="209" spans="2:350">
      <c r="B209" s="27">
        <f t="shared" si="81"/>
        <v>8.8099962207105059E-2</v>
      </c>
      <c r="C209" s="27">
        <f t="shared" si="82"/>
        <v>0.11987433862433862</v>
      </c>
      <c r="D209" s="1">
        <f t="shared" si="83"/>
        <v>163709.67741935485</v>
      </c>
      <c r="E209" s="278">
        <v>30</v>
      </c>
      <c r="F209" s="16">
        <v>4646</v>
      </c>
      <c r="G209">
        <v>31</v>
      </c>
      <c r="H209" s="16">
        <v>42336000</v>
      </c>
      <c r="I209" s="16">
        <v>11007360</v>
      </c>
      <c r="J209" s="16">
        <v>4550000</v>
      </c>
      <c r="K209" s="16">
        <v>0</v>
      </c>
      <c r="M209" s="16">
        <v>15782360</v>
      </c>
      <c r="N209" s="16">
        <v>3729800</v>
      </c>
      <c r="O209" s="16">
        <v>5075000</v>
      </c>
      <c r="P209" s="16">
        <v>0</v>
      </c>
      <c r="Q209" s="16"/>
      <c r="R209" s="16">
        <v>0</v>
      </c>
      <c r="S209"/>
      <c r="T209" s="12">
        <v>8804800</v>
      </c>
      <c r="U209" s="313">
        <v>5530000</v>
      </c>
      <c r="V209" s="16">
        <v>0</v>
      </c>
      <c r="W209" s="123">
        <v>840000</v>
      </c>
      <c r="X209" s="123">
        <v>0</v>
      </c>
      <c r="Y209" s="12">
        <v>6370000</v>
      </c>
      <c r="Z209" s="12">
        <v>607560</v>
      </c>
      <c r="AA209" s="13">
        <v>3.8496143795984886E-2</v>
      </c>
      <c r="AB209" s="13">
        <v>8.8099962207105059E-2</v>
      </c>
      <c r="AC209" s="16">
        <v>9112.3547137322421</v>
      </c>
      <c r="AD209" s="13">
        <v>0.11987433862433862</v>
      </c>
      <c r="AF209" s="13"/>
      <c r="AG209" s="231"/>
      <c r="BZ209" s="26" t="s">
        <v>201</v>
      </c>
      <c r="CC209">
        <v>0</v>
      </c>
      <c r="CD209">
        <v>0</v>
      </c>
      <c r="CE209">
        <v>0</v>
      </c>
      <c r="CF209">
        <v>0</v>
      </c>
      <c r="CL209" s="26" t="s">
        <v>34</v>
      </c>
      <c r="EM209">
        <v>0</v>
      </c>
      <c r="EN209">
        <v>0</v>
      </c>
      <c r="EO209">
        <v>0</v>
      </c>
      <c r="EP209">
        <v>0</v>
      </c>
      <c r="GS209" s="82">
        <v>45</v>
      </c>
      <c r="GT209" s="81">
        <v>4067</v>
      </c>
      <c r="GU209" s="91">
        <v>26</v>
      </c>
      <c r="GV209" s="81">
        <v>3650000</v>
      </c>
      <c r="GW209" s="81">
        <v>0</v>
      </c>
      <c r="GX209" s="37">
        <v>13289760</v>
      </c>
      <c r="GY209" s="322">
        <v>4480000</v>
      </c>
      <c r="GZ209" s="333">
        <v>7689940</v>
      </c>
      <c r="HA209" s="37">
        <v>5355000</v>
      </c>
      <c r="HB209" s="37">
        <v>244820</v>
      </c>
      <c r="HC209" s="244">
        <v>1.8421702122536448E-2</v>
      </c>
      <c r="HD209" s="244">
        <v>8.6037868162692849E-2</v>
      </c>
      <c r="HE209" s="81">
        <v>9116.3019424637332</v>
      </c>
      <c r="HF209" s="244">
        <v>0.12137231632322797</v>
      </c>
      <c r="JO209"/>
      <c r="JP209"/>
      <c r="JS209"/>
      <c r="JT209"/>
      <c r="JV209"/>
      <c r="JZ209"/>
      <c r="KA209"/>
      <c r="KN209" s="278" t="s">
        <v>161</v>
      </c>
      <c r="MI209">
        <v>0</v>
      </c>
      <c r="MJ209">
        <v>0</v>
      </c>
      <c r="MK209">
        <v>0</v>
      </c>
      <c r="ML209">
        <v>0</v>
      </c>
    </row>
    <row r="210" spans="2:350">
      <c r="B210" s="27">
        <f t="shared" si="81"/>
        <v>6.3606230370936254E-2</v>
      </c>
      <c r="C210" s="27">
        <f t="shared" si="82"/>
        <v>8.7322807911043202E-2</v>
      </c>
      <c r="D210" s="1">
        <f t="shared" si="83"/>
        <v>141896.55172413794</v>
      </c>
      <c r="E210" s="278">
        <v>31</v>
      </c>
      <c r="F210" s="16">
        <v>5172</v>
      </c>
      <c r="G210">
        <v>29</v>
      </c>
      <c r="H210" s="16">
        <v>47124000</v>
      </c>
      <c r="I210" s="16">
        <v>12252240</v>
      </c>
      <c r="J210" s="16">
        <v>4375000</v>
      </c>
      <c r="K210" s="16">
        <v>0</v>
      </c>
      <c r="M210" s="16">
        <v>16702240</v>
      </c>
      <c r="N210" s="16">
        <v>2997380</v>
      </c>
      <c r="O210" s="16">
        <v>4115000</v>
      </c>
      <c r="P210" s="16">
        <v>0</v>
      </c>
      <c r="Q210" s="16"/>
      <c r="R210" s="16">
        <v>0</v>
      </c>
      <c r="S210"/>
      <c r="T210" s="12">
        <v>7112380</v>
      </c>
      <c r="U210" s="313">
        <v>5285000</v>
      </c>
      <c r="V210" s="16">
        <v>0</v>
      </c>
      <c r="W210" s="123">
        <v>840000</v>
      </c>
      <c r="X210" s="123">
        <v>0</v>
      </c>
      <c r="Y210" s="12">
        <v>6125000</v>
      </c>
      <c r="Z210" s="12">
        <v>3464860</v>
      </c>
      <c r="AA210" s="13">
        <v>0.20744882123595398</v>
      </c>
      <c r="AB210" s="13">
        <v>6.3606230370936254E-2</v>
      </c>
      <c r="AC210" s="16">
        <v>9111.3689095127611</v>
      </c>
      <c r="AD210" s="13">
        <v>8.7322807911043202E-2</v>
      </c>
      <c r="AF210" s="1">
        <f t="shared" ref="AF210:AF266" si="84">F210/G210</f>
        <v>178.34482758620689</v>
      </c>
      <c r="AG210" s="231"/>
      <c r="BZ210" s="278" t="s">
        <v>34</v>
      </c>
      <c r="CC210">
        <v>0</v>
      </c>
      <c r="CD210">
        <v>0</v>
      </c>
      <c r="CE210">
        <v>0</v>
      </c>
      <c r="CF210">
        <v>0</v>
      </c>
      <c r="CL210" s="26" t="s">
        <v>170</v>
      </c>
      <c r="EM210">
        <v>0</v>
      </c>
      <c r="EN210">
        <v>0</v>
      </c>
      <c r="EO210">
        <v>0</v>
      </c>
      <c r="EP210">
        <v>0</v>
      </c>
      <c r="GS210" s="26" t="s">
        <v>180</v>
      </c>
      <c r="GT210" s="16">
        <v>0</v>
      </c>
      <c r="GU210">
        <v>0</v>
      </c>
      <c r="GV210" s="16">
        <v>0</v>
      </c>
      <c r="GW210" s="16">
        <v>0</v>
      </c>
      <c r="GX210" s="35">
        <v>0</v>
      </c>
      <c r="GY210" s="313">
        <v>0</v>
      </c>
      <c r="GZ210" s="332">
        <v>0</v>
      </c>
      <c r="HA210" s="35">
        <v>0</v>
      </c>
      <c r="HB210" s="35">
        <v>0</v>
      </c>
      <c r="HC210" s="13">
        <v>0</v>
      </c>
      <c r="HD210" s="13">
        <v>0</v>
      </c>
      <c r="HE210" s="16">
        <v>0</v>
      </c>
      <c r="HF210" s="13">
        <v>0</v>
      </c>
      <c r="JO210"/>
      <c r="JP210"/>
      <c r="JS210"/>
      <c r="JT210"/>
      <c r="JV210"/>
      <c r="JZ210"/>
      <c r="KA210"/>
      <c r="KN210" s="278" t="s">
        <v>156</v>
      </c>
      <c r="MI210">
        <v>0</v>
      </c>
      <c r="MJ210">
        <v>0</v>
      </c>
      <c r="MK210">
        <v>0</v>
      </c>
      <c r="ML210">
        <v>0</v>
      </c>
    </row>
    <row r="211" spans="2:350">
      <c r="B211" s="27">
        <f t="shared" ref="B211:B220" si="85">N211/H211</f>
        <v>0.10176499804874588</v>
      </c>
      <c r="C211" s="27">
        <f t="shared" ref="C211:C220" si="86">O211/H211</f>
        <v>9.9292226913115969E-2</v>
      </c>
      <c r="D211" s="1">
        <f t="shared" ref="D211:D220" si="87">O211/G211</f>
        <v>186583.33333333334</v>
      </c>
      <c r="E211" s="278">
        <v>32</v>
      </c>
      <c r="F211" s="16">
        <v>6145</v>
      </c>
      <c r="G211">
        <v>30</v>
      </c>
      <c r="H211" s="16">
        <v>56374000</v>
      </c>
      <c r="I211" s="16">
        <v>14657240</v>
      </c>
      <c r="J211" s="16">
        <v>4250000</v>
      </c>
      <c r="K211" s="16">
        <v>0</v>
      </c>
      <c r="M211" s="16">
        <v>18907240</v>
      </c>
      <c r="N211" s="16">
        <v>5736900</v>
      </c>
      <c r="O211" s="16">
        <v>5597500</v>
      </c>
      <c r="P211" s="16">
        <v>0</v>
      </c>
      <c r="Q211" s="16"/>
      <c r="R211" s="16">
        <v>0</v>
      </c>
      <c r="S211"/>
      <c r="T211" s="12">
        <v>11334400</v>
      </c>
      <c r="U211" s="313">
        <v>5355000</v>
      </c>
      <c r="V211" s="16">
        <v>0</v>
      </c>
      <c r="W211" s="123">
        <v>500000</v>
      </c>
      <c r="X211" s="123">
        <v>0</v>
      </c>
      <c r="Y211" s="12">
        <v>5855000</v>
      </c>
      <c r="Z211" s="12">
        <v>1717840</v>
      </c>
      <c r="AA211" s="13">
        <v>9.0856201116609303E-2</v>
      </c>
      <c r="AB211" s="13">
        <v>0.10176499804874588</v>
      </c>
      <c r="AC211" s="16">
        <v>9173.9625711960944</v>
      </c>
      <c r="AD211" s="13">
        <v>9.9292226913115969E-2</v>
      </c>
      <c r="AF211" s="1">
        <f t="shared" si="84"/>
        <v>204.83333333333334</v>
      </c>
      <c r="AG211" s="231"/>
      <c r="BZ211" s="278" t="s">
        <v>170</v>
      </c>
      <c r="CC211">
        <v>0</v>
      </c>
      <c r="CD211">
        <v>0</v>
      </c>
      <c r="CE211">
        <v>0</v>
      </c>
      <c r="CF211">
        <v>0</v>
      </c>
      <c r="CL211" s="26" t="s">
        <v>27</v>
      </c>
      <c r="EM211">
        <v>0</v>
      </c>
      <c r="EN211">
        <v>0</v>
      </c>
      <c r="EO211">
        <v>0</v>
      </c>
      <c r="EP211">
        <v>0</v>
      </c>
      <c r="GS211" s="26" t="s">
        <v>181</v>
      </c>
      <c r="GT211" s="16">
        <v>0</v>
      </c>
      <c r="GU211">
        <v>0</v>
      </c>
      <c r="GV211" s="16">
        <v>0</v>
      </c>
      <c r="GW211" s="16">
        <v>0</v>
      </c>
      <c r="GX211" s="35">
        <v>0</v>
      </c>
      <c r="GY211" s="313">
        <v>0</v>
      </c>
      <c r="GZ211" s="332">
        <v>0</v>
      </c>
      <c r="HA211" s="35">
        <v>0</v>
      </c>
      <c r="HB211" s="35">
        <v>0</v>
      </c>
      <c r="HC211" s="13">
        <v>0</v>
      </c>
      <c r="HD211" s="13">
        <v>0</v>
      </c>
      <c r="HE211" s="16">
        <v>0</v>
      </c>
      <c r="HF211" s="13">
        <v>0</v>
      </c>
      <c r="JO211"/>
      <c r="JP211"/>
      <c r="JS211"/>
      <c r="JT211"/>
      <c r="JV211"/>
      <c r="JZ211"/>
      <c r="KA211"/>
      <c r="KN211" s="278" t="s">
        <v>162</v>
      </c>
      <c r="MI211">
        <v>0</v>
      </c>
      <c r="MJ211">
        <v>0</v>
      </c>
      <c r="MK211">
        <v>0</v>
      </c>
      <c r="ML211">
        <v>0</v>
      </c>
    </row>
    <row r="212" spans="2:350">
      <c r="B212" s="27">
        <f t="shared" si="85"/>
        <v>0.10326174496644296</v>
      </c>
      <c r="C212" s="27">
        <f t="shared" si="86"/>
        <v>0.1035692495424039</v>
      </c>
      <c r="D212" s="1">
        <f t="shared" si="87"/>
        <v>203700</v>
      </c>
      <c r="E212" s="278">
        <v>33</v>
      </c>
      <c r="F212" s="16">
        <v>5374</v>
      </c>
      <c r="G212">
        <v>25</v>
      </c>
      <c r="H212" s="16">
        <v>49170000</v>
      </c>
      <c r="I212" s="16">
        <v>12784200</v>
      </c>
      <c r="J212" s="16">
        <v>3975000</v>
      </c>
      <c r="K212" s="16">
        <v>0</v>
      </c>
      <c r="M212" s="16">
        <v>16834200</v>
      </c>
      <c r="N212" s="16">
        <v>5077380</v>
      </c>
      <c r="O212" s="16">
        <v>5092500</v>
      </c>
      <c r="P212" s="16">
        <v>0</v>
      </c>
      <c r="Q212" s="16"/>
      <c r="R212" s="16">
        <v>0</v>
      </c>
      <c r="S212"/>
      <c r="T212" s="12">
        <v>10169880</v>
      </c>
      <c r="U212" s="313">
        <v>4795000</v>
      </c>
      <c r="V212" s="16">
        <v>0</v>
      </c>
      <c r="W212" s="123">
        <v>0</v>
      </c>
      <c r="X212" s="123">
        <v>0</v>
      </c>
      <c r="Y212" s="12">
        <v>4795000</v>
      </c>
      <c r="Z212" s="12">
        <v>1869320</v>
      </c>
      <c r="AA212" s="13">
        <v>0.11104299580615651</v>
      </c>
      <c r="AB212" s="13">
        <v>0.10326174496644296</v>
      </c>
      <c r="AC212" s="16">
        <v>9149.6092296241168</v>
      </c>
      <c r="AD212" s="13">
        <v>0.1035692495424039</v>
      </c>
      <c r="AF212" s="1">
        <f t="shared" si="84"/>
        <v>214.96</v>
      </c>
      <c r="AG212" s="231"/>
      <c r="BZ212" s="278" t="s">
        <v>27</v>
      </c>
      <c r="CC212">
        <v>0</v>
      </c>
      <c r="CD212">
        <v>0</v>
      </c>
      <c r="CE212">
        <v>0</v>
      </c>
      <c r="CF212">
        <v>0</v>
      </c>
      <c r="CL212" s="26" t="s">
        <v>33</v>
      </c>
      <c r="EM212">
        <v>0</v>
      </c>
      <c r="EN212">
        <v>0</v>
      </c>
      <c r="EO212">
        <v>0</v>
      </c>
      <c r="EP212">
        <v>0</v>
      </c>
      <c r="GS212" s="26" t="s">
        <v>182</v>
      </c>
      <c r="GT212" s="16">
        <v>0</v>
      </c>
      <c r="GU212">
        <v>0</v>
      </c>
      <c r="GV212" s="16">
        <v>0</v>
      </c>
      <c r="GW212" s="16">
        <v>0</v>
      </c>
      <c r="GX212" s="35">
        <v>0</v>
      </c>
      <c r="GY212" s="313">
        <v>0</v>
      </c>
      <c r="GZ212" s="332">
        <v>0</v>
      </c>
      <c r="HA212" s="35">
        <v>0</v>
      </c>
      <c r="HB212" s="35">
        <v>0</v>
      </c>
      <c r="HC212" s="13">
        <v>0</v>
      </c>
      <c r="HD212" s="13">
        <v>0</v>
      </c>
      <c r="HE212" s="16">
        <v>0</v>
      </c>
      <c r="HF212" s="13">
        <v>0</v>
      </c>
      <c r="JO212"/>
      <c r="JP212"/>
      <c r="JS212"/>
      <c r="JT212"/>
      <c r="JV212"/>
      <c r="JZ212"/>
      <c r="KA212"/>
      <c r="KN212" s="278" t="s">
        <v>163</v>
      </c>
      <c r="LV212" s="379"/>
      <c r="MI212">
        <v>0</v>
      </c>
      <c r="MJ212">
        <v>0</v>
      </c>
      <c r="MK212">
        <v>0</v>
      </c>
      <c r="ML212">
        <v>0</v>
      </c>
    </row>
    <row r="213" spans="2:350">
      <c r="B213" s="27">
        <f t="shared" si="85"/>
        <v>9.0582058701942955E-2</v>
      </c>
      <c r="C213" s="27">
        <f t="shared" si="86"/>
        <v>0.12706696982224058</v>
      </c>
      <c r="D213" s="1">
        <f t="shared" si="87"/>
        <v>192109.375</v>
      </c>
      <c r="E213" s="278">
        <v>34</v>
      </c>
      <c r="F213" s="16">
        <v>5286</v>
      </c>
      <c r="G213">
        <v>32</v>
      </c>
      <c r="H213" s="16">
        <v>48380000</v>
      </c>
      <c r="I213" s="16">
        <v>12578800</v>
      </c>
      <c r="J213" s="16">
        <v>4500000</v>
      </c>
      <c r="K213" s="16">
        <v>0</v>
      </c>
      <c r="M213" s="16">
        <v>17153800</v>
      </c>
      <c r="N213" s="16">
        <v>4382360</v>
      </c>
      <c r="O213" s="16">
        <v>6147500</v>
      </c>
      <c r="P213" s="16">
        <v>0</v>
      </c>
      <c r="Q213" s="16"/>
      <c r="R213" s="16">
        <v>0</v>
      </c>
      <c r="S213"/>
      <c r="T213" s="12">
        <v>10529860</v>
      </c>
      <c r="U213" s="313">
        <v>5670000</v>
      </c>
      <c r="V213" s="16">
        <v>0</v>
      </c>
      <c r="W213" s="123">
        <v>400000</v>
      </c>
      <c r="X213" s="123">
        <v>0</v>
      </c>
      <c r="Y213" s="12">
        <v>6070000</v>
      </c>
      <c r="Z213" s="12">
        <v>553940</v>
      </c>
      <c r="AA213" s="13">
        <v>3.2292553253506509E-2</v>
      </c>
      <c r="AB213" s="13">
        <v>9.0582058701942955E-2</v>
      </c>
      <c r="AC213" s="16">
        <v>9152.4782444192206</v>
      </c>
      <c r="AD213" s="13">
        <v>0.12706696982224058</v>
      </c>
      <c r="AF213" s="1">
        <f t="shared" si="84"/>
        <v>165.1875</v>
      </c>
      <c r="AG213" s="231"/>
      <c r="BZ213" s="278" t="s">
        <v>33</v>
      </c>
      <c r="CC213">
        <v>0</v>
      </c>
      <c r="CD213">
        <v>0</v>
      </c>
      <c r="CE213">
        <v>0</v>
      </c>
      <c r="CF213">
        <v>0</v>
      </c>
      <c r="CL213" s="26" t="s">
        <v>171</v>
      </c>
      <c r="EM213">
        <v>0</v>
      </c>
      <c r="EN213">
        <v>0</v>
      </c>
      <c r="EO213">
        <v>0</v>
      </c>
      <c r="EP213">
        <v>0</v>
      </c>
      <c r="GS213" s="11" t="s">
        <v>167</v>
      </c>
      <c r="GT213" s="16">
        <v>4150119</v>
      </c>
      <c r="GU213">
        <v>293</v>
      </c>
      <c r="GV213" s="16">
        <v>2074147539.8311687</v>
      </c>
      <c r="GW213" s="16">
        <v>931152463.99999917</v>
      </c>
      <c r="GX213" s="35">
        <v>11938858103.831171</v>
      </c>
      <c r="GY213" s="313">
        <v>3501568171.4285717</v>
      </c>
      <c r="GZ213" s="332">
        <v>7938217414.5714283</v>
      </c>
      <c r="HA213" s="35">
        <v>3688384086.5259037</v>
      </c>
      <c r="HB213" s="35">
        <v>312256602.73383683</v>
      </c>
      <c r="HC213" s="13">
        <v>2.6154645613355093E-2</v>
      </c>
      <c r="HD213" s="13">
        <v>0.11103132469565181</v>
      </c>
      <c r="HE213" s="16">
        <v>8827.3504928412895</v>
      </c>
      <c r="HF213" s="13">
        <v>9.5447445022485297E-2</v>
      </c>
      <c r="JO213"/>
      <c r="JP213"/>
      <c r="JS213"/>
      <c r="JT213"/>
      <c r="JV213"/>
      <c r="JZ213"/>
      <c r="KA213"/>
      <c r="KN213" s="278" t="s">
        <v>164</v>
      </c>
      <c r="MI213">
        <v>0</v>
      </c>
      <c r="MJ213">
        <v>0</v>
      </c>
      <c r="MK213">
        <v>0</v>
      </c>
      <c r="ML213">
        <v>0</v>
      </c>
    </row>
    <row r="214" spans="2:350">
      <c r="B214" s="27">
        <f t="shared" si="85"/>
        <v>0.10508568534203788</v>
      </c>
      <c r="C214" s="27">
        <f t="shared" si="86"/>
        <v>0.15054731688099726</v>
      </c>
      <c r="D214" s="1">
        <f t="shared" si="87"/>
        <v>267500</v>
      </c>
      <c r="E214" s="278">
        <v>35</v>
      </c>
      <c r="F214" s="16">
        <v>7752</v>
      </c>
      <c r="G214">
        <v>40</v>
      </c>
      <c r="H214" s="16">
        <v>71074000</v>
      </c>
      <c r="I214" s="16">
        <v>18479240</v>
      </c>
      <c r="J214" s="16">
        <v>6250000</v>
      </c>
      <c r="K214" s="16">
        <v>0</v>
      </c>
      <c r="M214" s="16">
        <v>24729240</v>
      </c>
      <c r="N214" s="16">
        <v>7468860</v>
      </c>
      <c r="O214" s="16">
        <v>10700000</v>
      </c>
      <c r="P214" s="16">
        <v>0</v>
      </c>
      <c r="Q214" s="16"/>
      <c r="R214" s="16">
        <v>200000</v>
      </c>
      <c r="S214"/>
      <c r="T214" s="12">
        <v>18368860</v>
      </c>
      <c r="U214" s="313">
        <v>7490000</v>
      </c>
      <c r="V214" s="16">
        <v>0</v>
      </c>
      <c r="W214" s="123">
        <v>700000</v>
      </c>
      <c r="X214" s="123">
        <v>0</v>
      </c>
      <c r="Y214" s="12">
        <v>8190000</v>
      </c>
      <c r="Z214" s="12">
        <v>-1829620</v>
      </c>
      <c r="AA214" s="13">
        <v>-7.3986099047119933E-2</v>
      </c>
      <c r="AB214" s="13">
        <v>0.10508568534203788</v>
      </c>
      <c r="AC214" s="16">
        <v>9168.472652218783</v>
      </c>
      <c r="AD214" s="13">
        <v>0.15054731688099726</v>
      </c>
      <c r="AF214" s="1">
        <f t="shared" si="84"/>
        <v>193.8</v>
      </c>
      <c r="AG214" s="231"/>
      <c r="BZ214" s="278" t="s">
        <v>171</v>
      </c>
      <c r="CC214">
        <v>0</v>
      </c>
      <c r="CD214">
        <v>0</v>
      </c>
      <c r="CE214">
        <v>0</v>
      </c>
      <c r="CF214">
        <v>0</v>
      </c>
      <c r="CL214" s="26" t="s">
        <v>276</v>
      </c>
      <c r="DV214">
        <v>3</v>
      </c>
      <c r="DW214">
        <v>4</v>
      </c>
      <c r="DX214">
        <v>4</v>
      </c>
      <c r="DY214">
        <v>5</v>
      </c>
      <c r="DZ214">
        <v>3</v>
      </c>
      <c r="EM214">
        <v>0</v>
      </c>
      <c r="EN214">
        <v>0</v>
      </c>
      <c r="EO214">
        <v>0</v>
      </c>
      <c r="EP214">
        <v>5</v>
      </c>
      <c r="JO214"/>
      <c r="JP214"/>
      <c r="JS214"/>
      <c r="JT214"/>
      <c r="JV214"/>
      <c r="JZ214"/>
      <c r="KA214"/>
      <c r="KN214" s="278" t="s">
        <v>165</v>
      </c>
      <c r="MI214">
        <v>0</v>
      </c>
      <c r="MJ214">
        <v>0</v>
      </c>
      <c r="MK214">
        <v>0</v>
      </c>
      <c r="ML214">
        <v>0</v>
      </c>
    </row>
    <row r="215" spans="2:350">
      <c r="B215" s="27">
        <f t="shared" si="85"/>
        <v>9.639610484270679E-2</v>
      </c>
      <c r="C215" s="27">
        <f t="shared" si="86"/>
        <v>0.1705589084229861</v>
      </c>
      <c r="D215" s="1">
        <f t="shared" si="87"/>
        <v>272093.02325581393</v>
      </c>
      <c r="E215" s="278">
        <v>36</v>
      </c>
      <c r="F215" s="16">
        <v>7511</v>
      </c>
      <c r="G215">
        <v>43</v>
      </c>
      <c r="H215" s="16">
        <v>68598000</v>
      </c>
      <c r="I215" s="16">
        <v>17835480</v>
      </c>
      <c r="J215" s="16">
        <v>6625000</v>
      </c>
      <c r="K215" s="16">
        <v>0</v>
      </c>
      <c r="M215" s="16">
        <v>24460480</v>
      </c>
      <c r="N215" s="16">
        <v>6612580</v>
      </c>
      <c r="O215" s="16">
        <v>11700000</v>
      </c>
      <c r="P215" s="16">
        <v>0</v>
      </c>
      <c r="Q215" s="16"/>
      <c r="R215" s="16">
        <v>0</v>
      </c>
      <c r="S215"/>
      <c r="T215" s="12">
        <v>18312580</v>
      </c>
      <c r="U215" s="313">
        <v>8190000</v>
      </c>
      <c r="V215" s="16">
        <v>0</v>
      </c>
      <c r="W215" s="123">
        <v>700000</v>
      </c>
      <c r="X215" s="123">
        <v>0</v>
      </c>
      <c r="Y215" s="12">
        <v>8890000</v>
      </c>
      <c r="Z215" s="12">
        <v>-2742100</v>
      </c>
      <c r="AA215" s="13">
        <v>-0.11210327843116734</v>
      </c>
      <c r="AB215" s="13">
        <v>9.639610484270679E-2</v>
      </c>
      <c r="AC215" s="16">
        <v>9133.004926108375</v>
      </c>
      <c r="AD215" s="13">
        <v>0.1705589084229861</v>
      </c>
      <c r="AF215" s="1">
        <f t="shared" si="84"/>
        <v>174.67441860465115</v>
      </c>
      <c r="AG215" s="231"/>
      <c r="BZ215" s="278" t="s">
        <v>276</v>
      </c>
      <c r="CC215">
        <v>0</v>
      </c>
      <c r="CD215">
        <v>0</v>
      </c>
      <c r="CE215">
        <v>0</v>
      </c>
      <c r="CF215">
        <v>0</v>
      </c>
      <c r="CL215" s="26" t="s">
        <v>277</v>
      </c>
      <c r="EM215">
        <v>0</v>
      </c>
      <c r="EN215">
        <v>0</v>
      </c>
      <c r="EO215">
        <v>0</v>
      </c>
      <c r="EP215">
        <v>0</v>
      </c>
      <c r="JO215"/>
      <c r="JP215"/>
      <c r="JS215"/>
      <c r="JT215"/>
      <c r="JV215"/>
      <c r="JZ215"/>
      <c r="KA215"/>
      <c r="KN215" s="278" t="s">
        <v>36</v>
      </c>
      <c r="MI215">
        <v>0</v>
      </c>
      <c r="MJ215">
        <v>0</v>
      </c>
      <c r="MK215">
        <v>0</v>
      </c>
      <c r="ML215">
        <v>0</v>
      </c>
    </row>
    <row r="216" spans="2:350">
      <c r="B216" s="27">
        <f t="shared" si="85"/>
        <v>0.10093803327645051</v>
      </c>
      <c r="C216" s="27">
        <f t="shared" si="86"/>
        <v>0.15998293515358361</v>
      </c>
      <c r="D216" s="1">
        <f t="shared" si="87"/>
        <v>285714.28571428574</v>
      </c>
      <c r="E216" s="278">
        <v>37</v>
      </c>
      <c r="F216" s="16">
        <v>7131</v>
      </c>
      <c r="G216">
        <v>42</v>
      </c>
      <c r="H216" s="16">
        <v>75008000</v>
      </c>
      <c r="I216" s="16">
        <v>19502080</v>
      </c>
      <c r="J216" s="16">
        <v>6700000</v>
      </c>
      <c r="K216" s="16">
        <v>0</v>
      </c>
      <c r="L216" s="123">
        <v>0</v>
      </c>
      <c r="M216" s="16">
        <v>26302080</v>
      </c>
      <c r="N216" s="16">
        <v>7571160</v>
      </c>
      <c r="O216" s="16">
        <v>12000000</v>
      </c>
      <c r="P216" s="16">
        <v>0</v>
      </c>
      <c r="Q216" s="16"/>
      <c r="R216" s="16">
        <v>0</v>
      </c>
      <c r="S216"/>
      <c r="T216" s="12">
        <v>19571160</v>
      </c>
      <c r="U216" s="313">
        <v>8400000</v>
      </c>
      <c r="V216" s="16">
        <v>0</v>
      </c>
      <c r="W216" s="123">
        <v>700000</v>
      </c>
      <c r="X216" s="123">
        <v>0</v>
      </c>
      <c r="Y216" s="12">
        <v>9100000</v>
      </c>
      <c r="Z216" s="12">
        <v>-2369080</v>
      </c>
      <c r="AA216" s="13">
        <v>-9.007196389030829E-2</v>
      </c>
      <c r="AB216" s="13">
        <v>0.10093803327645051</v>
      </c>
      <c r="AC216" s="16">
        <v>10518.580844201375</v>
      </c>
      <c r="AD216" s="13">
        <v>0.15998293515358361</v>
      </c>
      <c r="AF216" s="1">
        <f t="shared" si="84"/>
        <v>169.78571428571428</v>
      </c>
      <c r="AG216" s="231"/>
      <c r="BZ216" s="278" t="s">
        <v>277</v>
      </c>
      <c r="CC216">
        <v>0</v>
      </c>
      <c r="CD216">
        <v>0</v>
      </c>
      <c r="CE216">
        <v>0</v>
      </c>
      <c r="CF216">
        <v>0</v>
      </c>
      <c r="CL216" s="26" t="s">
        <v>199</v>
      </c>
      <c r="EM216">
        <v>0</v>
      </c>
      <c r="EN216">
        <v>0</v>
      </c>
      <c r="EO216">
        <v>0</v>
      </c>
      <c r="EP216">
        <v>0</v>
      </c>
      <c r="JO216"/>
      <c r="JP216"/>
      <c r="JS216"/>
      <c r="JT216"/>
      <c r="JV216"/>
      <c r="JZ216"/>
      <c r="KA216"/>
      <c r="KN216" s="278" t="s">
        <v>166</v>
      </c>
      <c r="MI216">
        <v>0</v>
      </c>
      <c r="MJ216">
        <v>0</v>
      </c>
      <c r="MK216">
        <v>0</v>
      </c>
      <c r="ML216">
        <v>0</v>
      </c>
    </row>
    <row r="217" spans="2:350">
      <c r="B217" s="27">
        <f t="shared" si="85"/>
        <v>9.7206053873923906E-2</v>
      </c>
      <c r="C217" s="27">
        <f t="shared" si="86"/>
        <v>0.16037211885587338</v>
      </c>
      <c r="D217" s="1">
        <f t="shared" si="87"/>
        <v>275000</v>
      </c>
      <c r="E217" s="278">
        <v>38</v>
      </c>
      <c r="F217" s="16">
        <v>7885</v>
      </c>
      <c r="G217">
        <v>42</v>
      </c>
      <c r="H217" s="16">
        <v>72020000</v>
      </c>
      <c r="I217" s="16">
        <v>18725200</v>
      </c>
      <c r="J217" s="16">
        <v>6325000</v>
      </c>
      <c r="K217" s="16">
        <v>0</v>
      </c>
      <c r="L217" s="123">
        <v>0</v>
      </c>
      <c r="M217" s="16">
        <v>25125200</v>
      </c>
      <c r="N217" s="16">
        <v>7000780</v>
      </c>
      <c r="O217" s="16">
        <v>11550000</v>
      </c>
      <c r="P217" s="16">
        <v>0</v>
      </c>
      <c r="Q217" s="16"/>
      <c r="R217" s="16">
        <v>0</v>
      </c>
      <c r="S217"/>
      <c r="T217" s="12">
        <v>18550780</v>
      </c>
      <c r="U217" s="313">
        <v>8085000</v>
      </c>
      <c r="V217" s="16">
        <v>0</v>
      </c>
      <c r="W217" s="123">
        <v>700000</v>
      </c>
      <c r="X217" s="123">
        <v>0</v>
      </c>
      <c r="Y217" s="12">
        <v>8785000</v>
      </c>
      <c r="Z217" s="12">
        <v>-2210580</v>
      </c>
      <c r="AA217" s="13">
        <v>-8.7982583223218128E-2</v>
      </c>
      <c r="AB217" s="13">
        <v>9.7206053873923906E-2</v>
      </c>
      <c r="AC217" s="16">
        <v>9133.7983512999363</v>
      </c>
      <c r="AD217" s="13">
        <v>0.16037211885587338</v>
      </c>
      <c r="AF217" s="1">
        <f t="shared" si="84"/>
        <v>187.73809523809524</v>
      </c>
      <c r="AG217" s="231"/>
      <c r="BZ217" s="278" t="s">
        <v>199</v>
      </c>
      <c r="CC217">
        <v>0</v>
      </c>
      <c r="CD217">
        <v>0</v>
      </c>
      <c r="CE217">
        <v>0</v>
      </c>
      <c r="CF217">
        <v>0</v>
      </c>
      <c r="CL217" s="26" t="s">
        <v>196</v>
      </c>
      <c r="EM217">
        <v>0</v>
      </c>
      <c r="EN217">
        <v>0</v>
      </c>
      <c r="EO217">
        <v>0</v>
      </c>
      <c r="EP217">
        <v>0</v>
      </c>
      <c r="JO217"/>
      <c r="JP217"/>
      <c r="JS217"/>
      <c r="JT217"/>
      <c r="JV217"/>
      <c r="JZ217"/>
      <c r="KA217"/>
      <c r="KN217" s="26" t="s">
        <v>175</v>
      </c>
      <c r="MI217">
        <v>0</v>
      </c>
      <c r="MJ217">
        <v>0</v>
      </c>
      <c r="MK217">
        <v>0</v>
      </c>
      <c r="ML217">
        <v>0</v>
      </c>
    </row>
    <row r="218" spans="2:350">
      <c r="B218" s="27">
        <f t="shared" si="85"/>
        <v>0.10140132179893611</v>
      </c>
      <c r="C218" s="27">
        <f t="shared" si="86"/>
        <v>0.10981408844231906</v>
      </c>
      <c r="D218" s="1">
        <f t="shared" si="87"/>
        <v>185795.45454545456</v>
      </c>
      <c r="E218" s="278">
        <v>39</v>
      </c>
      <c r="F218" s="16">
        <v>8147</v>
      </c>
      <c r="G218">
        <v>44</v>
      </c>
      <c r="H218" s="16">
        <v>74444000</v>
      </c>
      <c r="I218" s="16">
        <v>19355440</v>
      </c>
      <c r="J218" s="16">
        <v>6425000</v>
      </c>
      <c r="K218" s="16">
        <v>0</v>
      </c>
      <c r="L218" s="123">
        <v>0</v>
      </c>
      <c r="M218" s="16">
        <v>25905440</v>
      </c>
      <c r="N218" s="16">
        <v>7548720</v>
      </c>
      <c r="O218" s="16">
        <v>8175000</v>
      </c>
      <c r="P218" s="16">
        <v>0</v>
      </c>
      <c r="Q218" s="16"/>
      <c r="R218" s="16">
        <v>200000</v>
      </c>
      <c r="S218"/>
      <c r="T218" s="12">
        <v>15923720</v>
      </c>
      <c r="U218" s="313">
        <v>8015000</v>
      </c>
      <c r="V218" s="16">
        <v>0</v>
      </c>
      <c r="W218" s="123">
        <v>700000</v>
      </c>
      <c r="X218" s="123">
        <v>0</v>
      </c>
      <c r="Y218" s="12">
        <v>8715000</v>
      </c>
      <c r="Z218" s="12">
        <v>1266720</v>
      </c>
      <c r="AA218" s="13">
        <v>4.8897837674249114E-2</v>
      </c>
      <c r="AB218" s="13">
        <v>0.10140132179893611</v>
      </c>
      <c r="AC218" s="16">
        <v>9137.5966613477358</v>
      </c>
      <c r="AD218" s="13">
        <v>0.10981408844231906</v>
      </c>
      <c r="AF218" s="1">
        <f t="shared" si="84"/>
        <v>185.15909090909091</v>
      </c>
      <c r="AG218" s="231"/>
      <c r="BZ218" s="278" t="s">
        <v>196</v>
      </c>
      <c r="CC218">
        <v>0</v>
      </c>
      <c r="CD218">
        <v>0</v>
      </c>
      <c r="CE218">
        <v>0</v>
      </c>
      <c r="CF218">
        <v>0</v>
      </c>
      <c r="CL218" s="26" t="s">
        <v>29</v>
      </c>
      <c r="EM218">
        <v>0</v>
      </c>
      <c r="EN218">
        <v>0</v>
      </c>
      <c r="EO218">
        <v>0</v>
      </c>
      <c r="EP218">
        <v>0</v>
      </c>
      <c r="JO218"/>
      <c r="JP218"/>
      <c r="JS218"/>
      <c r="JT218"/>
      <c r="JV218"/>
      <c r="JZ218"/>
      <c r="KA218"/>
      <c r="KN218" s="278" t="s">
        <v>21</v>
      </c>
      <c r="MI218">
        <v>0</v>
      </c>
      <c r="MJ218">
        <v>0</v>
      </c>
      <c r="MK218">
        <v>0</v>
      </c>
      <c r="ML218">
        <v>0</v>
      </c>
    </row>
    <row r="219" spans="2:350">
      <c r="B219" s="27">
        <f t="shared" si="85"/>
        <v>7.0172518577861262E-2</v>
      </c>
      <c r="C219" s="27">
        <f t="shared" si="86"/>
        <v>0.11429873753418603</v>
      </c>
      <c r="D219" s="1">
        <f t="shared" si="87"/>
        <v>188068.18181818182</v>
      </c>
      <c r="E219" s="278">
        <v>40</v>
      </c>
      <c r="F219" s="16">
        <v>7913</v>
      </c>
      <c r="G219">
        <v>44</v>
      </c>
      <c r="H219" s="16">
        <v>72398000</v>
      </c>
      <c r="I219" s="16">
        <v>18823480</v>
      </c>
      <c r="J219" s="16">
        <v>6125000</v>
      </c>
      <c r="K219" s="16">
        <v>0</v>
      </c>
      <c r="L219" s="123">
        <v>0</v>
      </c>
      <c r="M219" s="16">
        <v>24973480</v>
      </c>
      <c r="N219" s="16">
        <v>5080350</v>
      </c>
      <c r="O219" s="16">
        <v>8275000</v>
      </c>
      <c r="P219" s="16">
        <v>0</v>
      </c>
      <c r="Q219" s="16"/>
      <c r="R219" s="16">
        <v>0</v>
      </c>
      <c r="S219"/>
      <c r="T219" s="12">
        <v>13355350</v>
      </c>
      <c r="U219" s="313">
        <v>7840000</v>
      </c>
      <c r="V219" s="16">
        <v>0</v>
      </c>
      <c r="W219" s="123">
        <v>700000</v>
      </c>
      <c r="X219" s="123">
        <v>0</v>
      </c>
      <c r="Y219" s="12">
        <v>8540000</v>
      </c>
      <c r="Z219" s="12">
        <v>3078130</v>
      </c>
      <c r="AA219" s="13">
        <v>0.1232559499116663</v>
      </c>
      <c r="AB219" s="13">
        <v>7.0172518577861262E-2</v>
      </c>
      <c r="AC219" s="16">
        <v>9149.2480727916081</v>
      </c>
      <c r="AD219" s="13">
        <v>0.11429873753418603</v>
      </c>
      <c r="AF219" s="1">
        <f t="shared" si="84"/>
        <v>179.84090909090909</v>
      </c>
      <c r="AG219" s="231"/>
      <c r="BZ219" s="278" t="s">
        <v>29</v>
      </c>
      <c r="CC219">
        <v>0</v>
      </c>
      <c r="CD219">
        <v>0</v>
      </c>
      <c r="CE219">
        <v>0</v>
      </c>
      <c r="CF219">
        <v>0</v>
      </c>
      <c r="CL219" s="26" t="s">
        <v>23</v>
      </c>
      <c r="DV219">
        <v>244</v>
      </c>
      <c r="DW219">
        <v>247</v>
      </c>
      <c r="DX219">
        <v>239</v>
      </c>
      <c r="DY219">
        <v>251</v>
      </c>
      <c r="DZ219">
        <v>224</v>
      </c>
      <c r="EM219">
        <v>0</v>
      </c>
      <c r="EN219">
        <v>0</v>
      </c>
      <c r="EO219">
        <v>0</v>
      </c>
      <c r="EP219">
        <v>251</v>
      </c>
      <c r="JO219"/>
      <c r="JP219"/>
      <c r="JS219"/>
      <c r="JT219"/>
      <c r="JV219"/>
      <c r="JZ219"/>
      <c r="KA219"/>
      <c r="KN219" s="278" t="s">
        <v>158</v>
      </c>
      <c r="MI219">
        <v>0</v>
      </c>
      <c r="MJ219">
        <v>0</v>
      </c>
      <c r="MK219">
        <v>0</v>
      </c>
      <c r="ML219">
        <v>0</v>
      </c>
    </row>
    <row r="220" spans="2:350">
      <c r="B220" s="27">
        <f t="shared" si="85"/>
        <v>9.9020323719118897E-2</v>
      </c>
      <c r="C220" s="27">
        <f t="shared" si="86"/>
        <v>0.10724717050018255</v>
      </c>
      <c r="D220" s="1">
        <f t="shared" si="87"/>
        <v>190540.54054054053</v>
      </c>
      <c r="E220" s="278">
        <v>41</v>
      </c>
      <c r="F220" s="16">
        <v>7162</v>
      </c>
      <c r="G220">
        <v>37</v>
      </c>
      <c r="H220" s="16">
        <v>65736000</v>
      </c>
      <c r="I220" s="16">
        <v>17091360</v>
      </c>
      <c r="J220" s="16">
        <v>5300000</v>
      </c>
      <c r="K220" s="16">
        <v>0</v>
      </c>
      <c r="L220" s="123">
        <v>0</v>
      </c>
      <c r="M220" s="16">
        <v>22466360</v>
      </c>
      <c r="N220" s="16">
        <v>6509200</v>
      </c>
      <c r="O220" s="16">
        <v>7050000</v>
      </c>
      <c r="P220" s="16">
        <v>0</v>
      </c>
      <c r="Q220" s="16"/>
      <c r="R220" s="16">
        <v>0</v>
      </c>
      <c r="S220"/>
      <c r="T220" s="12">
        <v>13559200</v>
      </c>
      <c r="U220" s="313">
        <v>6720000</v>
      </c>
      <c r="V220" s="16">
        <v>0</v>
      </c>
      <c r="W220" s="123">
        <v>700000</v>
      </c>
      <c r="X220" s="123">
        <v>0</v>
      </c>
      <c r="Y220" s="12">
        <v>7420000</v>
      </c>
      <c r="Z220" s="12">
        <v>1487160</v>
      </c>
      <c r="AA220" s="13">
        <v>6.6194968833402479E-2</v>
      </c>
      <c r="AB220" s="13">
        <v>9.9020323719118897E-2</v>
      </c>
      <c r="AC220" s="16">
        <v>9178.4417760402121</v>
      </c>
      <c r="AD220" s="13">
        <v>0.10724717050018255</v>
      </c>
      <c r="AF220" s="1">
        <f t="shared" si="84"/>
        <v>193.56756756756758</v>
      </c>
      <c r="AG220" s="231"/>
      <c r="BZ220" s="278" t="s">
        <v>23</v>
      </c>
      <c r="CC220">
        <v>0</v>
      </c>
      <c r="CD220">
        <v>0</v>
      </c>
      <c r="CE220">
        <v>0</v>
      </c>
      <c r="CF220">
        <v>0</v>
      </c>
      <c r="CL220" s="26" t="s">
        <v>172</v>
      </c>
      <c r="DV220">
        <v>25</v>
      </c>
      <c r="DW220">
        <v>24</v>
      </c>
      <c r="DX220">
        <v>24</v>
      </c>
      <c r="DY220">
        <v>27</v>
      </c>
      <c r="DZ220">
        <v>24</v>
      </c>
      <c r="EM220">
        <v>0</v>
      </c>
      <c r="EN220">
        <v>0</v>
      </c>
      <c r="EO220">
        <v>0</v>
      </c>
      <c r="EP220">
        <v>27</v>
      </c>
      <c r="JO220"/>
      <c r="JP220"/>
      <c r="JS220"/>
      <c r="JT220"/>
      <c r="JV220"/>
      <c r="JZ220"/>
      <c r="KA220"/>
      <c r="KN220" s="278" t="s">
        <v>159</v>
      </c>
      <c r="MI220">
        <v>0</v>
      </c>
      <c r="MJ220">
        <v>0</v>
      </c>
      <c r="MK220">
        <v>0</v>
      </c>
      <c r="ML220">
        <v>0</v>
      </c>
    </row>
    <row r="221" spans="2:350">
      <c r="B221" s="27">
        <f t="shared" ref="B221" si="88">N221/H221</f>
        <v>9.4940430367682099E-2</v>
      </c>
      <c r="C221" s="27">
        <f t="shared" ref="C221" si="89">O221/H221</f>
        <v>0.10676711023131347</v>
      </c>
      <c r="D221" s="1">
        <f t="shared" ref="D221" si="90">O221/G221</f>
        <v>187903.22580645161</v>
      </c>
      <c r="E221" s="278">
        <v>42</v>
      </c>
      <c r="F221" s="16">
        <v>5935</v>
      </c>
      <c r="G221">
        <v>31</v>
      </c>
      <c r="H221" s="16">
        <v>54558000</v>
      </c>
      <c r="I221" s="16">
        <v>14185080</v>
      </c>
      <c r="J221" s="16">
        <v>4525000</v>
      </c>
      <c r="K221" s="16">
        <v>0</v>
      </c>
      <c r="L221" s="123">
        <v>0</v>
      </c>
      <c r="M221" s="16">
        <v>18710080</v>
      </c>
      <c r="N221" s="16">
        <v>5179760</v>
      </c>
      <c r="O221" s="16">
        <v>5825000</v>
      </c>
      <c r="P221" s="16">
        <v>0</v>
      </c>
      <c r="Q221" s="16"/>
      <c r="R221" s="16">
        <v>0</v>
      </c>
      <c r="S221"/>
      <c r="T221" s="12">
        <v>11004760</v>
      </c>
      <c r="U221" s="313">
        <v>5530000</v>
      </c>
      <c r="V221" s="16">
        <v>0</v>
      </c>
      <c r="W221" s="123">
        <v>825000</v>
      </c>
      <c r="X221" s="123">
        <v>0</v>
      </c>
      <c r="Y221" s="12">
        <v>6355000</v>
      </c>
      <c r="Z221" s="12">
        <v>1350320</v>
      </c>
      <c r="AA221" s="13">
        <v>7.2170722947202795E-2</v>
      </c>
      <c r="AB221" s="13">
        <v>9.4940430367682099E-2</v>
      </c>
      <c r="AC221" s="16">
        <v>9192.5863521482734</v>
      </c>
      <c r="AD221" s="13">
        <v>0.10676711023131347</v>
      </c>
      <c r="AF221" s="1">
        <f t="shared" si="84"/>
        <v>191.45161290322579</v>
      </c>
      <c r="AG221" s="231"/>
      <c r="BZ221" s="278" t="s">
        <v>172</v>
      </c>
      <c r="CC221">
        <v>0</v>
      </c>
      <c r="CD221">
        <v>0</v>
      </c>
      <c r="CE221">
        <v>0</v>
      </c>
      <c r="CF221">
        <v>0</v>
      </c>
      <c r="CL221" s="26" t="s">
        <v>205</v>
      </c>
      <c r="EM221">
        <v>0</v>
      </c>
      <c r="EN221">
        <v>0</v>
      </c>
      <c r="EO221">
        <v>0</v>
      </c>
      <c r="EP221">
        <v>0</v>
      </c>
      <c r="JO221"/>
      <c r="JP221"/>
      <c r="JS221"/>
      <c r="JT221"/>
      <c r="JV221"/>
      <c r="JZ221"/>
      <c r="KA221"/>
      <c r="KN221" s="278" t="s">
        <v>160</v>
      </c>
      <c r="MI221">
        <v>0</v>
      </c>
      <c r="MJ221">
        <v>0</v>
      </c>
      <c r="MK221">
        <v>0</v>
      </c>
      <c r="ML221">
        <v>0</v>
      </c>
    </row>
    <row r="222" spans="2:350">
      <c r="B222" s="27">
        <f t="shared" ref="B222" si="91">N222/H222</f>
        <v>9.5187405631050714E-2</v>
      </c>
      <c r="C222" s="27">
        <f t="shared" ref="C222" si="92">O222/H222</f>
        <v>0.11823874233946176</v>
      </c>
      <c r="D222" s="1">
        <f t="shared" ref="D222" si="93">O222/G222</f>
        <v>166406.25</v>
      </c>
      <c r="E222" s="278">
        <v>43</v>
      </c>
      <c r="F222" s="16">
        <v>4904</v>
      </c>
      <c r="G222">
        <v>32</v>
      </c>
      <c r="H222" s="16">
        <v>45036000</v>
      </c>
      <c r="I222" s="16">
        <v>11709360</v>
      </c>
      <c r="J222" s="16">
        <v>4250000</v>
      </c>
      <c r="K222" s="16">
        <v>0</v>
      </c>
      <c r="L222" s="123">
        <v>0</v>
      </c>
      <c r="M222" s="16">
        <v>15959360</v>
      </c>
      <c r="N222" s="16">
        <v>4286860</v>
      </c>
      <c r="O222" s="16">
        <v>5325000</v>
      </c>
      <c r="P222" s="16">
        <v>0</v>
      </c>
      <c r="Q222" s="16"/>
      <c r="R222" s="16">
        <v>0</v>
      </c>
      <c r="S222"/>
      <c r="T222" s="12">
        <v>9611860</v>
      </c>
      <c r="U222" s="313">
        <v>5250000</v>
      </c>
      <c r="V222" s="16">
        <v>0</v>
      </c>
      <c r="W222" s="123">
        <v>875000</v>
      </c>
      <c r="X222" s="123">
        <v>0</v>
      </c>
      <c r="Y222" s="12">
        <v>6125000</v>
      </c>
      <c r="Z222" s="12">
        <v>222500</v>
      </c>
      <c r="AA222" s="13">
        <v>1.3941661821025405E-2</v>
      </c>
      <c r="AB222" s="13">
        <v>9.5187405631050714E-2</v>
      </c>
      <c r="AC222" s="16">
        <v>9183.5236541598697</v>
      </c>
      <c r="AD222" s="13">
        <v>0.11823874233946176</v>
      </c>
      <c r="AF222" s="1">
        <f t="shared" si="84"/>
        <v>153.25</v>
      </c>
      <c r="AG222" s="231"/>
      <c r="BZ222" s="278" t="s">
        <v>205</v>
      </c>
      <c r="CC222">
        <v>0</v>
      </c>
      <c r="CD222">
        <v>0</v>
      </c>
      <c r="CE222">
        <v>0</v>
      </c>
      <c r="CF222">
        <v>0</v>
      </c>
      <c r="CL222" s="26" t="s">
        <v>173</v>
      </c>
      <c r="DV222">
        <v>27</v>
      </c>
      <c r="DW222">
        <v>26</v>
      </c>
      <c r="DX222">
        <v>29</v>
      </c>
      <c r="DY222">
        <v>26</v>
      </c>
      <c r="DZ222">
        <v>18</v>
      </c>
      <c r="EM222">
        <v>0</v>
      </c>
      <c r="EN222">
        <v>0</v>
      </c>
      <c r="EO222">
        <v>0</v>
      </c>
      <c r="EP222">
        <v>29</v>
      </c>
      <c r="JO222"/>
      <c r="JP222"/>
      <c r="JS222"/>
      <c r="JT222"/>
      <c r="JV222"/>
      <c r="JZ222"/>
      <c r="KA222"/>
      <c r="KN222" s="278" t="s">
        <v>161</v>
      </c>
      <c r="MI222">
        <v>0</v>
      </c>
      <c r="MJ222">
        <v>0</v>
      </c>
      <c r="MK222">
        <v>0</v>
      </c>
      <c r="ML222">
        <v>0</v>
      </c>
    </row>
    <row r="223" spans="2:350">
      <c r="B223" s="27">
        <f t="shared" ref="B223:B286" si="94">N223/H223</f>
        <v>9.1217271255831664E-2</v>
      </c>
      <c r="C223" s="27">
        <f t="shared" ref="C223:C286" si="95">O223/H223</f>
        <v>0.12793963629439209</v>
      </c>
      <c r="D223" s="1">
        <f t="shared" ref="D223:D286" si="96">O223/G223</f>
        <v>191964.28571428571</v>
      </c>
      <c r="E223" s="278">
        <v>44</v>
      </c>
      <c r="F223" s="16">
        <v>4603</v>
      </c>
      <c r="G223">
        <v>28</v>
      </c>
      <c r="H223" s="16">
        <v>42012000</v>
      </c>
      <c r="I223" s="16">
        <v>10923120</v>
      </c>
      <c r="J223" s="16">
        <v>3675000</v>
      </c>
      <c r="K223" s="16">
        <v>0</v>
      </c>
      <c r="L223" s="123">
        <v>0</v>
      </c>
      <c r="M223" s="16">
        <v>14598120</v>
      </c>
      <c r="N223" s="16">
        <v>3832220</v>
      </c>
      <c r="O223" s="16">
        <v>5375000</v>
      </c>
      <c r="P223" s="16">
        <v>0</v>
      </c>
      <c r="Q223" s="16"/>
      <c r="R223" s="16">
        <v>0</v>
      </c>
      <c r="S223"/>
      <c r="T223" s="12">
        <v>9207220</v>
      </c>
      <c r="U223" s="313">
        <v>5145000</v>
      </c>
      <c r="V223" s="16">
        <v>0</v>
      </c>
      <c r="W223" s="123">
        <v>875000</v>
      </c>
      <c r="X223" s="123">
        <v>0</v>
      </c>
      <c r="Y223" s="12">
        <v>6020000</v>
      </c>
      <c r="Z223" s="12">
        <v>-629100</v>
      </c>
      <c r="AA223" s="13">
        <v>-4.3094590262307747E-2</v>
      </c>
      <c r="AB223" s="13">
        <v>9.1217271255831664E-2</v>
      </c>
      <c r="AC223" s="16">
        <v>9127.0910275907008</v>
      </c>
      <c r="AD223" s="13">
        <v>0.12793963629439209</v>
      </c>
      <c r="AF223" s="1">
        <f t="shared" si="84"/>
        <v>164.39285714285714</v>
      </c>
      <c r="AG223" s="231"/>
      <c r="BZ223" s="278" t="s">
        <v>173</v>
      </c>
      <c r="CC223">
        <v>0</v>
      </c>
      <c r="CD223">
        <v>0</v>
      </c>
      <c r="CE223">
        <v>0</v>
      </c>
      <c r="CF223">
        <v>0</v>
      </c>
      <c r="CL223" s="26" t="s">
        <v>174</v>
      </c>
      <c r="DV223">
        <v>43</v>
      </c>
      <c r="DW223">
        <v>42</v>
      </c>
      <c r="DX223">
        <v>42</v>
      </c>
      <c r="DY223">
        <v>44</v>
      </c>
      <c r="DZ223">
        <v>44</v>
      </c>
      <c r="EM223">
        <v>0</v>
      </c>
      <c r="EN223">
        <v>0</v>
      </c>
      <c r="EO223">
        <v>0</v>
      </c>
      <c r="EP223">
        <v>44</v>
      </c>
      <c r="JO223"/>
      <c r="JP223"/>
      <c r="JS223"/>
      <c r="JT223"/>
      <c r="JV223"/>
      <c r="JZ223"/>
      <c r="KA223"/>
      <c r="KN223" s="278" t="s">
        <v>156</v>
      </c>
      <c r="MI223">
        <v>0</v>
      </c>
      <c r="MJ223">
        <v>0</v>
      </c>
      <c r="MK223">
        <v>0</v>
      </c>
      <c r="ML223">
        <v>0</v>
      </c>
    </row>
    <row r="224" spans="2:350">
      <c r="B224" s="27">
        <f t="shared" si="94"/>
        <v>8.6037868162692849E-2</v>
      </c>
      <c r="C224" s="27">
        <f t="shared" si="95"/>
        <v>0.12137231632322797</v>
      </c>
      <c r="D224" s="1">
        <f t="shared" si="96"/>
        <v>173076.92307692306</v>
      </c>
      <c r="E224" s="278">
        <v>45</v>
      </c>
      <c r="F224" s="16">
        <v>4067</v>
      </c>
      <c r="G224">
        <v>26</v>
      </c>
      <c r="H224" s="16">
        <v>37076000</v>
      </c>
      <c r="I224" s="16">
        <v>9639760</v>
      </c>
      <c r="J224" s="16">
        <v>3650000</v>
      </c>
      <c r="K224" s="16">
        <v>0</v>
      </c>
      <c r="L224" s="123">
        <v>0</v>
      </c>
      <c r="M224" s="16">
        <v>13289760</v>
      </c>
      <c r="N224" s="16">
        <v>3189940</v>
      </c>
      <c r="O224" s="16">
        <v>4500000</v>
      </c>
      <c r="P224" s="16">
        <v>0</v>
      </c>
      <c r="Q224" s="16"/>
      <c r="R224" s="16">
        <v>0</v>
      </c>
      <c r="S224"/>
      <c r="T224" s="12">
        <v>7689940</v>
      </c>
      <c r="U224" s="313">
        <v>4480000</v>
      </c>
      <c r="V224" s="16">
        <v>0</v>
      </c>
      <c r="W224" s="123">
        <v>875000</v>
      </c>
      <c r="X224" s="123">
        <v>0</v>
      </c>
      <c r="Y224" s="12">
        <v>5355000</v>
      </c>
      <c r="Z224" s="12">
        <v>244820</v>
      </c>
      <c r="AA224" s="13">
        <v>1.8421702122536448E-2</v>
      </c>
      <c r="AB224" s="13">
        <v>8.6037868162692849E-2</v>
      </c>
      <c r="AC224" s="16">
        <v>9116.3019424637332</v>
      </c>
      <c r="AD224" s="13">
        <v>0.12137231632322797</v>
      </c>
      <c r="AF224" s="1">
        <f t="shared" si="84"/>
        <v>156.42307692307693</v>
      </c>
      <c r="AG224" s="231"/>
      <c r="BZ224" s="278" t="s">
        <v>174</v>
      </c>
      <c r="CC224">
        <v>0</v>
      </c>
      <c r="CD224">
        <v>0</v>
      </c>
      <c r="CE224">
        <v>0</v>
      </c>
      <c r="CF224">
        <v>0</v>
      </c>
      <c r="CL224" s="26" t="s">
        <v>203</v>
      </c>
      <c r="EM224">
        <v>0</v>
      </c>
      <c r="EN224">
        <v>0</v>
      </c>
      <c r="EO224">
        <v>0</v>
      </c>
      <c r="EP224">
        <v>0</v>
      </c>
      <c r="JO224"/>
      <c r="JP224"/>
      <c r="JS224"/>
      <c r="JT224"/>
      <c r="JV224"/>
      <c r="JZ224"/>
      <c r="KA224"/>
      <c r="KN224" s="278" t="s">
        <v>162</v>
      </c>
      <c r="MI224">
        <v>0</v>
      </c>
      <c r="MJ224">
        <v>0</v>
      </c>
      <c r="MK224">
        <v>0</v>
      </c>
      <c r="ML224">
        <v>0</v>
      </c>
    </row>
    <row r="225" spans="2:350">
      <c r="B225" s="27">
        <f t="shared" si="94"/>
        <v>9.4080556490519468E-2</v>
      </c>
      <c r="C225" s="27">
        <f t="shared" si="95"/>
        <v>0.11640300684393583</v>
      </c>
      <c r="D225" s="1">
        <f t="shared" si="96"/>
        <v>180434.78260869565</v>
      </c>
      <c r="E225" s="278">
        <v>46</v>
      </c>
      <c r="F225" s="16">
        <v>3910</v>
      </c>
      <c r="G225">
        <v>23</v>
      </c>
      <c r="H225" s="16">
        <v>35652000</v>
      </c>
      <c r="I225" s="16">
        <v>9269520</v>
      </c>
      <c r="J225" s="16">
        <v>3325000</v>
      </c>
      <c r="K225" s="16">
        <v>0</v>
      </c>
      <c r="L225" s="123">
        <v>0</v>
      </c>
      <c r="M225" s="16">
        <v>12594520</v>
      </c>
      <c r="N225" s="16">
        <v>3354160</v>
      </c>
      <c r="O225" s="16">
        <v>4150000</v>
      </c>
      <c r="P225" s="16">
        <v>0</v>
      </c>
      <c r="Q225" s="16"/>
      <c r="R225" s="16">
        <v>0</v>
      </c>
      <c r="S225"/>
      <c r="T225" s="12">
        <v>7504160</v>
      </c>
      <c r="U225" s="313">
        <v>4025000</v>
      </c>
      <c r="V225" s="16">
        <v>0</v>
      </c>
      <c r="W225" s="123">
        <v>816666.66666666663</v>
      </c>
      <c r="X225" s="123">
        <v>0</v>
      </c>
      <c r="Y225" s="12">
        <v>4841666.666666667</v>
      </c>
      <c r="Z225" s="12">
        <v>248693.33333333209</v>
      </c>
      <c r="AA225" s="13">
        <v>1.9746154147465094E-2</v>
      </c>
      <c r="AB225" s="13">
        <v>9.4080556490519468E-2</v>
      </c>
      <c r="AC225" s="16">
        <v>9118.1585677749354</v>
      </c>
      <c r="AD225" s="13">
        <v>0.11640300684393583</v>
      </c>
      <c r="AF225" s="1">
        <f t="shared" si="84"/>
        <v>170</v>
      </c>
      <c r="AG225" s="231"/>
      <c r="BZ225" s="278" t="s">
        <v>203</v>
      </c>
      <c r="CC225">
        <v>0</v>
      </c>
      <c r="CD225">
        <v>0</v>
      </c>
      <c r="CE225">
        <v>0</v>
      </c>
      <c r="CF225">
        <v>0</v>
      </c>
      <c r="CL225" s="26" t="s">
        <v>175</v>
      </c>
      <c r="EM225">
        <v>0</v>
      </c>
      <c r="EN225">
        <v>0</v>
      </c>
      <c r="EO225">
        <v>0</v>
      </c>
      <c r="EP225">
        <v>0</v>
      </c>
      <c r="JO225"/>
      <c r="JP225"/>
      <c r="JS225"/>
      <c r="JT225"/>
      <c r="JV225"/>
      <c r="JZ225"/>
      <c r="KA225"/>
      <c r="KN225" s="278" t="s">
        <v>163</v>
      </c>
      <c r="LV225" s="379"/>
      <c r="MI225">
        <v>0</v>
      </c>
      <c r="MJ225">
        <v>0</v>
      </c>
      <c r="MK225">
        <v>0</v>
      </c>
      <c r="ML225">
        <v>0</v>
      </c>
    </row>
    <row r="226" spans="2:350">
      <c r="B226" s="27">
        <f t="shared" si="94"/>
        <v>9.3822658932165265E-2</v>
      </c>
      <c r="C226" s="27">
        <f t="shared" si="95"/>
        <v>0.11394577956671008</v>
      </c>
      <c r="D226" s="1">
        <f t="shared" si="96"/>
        <v>175000</v>
      </c>
      <c r="E226" s="278">
        <v>47</v>
      </c>
      <c r="F226" s="16">
        <v>3678</v>
      </c>
      <c r="G226">
        <v>22</v>
      </c>
      <c r="H226" s="16">
        <v>33788000</v>
      </c>
      <c r="I226" s="16">
        <v>8784880</v>
      </c>
      <c r="J226" s="16">
        <v>2925000</v>
      </c>
      <c r="K226" s="16">
        <v>0</v>
      </c>
      <c r="L226" s="123">
        <v>80000</v>
      </c>
      <c r="M226" s="16">
        <v>11789880</v>
      </c>
      <c r="N226" s="16">
        <v>3170080</v>
      </c>
      <c r="O226" s="16">
        <v>3850000</v>
      </c>
      <c r="P226" s="16">
        <v>0</v>
      </c>
      <c r="Q226" s="16"/>
      <c r="R226" s="16">
        <v>0</v>
      </c>
      <c r="S226"/>
      <c r="T226" s="12">
        <v>7020080</v>
      </c>
      <c r="U226" s="313">
        <v>3535000</v>
      </c>
      <c r="V226" s="16">
        <v>0</v>
      </c>
      <c r="W226" s="123">
        <v>716666.66666666663</v>
      </c>
      <c r="X226" s="123">
        <v>0</v>
      </c>
      <c r="Y226" s="12">
        <v>4251666.666666667</v>
      </c>
      <c r="Z226" s="12">
        <v>518133.33333333209</v>
      </c>
      <c r="AA226" s="13">
        <v>4.3947294911681214E-2</v>
      </c>
      <c r="AB226" s="13">
        <v>9.3822658932165265E-2</v>
      </c>
      <c r="AC226" s="16">
        <v>9186.5144100054385</v>
      </c>
      <c r="AD226" s="13">
        <v>0.11394577956671008</v>
      </c>
      <c r="AF226" s="1">
        <f t="shared" si="84"/>
        <v>167.18181818181819</v>
      </c>
      <c r="AG226" s="231"/>
      <c r="BZ226" s="278" t="s">
        <v>175</v>
      </c>
      <c r="CC226">
        <v>0</v>
      </c>
      <c r="CD226">
        <v>0</v>
      </c>
      <c r="CE226">
        <v>0</v>
      </c>
      <c r="CF226">
        <v>0</v>
      </c>
      <c r="CL226" s="26" t="s">
        <v>200</v>
      </c>
      <c r="EM226">
        <v>0</v>
      </c>
      <c r="EN226">
        <v>0</v>
      </c>
      <c r="EO226">
        <v>0</v>
      </c>
      <c r="EP226">
        <v>0</v>
      </c>
      <c r="JO226"/>
      <c r="JP226"/>
      <c r="JS226"/>
      <c r="JT226"/>
      <c r="JV226"/>
      <c r="JZ226"/>
      <c r="KA226"/>
      <c r="KN226" s="278" t="s">
        <v>164</v>
      </c>
      <c r="MI226">
        <v>0</v>
      </c>
      <c r="MJ226">
        <v>0</v>
      </c>
      <c r="MK226">
        <v>0</v>
      </c>
      <c r="ML226">
        <v>0</v>
      </c>
    </row>
    <row r="227" spans="2:350">
      <c r="B227" s="27">
        <f t="shared" si="94"/>
        <v>0.1006646058732612</v>
      </c>
      <c r="C227" s="27">
        <f t="shared" si="95"/>
        <v>0.12037807632861729</v>
      </c>
      <c r="D227" s="1">
        <f t="shared" si="96"/>
        <v>225000</v>
      </c>
      <c r="E227" s="278">
        <v>48</v>
      </c>
      <c r="F227" s="16">
        <v>3668</v>
      </c>
      <c r="G227">
        <v>18</v>
      </c>
      <c r="H227" s="16">
        <v>33644000</v>
      </c>
      <c r="I227" s="16">
        <v>8747440</v>
      </c>
      <c r="J227" s="16">
        <v>2555000</v>
      </c>
      <c r="K227" s="16">
        <v>0</v>
      </c>
      <c r="L227" s="123">
        <v>0</v>
      </c>
      <c r="M227" s="16">
        <v>11302440</v>
      </c>
      <c r="N227" s="16">
        <v>3386760</v>
      </c>
      <c r="O227" s="16">
        <v>4050000</v>
      </c>
      <c r="P227" s="16">
        <v>0</v>
      </c>
      <c r="Q227" s="16"/>
      <c r="R227" s="16">
        <v>0</v>
      </c>
      <c r="S227"/>
      <c r="T227" s="12">
        <v>7436760</v>
      </c>
      <c r="U227" s="313">
        <v>3535000</v>
      </c>
      <c r="V227" s="16">
        <v>0</v>
      </c>
      <c r="W227" s="123">
        <v>816666.66666666663</v>
      </c>
      <c r="X227" s="123">
        <v>0</v>
      </c>
      <c r="Y227" s="12">
        <v>4351666.666666667</v>
      </c>
      <c r="Z227" s="12">
        <v>-485986.66666666791</v>
      </c>
      <c r="AA227" s="13">
        <v>-4.2998385009490686E-2</v>
      </c>
      <c r="AB227" s="13">
        <v>0.1006646058732612</v>
      </c>
      <c r="AC227" s="16">
        <v>9172.3009814612869</v>
      </c>
      <c r="AD227" s="13">
        <v>0.12037807632861729</v>
      </c>
      <c r="AF227" s="1">
        <f t="shared" si="84"/>
        <v>203.77777777777777</v>
      </c>
      <c r="AG227" s="231"/>
      <c r="BZ227" s="278" t="s">
        <v>200</v>
      </c>
      <c r="CC227">
        <v>0</v>
      </c>
      <c r="CD227">
        <v>0</v>
      </c>
      <c r="CE227">
        <v>0</v>
      </c>
      <c r="CF227">
        <v>0</v>
      </c>
      <c r="CL227" s="26" t="s">
        <v>176</v>
      </c>
      <c r="DV227">
        <v>16</v>
      </c>
      <c r="DW227">
        <v>14</v>
      </c>
      <c r="DX227">
        <v>13</v>
      </c>
      <c r="DY227">
        <v>11</v>
      </c>
      <c r="DZ227">
        <v>11</v>
      </c>
      <c r="EM227">
        <v>0</v>
      </c>
      <c r="EN227">
        <v>0</v>
      </c>
      <c r="EO227">
        <v>0</v>
      </c>
      <c r="EP227">
        <v>16</v>
      </c>
      <c r="JO227"/>
      <c r="JP227"/>
      <c r="JS227"/>
      <c r="JT227"/>
      <c r="JV227"/>
      <c r="JZ227"/>
      <c r="KA227"/>
      <c r="KN227" s="278" t="s">
        <v>165</v>
      </c>
      <c r="MI227">
        <v>0</v>
      </c>
      <c r="MJ227">
        <v>0</v>
      </c>
      <c r="MK227">
        <v>0</v>
      </c>
      <c r="ML227">
        <v>0</v>
      </c>
    </row>
    <row r="228" spans="2:350">
      <c r="B228" s="27">
        <f t="shared" si="94"/>
        <v>9.9345388206256366E-2</v>
      </c>
      <c r="C228" s="27">
        <f t="shared" si="95"/>
        <v>0.12341042013199549</v>
      </c>
      <c r="D228" s="1">
        <f t="shared" si="96"/>
        <v>200000</v>
      </c>
      <c r="E228" s="278">
        <v>49</v>
      </c>
      <c r="F228" s="16">
        <v>4050</v>
      </c>
      <c r="G228">
        <v>23</v>
      </c>
      <c r="H228" s="16">
        <v>37274000</v>
      </c>
      <c r="I228" s="16">
        <v>9691240</v>
      </c>
      <c r="J228" s="16">
        <v>3175000</v>
      </c>
      <c r="K228" s="16">
        <v>0</v>
      </c>
      <c r="L228" s="123">
        <v>0</v>
      </c>
      <c r="M228" s="16">
        <v>12866240</v>
      </c>
      <c r="N228" s="16">
        <v>3703000</v>
      </c>
      <c r="O228" s="16">
        <v>4600000</v>
      </c>
      <c r="P228" s="16">
        <v>0</v>
      </c>
      <c r="Q228" s="16">
        <v>0</v>
      </c>
      <c r="R228" s="16">
        <v>0</v>
      </c>
      <c r="S228"/>
      <c r="T228" s="12">
        <v>8303000</v>
      </c>
      <c r="U228" s="313">
        <v>4025000</v>
      </c>
      <c r="V228" s="16">
        <v>0</v>
      </c>
      <c r="W228" s="123">
        <v>816666.66666666663</v>
      </c>
      <c r="X228" s="123">
        <v>0</v>
      </c>
      <c r="Y228" s="12">
        <v>4841666.666666667</v>
      </c>
      <c r="Z228" s="12">
        <v>-278426.66666666791</v>
      </c>
      <c r="AA228" s="13">
        <v>-2.1640095837375015E-2</v>
      </c>
      <c r="AB228" s="13">
        <v>9.9345388206256366E-2</v>
      </c>
      <c r="AC228" s="16">
        <v>9203.4567901234568</v>
      </c>
      <c r="AD228" s="13">
        <v>0.12341042013199549</v>
      </c>
      <c r="AF228" s="1">
        <f t="shared" si="84"/>
        <v>176.08695652173913</v>
      </c>
      <c r="AG228" s="231"/>
      <c r="BZ228" s="278" t="s">
        <v>176</v>
      </c>
      <c r="CC228">
        <v>0</v>
      </c>
      <c r="CD228">
        <v>0</v>
      </c>
      <c r="CE228">
        <v>0</v>
      </c>
      <c r="CF228">
        <v>0</v>
      </c>
      <c r="CL228" s="26" t="s">
        <v>201</v>
      </c>
      <c r="EM228">
        <v>0</v>
      </c>
      <c r="EN228">
        <v>0</v>
      </c>
      <c r="EO228">
        <v>0</v>
      </c>
      <c r="EP228">
        <v>0</v>
      </c>
      <c r="JO228"/>
      <c r="JP228"/>
      <c r="JS228"/>
      <c r="JT228"/>
      <c r="JV228"/>
      <c r="JZ228"/>
      <c r="KA228"/>
      <c r="KN228" s="278" t="s">
        <v>36</v>
      </c>
      <c r="MI228">
        <v>0</v>
      </c>
      <c r="MJ228">
        <v>0</v>
      </c>
      <c r="MK228">
        <v>0</v>
      </c>
      <c r="ML228">
        <v>0</v>
      </c>
    </row>
    <row r="229" spans="2:350">
      <c r="B229" s="27">
        <f t="shared" si="94"/>
        <v>8.5704364447276207E-2</v>
      </c>
      <c r="C229" s="27">
        <f t="shared" si="95"/>
        <v>0.14813634915578211</v>
      </c>
      <c r="D229" s="1">
        <f t="shared" si="96"/>
        <v>193750</v>
      </c>
      <c r="E229" s="278">
        <v>50</v>
      </c>
      <c r="F229" s="16">
        <v>3411</v>
      </c>
      <c r="G229">
        <v>24</v>
      </c>
      <c r="H229" s="16">
        <v>31390000</v>
      </c>
      <c r="I229" s="16">
        <v>8161400</v>
      </c>
      <c r="J229" s="16">
        <v>2655000</v>
      </c>
      <c r="K229" s="16">
        <v>0</v>
      </c>
      <c r="L229" s="123">
        <v>0</v>
      </c>
      <c r="M229" s="16">
        <v>10816400</v>
      </c>
      <c r="N229" s="16">
        <v>2690260</v>
      </c>
      <c r="O229" s="16">
        <v>4650000</v>
      </c>
      <c r="P229" s="16">
        <v>0</v>
      </c>
      <c r="Q229" s="16">
        <v>0</v>
      </c>
      <c r="R229" s="16">
        <v>0</v>
      </c>
      <c r="S229"/>
      <c r="T229" s="12">
        <v>7340260</v>
      </c>
      <c r="U229" s="313">
        <v>3955000</v>
      </c>
      <c r="V229" s="16">
        <v>0</v>
      </c>
      <c r="W229" s="123">
        <v>816666.66666666663</v>
      </c>
      <c r="X229" s="123">
        <v>0</v>
      </c>
      <c r="Y229" s="12">
        <v>4771666.666666667</v>
      </c>
      <c r="Z229" s="12">
        <v>-1295526.6666666679</v>
      </c>
      <c r="AA229" s="13">
        <v>-0.11977429335700121</v>
      </c>
      <c r="AB229" s="13">
        <v>8.5704364447276207E-2</v>
      </c>
      <c r="AC229" s="16">
        <v>9202.5798885957192</v>
      </c>
      <c r="AD229" s="13">
        <v>0.14813634915578211</v>
      </c>
      <c r="AF229" s="1">
        <f t="shared" si="84"/>
        <v>142.125</v>
      </c>
      <c r="AG229" s="231"/>
      <c r="BZ229" s="278" t="s">
        <v>201</v>
      </c>
      <c r="CC229">
        <v>0</v>
      </c>
      <c r="CD229">
        <v>0</v>
      </c>
      <c r="CE229">
        <v>0</v>
      </c>
      <c r="CF229">
        <v>0</v>
      </c>
      <c r="CL229" s="26" t="s">
        <v>178</v>
      </c>
      <c r="DY229">
        <v>6</v>
      </c>
      <c r="DZ229">
        <v>3</v>
      </c>
      <c r="EM229">
        <v>0</v>
      </c>
      <c r="EN229">
        <v>0</v>
      </c>
      <c r="EO229">
        <v>0</v>
      </c>
      <c r="EP229">
        <v>6</v>
      </c>
      <c r="JO229"/>
      <c r="JP229"/>
      <c r="JS229"/>
      <c r="JT229"/>
      <c r="JV229"/>
      <c r="JZ229"/>
      <c r="KA229"/>
      <c r="KN229" s="278" t="s">
        <v>166</v>
      </c>
      <c r="MI229">
        <v>0</v>
      </c>
      <c r="MJ229">
        <v>0</v>
      </c>
      <c r="MK229">
        <v>0</v>
      </c>
      <c r="ML229">
        <v>0</v>
      </c>
    </row>
    <row r="230" spans="2:350">
      <c r="B230" s="27">
        <f t="shared" si="94"/>
        <v>8.9572271386430674E-2</v>
      </c>
      <c r="C230" s="27">
        <f t="shared" si="95"/>
        <v>0.12554431802219412</v>
      </c>
      <c r="D230" s="1">
        <f t="shared" si="96"/>
        <v>178750</v>
      </c>
      <c r="E230" s="278">
        <v>51</v>
      </c>
      <c r="F230" s="16">
        <v>3113</v>
      </c>
      <c r="G230">
        <v>20</v>
      </c>
      <c r="H230" s="16">
        <v>28476000</v>
      </c>
      <c r="I230" s="16">
        <v>7403760</v>
      </c>
      <c r="J230" s="16">
        <v>2350000</v>
      </c>
      <c r="K230" s="16">
        <v>0</v>
      </c>
      <c r="L230" s="123">
        <v>0</v>
      </c>
      <c r="M230" s="16">
        <v>9753760</v>
      </c>
      <c r="N230" s="16">
        <v>2550660</v>
      </c>
      <c r="O230" s="16">
        <v>3575000</v>
      </c>
      <c r="P230" s="16">
        <v>0</v>
      </c>
      <c r="Q230" s="16">
        <v>0</v>
      </c>
      <c r="R230" s="16">
        <v>0</v>
      </c>
      <c r="S230"/>
      <c r="T230" s="12">
        <v>6125660</v>
      </c>
      <c r="U230" s="313">
        <v>3430000</v>
      </c>
      <c r="V230" s="16">
        <v>0</v>
      </c>
      <c r="W230" s="123">
        <v>816666.66666666663</v>
      </c>
      <c r="X230" s="123">
        <v>0</v>
      </c>
      <c r="Y230" s="12">
        <v>4246666.666666667</v>
      </c>
      <c r="Z230" s="12">
        <v>-618566.66666666791</v>
      </c>
      <c r="AA230" s="13">
        <v>-6.3418278352826804E-2</v>
      </c>
      <c r="AB230" s="13">
        <v>8.9572271386430674E-2</v>
      </c>
      <c r="AC230" s="16">
        <v>9147.4461933825896</v>
      </c>
      <c r="AD230" s="13">
        <v>0.12554431802219412</v>
      </c>
      <c r="AF230" s="1">
        <f t="shared" si="84"/>
        <v>155.65</v>
      </c>
      <c r="AG230" s="231"/>
      <c r="BZ230" s="278" t="s">
        <v>178</v>
      </c>
      <c r="CC230">
        <v>0</v>
      </c>
      <c r="CD230">
        <v>0</v>
      </c>
      <c r="CE230">
        <v>0</v>
      </c>
      <c r="CF230">
        <v>0</v>
      </c>
      <c r="CL230" s="26" t="s">
        <v>177</v>
      </c>
      <c r="DV230">
        <v>3</v>
      </c>
      <c r="DW230">
        <v>2</v>
      </c>
      <c r="DX230">
        <v>2</v>
      </c>
      <c r="DY230">
        <v>2</v>
      </c>
      <c r="DZ230">
        <v>2</v>
      </c>
      <c r="EM230">
        <v>0</v>
      </c>
      <c r="EN230">
        <v>0</v>
      </c>
      <c r="EO230">
        <v>0</v>
      </c>
      <c r="EP230">
        <v>3</v>
      </c>
      <c r="JO230"/>
      <c r="JP230"/>
      <c r="JS230"/>
      <c r="JT230"/>
      <c r="JV230"/>
      <c r="JZ230"/>
      <c r="KA230"/>
      <c r="KN230" s="26" t="s">
        <v>200</v>
      </c>
      <c r="MI230">
        <v>0</v>
      </c>
      <c r="MJ230">
        <v>0</v>
      </c>
      <c r="MK230">
        <v>0</v>
      </c>
      <c r="ML230">
        <v>0</v>
      </c>
    </row>
    <row r="231" spans="2:350">
      <c r="B231" s="27">
        <f t="shared" si="94"/>
        <v>9.2095786013150036E-2</v>
      </c>
      <c r="C231" s="27">
        <f t="shared" si="95"/>
        <v>0.1260833831440526</v>
      </c>
      <c r="D231" s="1">
        <f t="shared" si="96"/>
        <v>187500</v>
      </c>
      <c r="E231" s="278">
        <v>52</v>
      </c>
      <c r="F231" s="16">
        <v>2939</v>
      </c>
      <c r="G231">
        <v>18</v>
      </c>
      <c r="H231" s="16">
        <v>26768000</v>
      </c>
      <c r="I231" s="16">
        <v>6959680</v>
      </c>
      <c r="J231" s="16">
        <v>2590000</v>
      </c>
      <c r="K231" s="16">
        <v>0</v>
      </c>
      <c r="L231" s="123">
        <v>0</v>
      </c>
      <c r="M231" s="16">
        <v>9549680</v>
      </c>
      <c r="N231" s="16">
        <v>2465220</v>
      </c>
      <c r="O231" s="16">
        <v>3375000</v>
      </c>
      <c r="P231" s="16">
        <v>0</v>
      </c>
      <c r="Q231" s="16">
        <v>0</v>
      </c>
      <c r="R231" s="16">
        <v>0</v>
      </c>
      <c r="S231"/>
      <c r="T231" s="12">
        <v>5840220</v>
      </c>
      <c r="U231" s="313">
        <v>3360000</v>
      </c>
      <c r="V231" s="16">
        <v>0</v>
      </c>
      <c r="W231" s="123">
        <v>876666.66666666663</v>
      </c>
      <c r="X231" s="123">
        <v>0</v>
      </c>
      <c r="Y231" s="12">
        <v>4236666.666666667</v>
      </c>
      <c r="Z231" s="12">
        <v>-527206.66666666791</v>
      </c>
      <c r="AA231" s="13">
        <v>-5.520673642118562E-2</v>
      </c>
      <c r="AB231" s="13">
        <v>9.2095786013150036E-2</v>
      </c>
      <c r="AC231" s="16">
        <v>9107.8598162640355</v>
      </c>
      <c r="AD231" s="13">
        <v>0.1260833831440526</v>
      </c>
      <c r="AF231" s="1">
        <f t="shared" si="84"/>
        <v>163.27777777777777</v>
      </c>
      <c r="AG231" s="231"/>
      <c r="BZ231" s="278" t="s">
        <v>177</v>
      </c>
      <c r="CC231">
        <v>0</v>
      </c>
      <c r="CD231">
        <v>0</v>
      </c>
      <c r="CE231">
        <v>0</v>
      </c>
      <c r="CF231">
        <v>0</v>
      </c>
      <c r="CL231" s="26" t="s">
        <v>202</v>
      </c>
      <c r="EM231">
        <v>0</v>
      </c>
      <c r="EN231">
        <v>0</v>
      </c>
      <c r="EO231">
        <v>0</v>
      </c>
      <c r="EP231">
        <v>0</v>
      </c>
      <c r="JO231"/>
      <c r="JP231"/>
      <c r="JS231"/>
      <c r="JT231"/>
      <c r="JV231"/>
      <c r="JZ231"/>
      <c r="KA231"/>
      <c r="KN231" s="278" t="s">
        <v>21</v>
      </c>
      <c r="MI231">
        <v>0</v>
      </c>
      <c r="MJ231">
        <v>0</v>
      </c>
      <c r="MK231">
        <v>0</v>
      </c>
      <c r="ML231">
        <v>0</v>
      </c>
    </row>
    <row r="232" spans="2:350">
      <c r="B232" s="27">
        <f t="shared" si="94"/>
        <v>0.10237499999999999</v>
      </c>
      <c r="C232" s="27">
        <f t="shared" si="95"/>
        <v>0.10682397959183673</v>
      </c>
      <c r="D232" s="1">
        <f t="shared" si="96"/>
        <v>186111.11111111112</v>
      </c>
      <c r="E232" s="278">
        <v>12026</v>
      </c>
      <c r="F232" s="16">
        <v>3433</v>
      </c>
      <c r="G232">
        <v>18</v>
      </c>
      <c r="H232" s="16">
        <v>31360000</v>
      </c>
      <c r="I232" s="16">
        <v>8153600</v>
      </c>
      <c r="J232" s="16">
        <v>2775000</v>
      </c>
      <c r="K232" s="16">
        <v>0</v>
      </c>
      <c r="L232" s="123">
        <v>0</v>
      </c>
      <c r="M232" s="16">
        <v>10928600</v>
      </c>
      <c r="N232" s="16">
        <v>3210480</v>
      </c>
      <c r="O232" s="16">
        <v>3350000</v>
      </c>
      <c r="P232" s="16">
        <v>0</v>
      </c>
      <c r="Q232" s="16">
        <v>0</v>
      </c>
      <c r="R232" s="16">
        <v>0</v>
      </c>
      <c r="S232"/>
      <c r="T232" s="12">
        <v>6560480</v>
      </c>
      <c r="U232" s="313">
        <v>3500000</v>
      </c>
      <c r="V232" s="16">
        <v>0</v>
      </c>
      <c r="W232" s="123">
        <v>775000</v>
      </c>
      <c r="X232" s="123">
        <v>0</v>
      </c>
      <c r="Y232" s="12">
        <v>4275000</v>
      </c>
      <c r="Z232" s="12">
        <v>93120</v>
      </c>
      <c r="AA232" s="13">
        <v>8.5207620372234321E-3</v>
      </c>
      <c r="AB232" s="13">
        <v>0.10237499999999999</v>
      </c>
      <c r="AC232" s="16">
        <v>9134.8674628604713</v>
      </c>
      <c r="AD232" s="13">
        <v>0.10682397959183673</v>
      </c>
      <c r="AF232" s="1">
        <f t="shared" si="84"/>
        <v>190.72222222222223</v>
      </c>
      <c r="AG232" s="231"/>
      <c r="BZ232" s="278" t="s">
        <v>202</v>
      </c>
      <c r="CC232">
        <v>0</v>
      </c>
      <c r="CD232">
        <v>0</v>
      </c>
      <c r="CE232">
        <v>0</v>
      </c>
      <c r="CF232">
        <v>0</v>
      </c>
      <c r="CL232" s="26" t="s">
        <v>204</v>
      </c>
      <c r="EM232">
        <v>0</v>
      </c>
      <c r="EN232">
        <v>0</v>
      </c>
      <c r="EO232">
        <v>0</v>
      </c>
      <c r="EP232">
        <v>0</v>
      </c>
      <c r="JO232"/>
      <c r="JP232"/>
      <c r="JS232"/>
      <c r="JT232"/>
      <c r="JV232"/>
      <c r="JZ232"/>
      <c r="KA232"/>
      <c r="KN232" s="278" t="s">
        <v>158</v>
      </c>
      <c r="MI232">
        <v>0</v>
      </c>
      <c r="MJ232">
        <v>0</v>
      </c>
      <c r="MK232">
        <v>0</v>
      </c>
      <c r="ML232">
        <v>0</v>
      </c>
    </row>
    <row r="233" spans="2:350">
      <c r="B233" s="27">
        <f t="shared" si="94"/>
        <v>9.6705238053175518E-2</v>
      </c>
      <c r="C233" s="27">
        <f t="shared" si="95"/>
        <v>0.12145570179312781</v>
      </c>
      <c r="D233" s="1">
        <f t="shared" si="96"/>
        <v>161764.70588235295</v>
      </c>
      <c r="E233" s="278">
        <v>22026</v>
      </c>
      <c r="F233" s="16">
        <v>2484</v>
      </c>
      <c r="G233">
        <v>17</v>
      </c>
      <c r="H233" s="16">
        <v>22642000</v>
      </c>
      <c r="I233" s="16">
        <v>5886920</v>
      </c>
      <c r="J233" s="16">
        <v>2160000</v>
      </c>
      <c r="K233" s="16">
        <v>0</v>
      </c>
      <c r="L233" s="123">
        <v>0</v>
      </c>
      <c r="M233" s="16">
        <v>8046920</v>
      </c>
      <c r="N233" s="16">
        <v>2189600</v>
      </c>
      <c r="O233" s="16">
        <v>2750000</v>
      </c>
      <c r="P233" s="16">
        <v>0</v>
      </c>
      <c r="Q233" s="16">
        <v>0</v>
      </c>
      <c r="R233" s="16">
        <v>0</v>
      </c>
      <c r="S233"/>
      <c r="T233" s="12">
        <v>4939600</v>
      </c>
      <c r="U233" s="313">
        <v>2730000</v>
      </c>
      <c r="V233" s="16">
        <v>0</v>
      </c>
      <c r="W233" s="123">
        <v>775000</v>
      </c>
      <c r="X233" s="123">
        <v>0</v>
      </c>
      <c r="Y233" s="12">
        <v>3505000</v>
      </c>
      <c r="Z233" s="12">
        <v>-397680</v>
      </c>
      <c r="AA233" s="13">
        <v>-4.9420150815467287E-2</v>
      </c>
      <c r="AB233" s="13">
        <v>9.6705238053175518E-2</v>
      </c>
      <c r="AC233" s="16">
        <v>9115.1368760064415</v>
      </c>
      <c r="AD233" s="13">
        <v>0.12145570179312781</v>
      </c>
      <c r="AF233" s="1">
        <f t="shared" si="84"/>
        <v>146.11764705882354</v>
      </c>
      <c r="AG233" s="231"/>
      <c r="BZ233" s="278" t="s">
        <v>204</v>
      </c>
      <c r="CC233">
        <v>0</v>
      </c>
      <c r="CD233">
        <v>0</v>
      </c>
      <c r="CE233">
        <v>0</v>
      </c>
      <c r="CF233">
        <v>0</v>
      </c>
      <c r="CL233" s="11" t="s">
        <v>165</v>
      </c>
      <c r="DZ233">
        <v>243</v>
      </c>
      <c r="EA233">
        <v>252</v>
      </c>
      <c r="EB233">
        <v>243</v>
      </c>
      <c r="EC233">
        <v>246</v>
      </c>
      <c r="ED233">
        <v>239</v>
      </c>
      <c r="EM233">
        <v>0</v>
      </c>
      <c r="EN233">
        <v>0</v>
      </c>
      <c r="EO233">
        <v>0</v>
      </c>
      <c r="EP233">
        <v>252</v>
      </c>
      <c r="JO233"/>
      <c r="JP233"/>
      <c r="JS233"/>
      <c r="JT233"/>
      <c r="JV233"/>
      <c r="JZ233"/>
      <c r="KA233"/>
      <c r="KN233" s="278" t="s">
        <v>159</v>
      </c>
      <c r="MI233">
        <v>0</v>
      </c>
      <c r="MJ233">
        <v>0</v>
      </c>
      <c r="MK233">
        <v>0</v>
      </c>
      <c r="ML233">
        <v>0</v>
      </c>
    </row>
    <row r="234" spans="2:350">
      <c r="B234" s="27">
        <f t="shared" si="94"/>
        <v>9.6341839356054115E-2</v>
      </c>
      <c r="C234" s="27">
        <f t="shared" si="95"/>
        <v>0.14985442712793287</v>
      </c>
      <c r="D234" s="1">
        <f t="shared" si="96"/>
        <v>205882.35294117648</v>
      </c>
      <c r="E234" s="278">
        <v>32026</v>
      </c>
      <c r="F234" s="16">
        <v>2144</v>
      </c>
      <c r="G234">
        <v>17</v>
      </c>
      <c r="H234" s="16">
        <v>23356000</v>
      </c>
      <c r="I234" s="16">
        <v>6072560</v>
      </c>
      <c r="J234" s="16">
        <v>2090000</v>
      </c>
      <c r="K234" s="16">
        <v>0</v>
      </c>
      <c r="L234" s="123">
        <v>0</v>
      </c>
      <c r="M234" s="16">
        <v>8162560</v>
      </c>
      <c r="N234" s="16">
        <v>2250160</v>
      </c>
      <c r="O234" s="16">
        <v>3500000</v>
      </c>
      <c r="P234" s="16">
        <v>0</v>
      </c>
      <c r="Q234" s="16">
        <v>0</v>
      </c>
      <c r="R234" s="16">
        <v>0</v>
      </c>
      <c r="S234"/>
      <c r="T234" s="12">
        <v>5750160</v>
      </c>
      <c r="U234" s="313">
        <v>3465000</v>
      </c>
      <c r="V234" s="16">
        <v>0</v>
      </c>
      <c r="W234" s="123">
        <v>775000</v>
      </c>
      <c r="X234" s="123">
        <v>0</v>
      </c>
      <c r="Y234" s="12">
        <v>4240000</v>
      </c>
      <c r="Z234" s="12">
        <v>-1827600</v>
      </c>
      <c r="AA234" s="13">
        <v>-0.22390034498980713</v>
      </c>
      <c r="AB234" s="13">
        <v>9.6341839356054115E-2</v>
      </c>
      <c r="AC234" s="16">
        <v>10893.656716417911</v>
      </c>
      <c r="AD234" s="13">
        <v>0.14985442712793287</v>
      </c>
      <c r="AF234" s="1">
        <f t="shared" si="84"/>
        <v>126.11764705882354</v>
      </c>
      <c r="AG234" s="231"/>
      <c r="BZ234" s="26" t="s">
        <v>170</v>
      </c>
      <c r="CC234">
        <v>0</v>
      </c>
      <c r="CD234">
        <v>0</v>
      </c>
      <c r="CE234">
        <v>0</v>
      </c>
      <c r="CF234">
        <v>0</v>
      </c>
      <c r="CL234" s="26" t="s">
        <v>34</v>
      </c>
      <c r="EM234">
        <v>0</v>
      </c>
      <c r="EN234">
        <v>0</v>
      </c>
      <c r="EO234">
        <v>0</v>
      </c>
      <c r="EP234">
        <v>0</v>
      </c>
      <c r="JO234"/>
      <c r="JP234"/>
      <c r="JS234"/>
      <c r="JT234"/>
      <c r="JV234"/>
      <c r="JZ234"/>
      <c r="KA234"/>
      <c r="KN234" s="278" t="s">
        <v>160</v>
      </c>
      <c r="MI234">
        <v>0</v>
      </c>
      <c r="MJ234">
        <v>0</v>
      </c>
      <c r="MK234">
        <v>0</v>
      </c>
      <c r="ML234">
        <v>0</v>
      </c>
    </row>
    <row r="235" spans="2:350">
      <c r="B235" s="27">
        <f t="shared" si="94"/>
        <v>8.0486490898702148E-2</v>
      </c>
      <c r="C235" s="27">
        <f t="shared" si="95"/>
        <v>0.15610970533017712</v>
      </c>
      <c r="D235" s="1">
        <f t="shared" si="96"/>
        <v>182142.85714285713</v>
      </c>
      <c r="E235" s="278">
        <v>42026</v>
      </c>
      <c r="F235" s="16">
        <v>2663</v>
      </c>
      <c r="G235">
        <v>21</v>
      </c>
      <c r="H235" s="16">
        <v>24502000</v>
      </c>
      <c r="I235" s="16">
        <v>6370520</v>
      </c>
      <c r="J235" s="16">
        <v>3300000</v>
      </c>
      <c r="K235" s="16">
        <v>0</v>
      </c>
      <c r="L235" s="123">
        <v>0</v>
      </c>
      <c r="M235" s="16">
        <v>9670520</v>
      </c>
      <c r="N235" s="16">
        <v>1972080</v>
      </c>
      <c r="O235" s="16">
        <v>3825000</v>
      </c>
      <c r="P235" s="16">
        <v>0</v>
      </c>
      <c r="Q235" s="16">
        <v>0</v>
      </c>
      <c r="R235" s="16">
        <v>0</v>
      </c>
      <c r="S235"/>
      <c r="T235" s="12">
        <v>5797080</v>
      </c>
      <c r="U235" s="313">
        <v>3780000</v>
      </c>
      <c r="V235" s="16">
        <v>0</v>
      </c>
      <c r="W235" s="123">
        <v>775000</v>
      </c>
      <c r="X235" s="123">
        <v>0</v>
      </c>
      <c r="Y235" s="12">
        <v>4555000</v>
      </c>
      <c r="Z235" s="12">
        <v>-681560</v>
      </c>
      <c r="AA235" s="13">
        <v>-7.0478112862596837E-2</v>
      </c>
      <c r="AB235" s="13">
        <v>8.0486490898702148E-2</v>
      </c>
      <c r="AC235" s="16">
        <v>9200.9012392039058</v>
      </c>
      <c r="AD235" s="13">
        <v>0.15610970533017712</v>
      </c>
      <c r="AF235" s="1">
        <f t="shared" si="84"/>
        <v>126.80952380952381</v>
      </c>
      <c r="AG235" s="231"/>
      <c r="BZ235" s="278" t="s">
        <v>34</v>
      </c>
      <c r="CC235">
        <v>0</v>
      </c>
      <c r="CD235">
        <v>0</v>
      </c>
      <c r="CE235">
        <v>0</v>
      </c>
      <c r="CF235">
        <v>0</v>
      </c>
      <c r="CL235" s="26" t="s">
        <v>170</v>
      </c>
      <c r="EM235">
        <v>0</v>
      </c>
      <c r="EN235">
        <v>0</v>
      </c>
      <c r="EO235">
        <v>0</v>
      </c>
      <c r="EP235">
        <v>0</v>
      </c>
      <c r="JO235"/>
      <c r="JP235"/>
      <c r="JS235"/>
      <c r="JT235"/>
      <c r="JV235"/>
      <c r="JZ235"/>
      <c r="KA235"/>
      <c r="KN235" s="278" t="s">
        <v>161</v>
      </c>
      <c r="MI235">
        <v>0</v>
      </c>
      <c r="MJ235">
        <v>0</v>
      </c>
      <c r="MK235">
        <v>0</v>
      </c>
      <c r="ML235">
        <v>0</v>
      </c>
    </row>
    <row r="236" spans="2:350">
      <c r="B236" s="27">
        <f t="shared" si="94"/>
        <v>8.2631657355679705E-2</v>
      </c>
      <c r="C236" s="27">
        <f t="shared" si="95"/>
        <v>0.15488491620111733</v>
      </c>
      <c r="D236" s="1">
        <f t="shared" si="96"/>
        <v>154024.44444444444</v>
      </c>
      <c r="E236" s="382">
        <v>52026</v>
      </c>
      <c r="F236" s="383">
        <v>2910</v>
      </c>
      <c r="G236" s="384">
        <v>27</v>
      </c>
      <c r="H236" s="383">
        <v>26850000</v>
      </c>
      <c r="I236" s="383">
        <v>6981000</v>
      </c>
      <c r="J236" s="383">
        <v>2640000</v>
      </c>
      <c r="K236" s="383">
        <v>0</v>
      </c>
      <c r="L236" s="385">
        <v>0</v>
      </c>
      <c r="M236" s="383">
        <v>9621000</v>
      </c>
      <c r="N236" s="383">
        <v>2218660</v>
      </c>
      <c r="O236" s="383">
        <v>4158660</v>
      </c>
      <c r="P236" s="383">
        <v>0</v>
      </c>
      <c r="Q236" s="383">
        <v>0</v>
      </c>
      <c r="R236" s="383">
        <v>0</v>
      </c>
      <c r="S236" s="384"/>
      <c r="T236" s="386">
        <v>6377320</v>
      </c>
      <c r="U236" s="387">
        <v>4410000</v>
      </c>
      <c r="V236" s="383">
        <v>0</v>
      </c>
      <c r="W236" s="385">
        <v>775000</v>
      </c>
      <c r="X236" s="385">
        <v>0</v>
      </c>
      <c r="Y236" s="386">
        <v>5185000</v>
      </c>
      <c r="Z236" s="386">
        <v>-1941320.0000000002</v>
      </c>
      <c r="AA236" s="388">
        <v>-0.20177944080656898</v>
      </c>
      <c r="AB236" s="388">
        <v>8.2631657355679705E-2</v>
      </c>
      <c r="AC236" s="383">
        <v>9226.8041237113393</v>
      </c>
      <c r="AD236" s="388">
        <v>0.15488491620111733</v>
      </c>
      <c r="AF236" s="1">
        <f t="shared" si="84"/>
        <v>107.77777777777777</v>
      </c>
      <c r="AG236" s="231"/>
      <c r="BZ236" s="278" t="s">
        <v>170</v>
      </c>
      <c r="CC236">
        <v>0</v>
      </c>
      <c r="CD236">
        <v>0</v>
      </c>
      <c r="CE236">
        <v>0</v>
      </c>
      <c r="CF236">
        <v>0</v>
      </c>
      <c r="CL236" s="26" t="s">
        <v>27</v>
      </c>
      <c r="EM236">
        <v>0</v>
      </c>
      <c r="EN236">
        <v>0</v>
      </c>
      <c r="EO236">
        <v>0</v>
      </c>
      <c r="EP236">
        <v>0</v>
      </c>
      <c r="JO236"/>
      <c r="JP236"/>
      <c r="JS236"/>
      <c r="JT236"/>
      <c r="JV236"/>
      <c r="JZ236"/>
      <c r="KA236"/>
      <c r="KN236" s="278" t="s">
        <v>156</v>
      </c>
      <c r="MI236">
        <v>0</v>
      </c>
      <c r="MJ236">
        <v>0</v>
      </c>
      <c r="MK236">
        <v>0</v>
      </c>
      <c r="ML236">
        <v>0</v>
      </c>
    </row>
    <row r="237" spans="2:350">
      <c r="B237" s="27">
        <f t="shared" si="94"/>
        <v>0.10015079365079366</v>
      </c>
      <c r="C237" s="27">
        <f t="shared" si="95"/>
        <v>0.14186507936507936</v>
      </c>
      <c r="D237" s="1">
        <f t="shared" si="96"/>
        <v>178750</v>
      </c>
      <c r="E237" s="278">
        <v>62026</v>
      </c>
      <c r="F237" s="16">
        <v>2751</v>
      </c>
      <c r="G237">
        <v>20</v>
      </c>
      <c r="H237" s="16">
        <v>25200000</v>
      </c>
      <c r="I237" s="16">
        <v>6552000</v>
      </c>
      <c r="J237" s="16">
        <v>2660000</v>
      </c>
      <c r="K237" s="16">
        <v>0</v>
      </c>
      <c r="L237" s="123">
        <v>0</v>
      </c>
      <c r="M237" s="16">
        <v>9212000</v>
      </c>
      <c r="N237" s="16">
        <v>2523800</v>
      </c>
      <c r="O237" s="16">
        <v>3575000</v>
      </c>
      <c r="P237" s="16">
        <v>0</v>
      </c>
      <c r="Q237" s="16">
        <v>0</v>
      </c>
      <c r="R237" s="16">
        <v>0</v>
      </c>
      <c r="S237"/>
      <c r="T237" s="12">
        <v>6098800</v>
      </c>
      <c r="U237" s="313">
        <v>3535000</v>
      </c>
      <c r="V237" s="16">
        <v>0</v>
      </c>
      <c r="W237" s="123">
        <v>300000</v>
      </c>
      <c r="X237" s="123">
        <v>0</v>
      </c>
      <c r="Y237" s="12">
        <v>3835000</v>
      </c>
      <c r="Z237" s="12">
        <v>-721800</v>
      </c>
      <c r="AA237" s="13">
        <v>-7.8354320451584886E-2</v>
      </c>
      <c r="AB237" s="13">
        <v>0.10015079365079366</v>
      </c>
      <c r="AC237" s="16">
        <v>9160.3053435114507</v>
      </c>
      <c r="AD237" s="13">
        <v>0.14186507936507936</v>
      </c>
      <c r="AF237" s="1">
        <f t="shared" si="84"/>
        <v>137.55000000000001</v>
      </c>
      <c r="AG237" s="231"/>
      <c r="BZ237" s="278" t="s">
        <v>27</v>
      </c>
      <c r="CC237">
        <v>0</v>
      </c>
      <c r="CD237">
        <v>0</v>
      </c>
      <c r="CE237">
        <v>0</v>
      </c>
      <c r="CF237">
        <v>0</v>
      </c>
      <c r="CL237" s="26" t="s">
        <v>33</v>
      </c>
      <c r="EM237">
        <v>0</v>
      </c>
      <c r="EN237">
        <v>0</v>
      </c>
      <c r="EO237">
        <v>0</v>
      </c>
      <c r="EP237">
        <v>0</v>
      </c>
      <c r="JO237"/>
      <c r="JP237"/>
      <c r="JS237"/>
      <c r="JT237"/>
      <c r="JV237"/>
      <c r="JZ237"/>
      <c r="KA237"/>
      <c r="KN237" s="278" t="s">
        <v>162</v>
      </c>
      <c r="MI237">
        <v>0</v>
      </c>
      <c r="MJ237">
        <v>0</v>
      </c>
      <c r="MK237">
        <v>0</v>
      </c>
      <c r="ML237">
        <v>0</v>
      </c>
    </row>
    <row r="238" spans="2:350">
      <c r="B238" s="27">
        <f t="shared" si="94"/>
        <v>8.8631040892193313E-2</v>
      </c>
      <c r="C238" s="27">
        <f t="shared" si="95"/>
        <v>0.13592007434944237</v>
      </c>
      <c r="D238" s="1">
        <f t="shared" si="96"/>
        <v>162500</v>
      </c>
      <c r="E238" s="278">
        <v>72026</v>
      </c>
      <c r="F238" s="16">
        <v>2346</v>
      </c>
      <c r="G238">
        <v>18</v>
      </c>
      <c r="H238" s="16">
        <v>21520000</v>
      </c>
      <c r="I238" s="16">
        <v>5595200</v>
      </c>
      <c r="J238" s="16">
        <v>2350000</v>
      </c>
      <c r="K238" s="16">
        <v>0</v>
      </c>
      <c r="L238" s="123">
        <v>0</v>
      </c>
      <c r="M238" s="16">
        <v>7945200</v>
      </c>
      <c r="N238" s="16">
        <v>1907340</v>
      </c>
      <c r="O238" s="16">
        <v>2925000</v>
      </c>
      <c r="P238" s="16">
        <v>0</v>
      </c>
      <c r="Q238" s="16">
        <v>0</v>
      </c>
      <c r="R238" s="16">
        <v>0</v>
      </c>
      <c r="S238">
        <v>0</v>
      </c>
      <c r="T238" s="12">
        <v>4832340</v>
      </c>
      <c r="U238" s="313">
        <v>2975000</v>
      </c>
      <c r="V238" s="16">
        <v>0</v>
      </c>
      <c r="W238" s="123">
        <v>350000</v>
      </c>
      <c r="X238" s="123">
        <v>0</v>
      </c>
      <c r="Y238" s="12">
        <v>3325000</v>
      </c>
      <c r="Z238" s="12">
        <v>-212140</v>
      </c>
      <c r="AA238" s="13">
        <v>-2.6700397724412225E-2</v>
      </c>
      <c r="AB238" s="13">
        <v>8.8631040892193313E-2</v>
      </c>
      <c r="AC238" s="16">
        <v>9173.0605285592501</v>
      </c>
      <c r="AD238" s="13">
        <v>0.13592007434944237</v>
      </c>
      <c r="AF238" s="1">
        <f t="shared" si="84"/>
        <v>130.33333333333334</v>
      </c>
      <c r="AG238" s="231"/>
      <c r="BZ238" s="278" t="s">
        <v>33</v>
      </c>
      <c r="CC238">
        <v>0</v>
      </c>
      <c r="CD238">
        <v>0</v>
      </c>
      <c r="CE238">
        <v>0</v>
      </c>
      <c r="CF238">
        <v>0</v>
      </c>
      <c r="CL238" s="26" t="s">
        <v>171</v>
      </c>
      <c r="EM238">
        <v>0</v>
      </c>
      <c r="EN238">
        <v>0</v>
      </c>
      <c r="EO238">
        <v>0</v>
      </c>
      <c r="EP238">
        <v>0</v>
      </c>
      <c r="JO238"/>
      <c r="JP238"/>
      <c r="JS238"/>
      <c r="JT238"/>
      <c r="JV238"/>
      <c r="JZ238"/>
      <c r="KA238"/>
      <c r="KN238" s="278" t="s">
        <v>163</v>
      </c>
      <c r="LV238" s="379"/>
      <c r="MI238">
        <v>0</v>
      </c>
      <c r="MJ238">
        <v>0</v>
      </c>
      <c r="MK238">
        <v>0</v>
      </c>
      <c r="ML238">
        <v>0</v>
      </c>
    </row>
    <row r="239" spans="2:350">
      <c r="B239" s="27">
        <f t="shared" si="94"/>
        <v>7.407358037856572E-2</v>
      </c>
      <c r="C239" s="27">
        <f t="shared" si="95"/>
        <v>0.19494801386296987</v>
      </c>
      <c r="D239" s="1">
        <f t="shared" si="96"/>
        <v>153947.36842105264</v>
      </c>
      <c r="E239" s="278">
        <v>82026</v>
      </c>
      <c r="F239" s="16">
        <v>1617</v>
      </c>
      <c r="G239">
        <v>19</v>
      </c>
      <c r="H239" s="16">
        <v>15004000</v>
      </c>
      <c r="I239" s="16">
        <v>3901040</v>
      </c>
      <c r="J239" s="16">
        <v>2115000</v>
      </c>
      <c r="K239" s="16">
        <v>0</v>
      </c>
      <c r="L239" s="123">
        <v>0</v>
      </c>
      <c r="M239" s="16">
        <v>6016040</v>
      </c>
      <c r="N239" s="16">
        <v>1111400</v>
      </c>
      <c r="O239" s="16">
        <v>2925000</v>
      </c>
      <c r="P239" s="16">
        <v>0</v>
      </c>
      <c r="Q239" s="16">
        <v>0</v>
      </c>
      <c r="R239" s="16">
        <v>0</v>
      </c>
      <c r="S239">
        <v>0</v>
      </c>
      <c r="T239" s="12">
        <v>4036400</v>
      </c>
      <c r="U239" s="313">
        <v>2905000</v>
      </c>
      <c r="V239" s="16">
        <v>0</v>
      </c>
      <c r="W239" s="123">
        <v>350000</v>
      </c>
      <c r="X239" s="123">
        <v>0</v>
      </c>
      <c r="Y239" s="12">
        <v>3255000</v>
      </c>
      <c r="Z239" s="12">
        <v>-1275360</v>
      </c>
      <c r="AA239" s="13">
        <v>-0.2119932713213343</v>
      </c>
      <c r="AB239" s="13">
        <v>7.407358037856572E-2</v>
      </c>
      <c r="AC239" s="16">
        <v>9278.9115646258506</v>
      </c>
      <c r="AD239" s="13">
        <v>0.19494801386296987</v>
      </c>
      <c r="AF239" s="1">
        <f t="shared" si="84"/>
        <v>85.10526315789474</v>
      </c>
      <c r="AG239" s="231"/>
      <c r="BZ239" s="278" t="s">
        <v>171</v>
      </c>
      <c r="CC239">
        <v>0</v>
      </c>
      <c r="CD239">
        <v>0</v>
      </c>
      <c r="CE239">
        <v>0</v>
      </c>
      <c r="CF239">
        <v>0</v>
      </c>
      <c r="CL239" s="26" t="s">
        <v>276</v>
      </c>
      <c r="EM239">
        <v>0</v>
      </c>
      <c r="EN239">
        <v>0</v>
      </c>
      <c r="EO239">
        <v>0</v>
      </c>
      <c r="EP239">
        <v>0</v>
      </c>
      <c r="JO239"/>
      <c r="JP239"/>
      <c r="JS239"/>
      <c r="JT239"/>
      <c r="JV239"/>
      <c r="JZ239"/>
      <c r="KA239"/>
      <c r="KN239" s="278" t="s">
        <v>164</v>
      </c>
      <c r="MI239">
        <v>0</v>
      </c>
      <c r="MJ239">
        <v>0</v>
      </c>
      <c r="MK239">
        <v>0</v>
      </c>
      <c r="ML239">
        <v>0</v>
      </c>
    </row>
    <row r="240" spans="2:350">
      <c r="B240" s="27">
        <f t="shared" si="94"/>
        <v>7.2776969445021822E-2</v>
      </c>
      <c r="C240" s="27">
        <f t="shared" si="95"/>
        <v>0.20006235709831635</v>
      </c>
      <c r="D240" s="1">
        <f t="shared" si="96"/>
        <v>148076.92307692306</v>
      </c>
      <c r="E240" s="278">
        <v>92026</v>
      </c>
      <c r="F240" s="16">
        <v>1042</v>
      </c>
      <c r="G240">
        <v>13</v>
      </c>
      <c r="H240" s="16">
        <v>9622000</v>
      </c>
      <c r="I240" s="16">
        <v>2501720</v>
      </c>
      <c r="J240" s="16">
        <v>1395000</v>
      </c>
      <c r="K240" s="16">
        <v>0</v>
      </c>
      <c r="L240" s="123">
        <v>0</v>
      </c>
      <c r="M240" s="16">
        <v>3896720</v>
      </c>
      <c r="N240" s="16">
        <v>700260</v>
      </c>
      <c r="O240" s="16">
        <v>1925000</v>
      </c>
      <c r="P240" s="16">
        <v>0</v>
      </c>
      <c r="Q240" s="16">
        <v>0</v>
      </c>
      <c r="R240" s="16">
        <v>0</v>
      </c>
      <c r="S240">
        <v>0</v>
      </c>
      <c r="T240" s="12">
        <v>2625260</v>
      </c>
      <c r="U240" s="313">
        <v>1960000</v>
      </c>
      <c r="V240" s="16">
        <v>0</v>
      </c>
      <c r="W240" s="123">
        <v>350000</v>
      </c>
      <c r="X240" s="123">
        <v>0</v>
      </c>
      <c r="Y240" s="12">
        <v>2310000</v>
      </c>
      <c r="Z240" s="12">
        <v>-1038540</v>
      </c>
      <c r="AA240" s="13">
        <v>-0.26651645486460407</v>
      </c>
      <c r="AB240" s="13">
        <v>7.2776969445021822E-2</v>
      </c>
      <c r="AC240" s="16">
        <v>9234.1650671785028</v>
      </c>
      <c r="AD240" s="13">
        <v>0.20006235709831635</v>
      </c>
      <c r="AF240" s="1">
        <f t="shared" si="84"/>
        <v>80.15384615384616</v>
      </c>
      <c r="AG240" s="231"/>
      <c r="BZ240" s="278" t="s">
        <v>276</v>
      </c>
      <c r="CC240">
        <v>0</v>
      </c>
      <c r="CD240">
        <v>0</v>
      </c>
      <c r="CE240">
        <v>0</v>
      </c>
      <c r="CF240">
        <v>0</v>
      </c>
      <c r="CL240" s="26" t="s">
        <v>277</v>
      </c>
      <c r="EM240">
        <v>0</v>
      </c>
      <c r="EN240">
        <v>0</v>
      </c>
      <c r="EO240">
        <v>0</v>
      </c>
      <c r="EP240">
        <v>0</v>
      </c>
      <c r="JO240"/>
      <c r="JP240"/>
      <c r="JS240"/>
      <c r="JT240"/>
      <c r="JV240"/>
      <c r="JZ240"/>
      <c r="KA240"/>
      <c r="KN240" s="278" t="s">
        <v>165</v>
      </c>
      <c r="MI240">
        <v>0</v>
      </c>
      <c r="MJ240">
        <v>0</v>
      </c>
      <c r="MK240">
        <v>0</v>
      </c>
      <c r="ML240">
        <v>0</v>
      </c>
    </row>
    <row r="241" spans="2:350">
      <c r="B241" s="27">
        <f t="shared" si="94"/>
        <v>7.1581943879625867E-2</v>
      </c>
      <c r="C241" s="27">
        <f t="shared" si="95"/>
        <v>0.22875152501016674</v>
      </c>
      <c r="D241" s="1">
        <f t="shared" si="96"/>
        <v>160714.28571428571</v>
      </c>
      <c r="E241" s="278">
        <v>102026</v>
      </c>
      <c r="F241" s="16">
        <v>1061</v>
      </c>
      <c r="G241">
        <v>14</v>
      </c>
      <c r="H241" s="16">
        <v>9836000</v>
      </c>
      <c r="I241" s="16">
        <v>2557360</v>
      </c>
      <c r="J241" s="16">
        <v>1605000</v>
      </c>
      <c r="K241" s="16">
        <v>0</v>
      </c>
      <c r="L241" s="123">
        <v>0</v>
      </c>
      <c r="M241" s="16">
        <v>4162360</v>
      </c>
      <c r="N241" s="16">
        <v>704080</v>
      </c>
      <c r="O241" s="16">
        <v>2250000</v>
      </c>
      <c r="P241" s="16">
        <v>0</v>
      </c>
      <c r="Q241" s="16">
        <v>0</v>
      </c>
      <c r="R241" s="16">
        <v>0</v>
      </c>
      <c r="S241">
        <v>0</v>
      </c>
      <c r="T241" s="12">
        <v>2954080</v>
      </c>
      <c r="U241" s="313">
        <v>2310000</v>
      </c>
      <c r="V241" s="16">
        <v>0</v>
      </c>
      <c r="W241" s="123">
        <v>350000</v>
      </c>
      <c r="X241" s="123">
        <v>0</v>
      </c>
      <c r="Y241" s="12">
        <v>2660000</v>
      </c>
      <c r="Z241" s="12">
        <v>-1451720</v>
      </c>
      <c r="AA241" s="13">
        <v>-0.34877329207468838</v>
      </c>
      <c r="AB241" s="13">
        <v>7.1581943879625867E-2</v>
      </c>
      <c r="AC241" s="16">
        <v>9270.4995287464662</v>
      </c>
      <c r="AD241" s="13">
        <v>0.22875152501016674</v>
      </c>
      <c r="AF241" s="1">
        <f t="shared" si="84"/>
        <v>75.785714285714292</v>
      </c>
      <c r="AG241" s="231"/>
      <c r="BZ241" s="278" t="s">
        <v>277</v>
      </c>
      <c r="CC241">
        <v>0</v>
      </c>
      <c r="CD241">
        <v>0</v>
      </c>
      <c r="CE241">
        <v>0</v>
      </c>
      <c r="CF241">
        <v>0</v>
      </c>
      <c r="CL241" s="26" t="s">
        <v>199</v>
      </c>
      <c r="EM241">
        <v>0</v>
      </c>
      <c r="EN241">
        <v>0</v>
      </c>
      <c r="EO241">
        <v>0</v>
      </c>
      <c r="EP241">
        <v>0</v>
      </c>
      <c r="JO241"/>
      <c r="JP241"/>
      <c r="JS241"/>
      <c r="JT241"/>
      <c r="JV241"/>
      <c r="JZ241"/>
      <c r="KA241"/>
      <c r="KN241" s="278" t="s">
        <v>36</v>
      </c>
      <c r="MI241">
        <v>0</v>
      </c>
      <c r="MJ241">
        <v>0</v>
      </c>
      <c r="MK241">
        <v>0</v>
      </c>
      <c r="ML241">
        <v>0</v>
      </c>
    </row>
    <row r="242" spans="2:350">
      <c r="B242" s="27">
        <f t="shared" si="94"/>
        <v>7.0024150422632395E-2</v>
      </c>
      <c r="C242" s="27">
        <f t="shared" si="95"/>
        <v>0.17681559427289978</v>
      </c>
      <c r="D242" s="1">
        <f t="shared" si="96"/>
        <v>157692.30769230769</v>
      </c>
      <c r="E242" s="278">
        <v>112026</v>
      </c>
      <c r="F242" s="16">
        <v>1234</v>
      </c>
      <c r="G242">
        <v>13</v>
      </c>
      <c r="H242" s="16">
        <v>11594000</v>
      </c>
      <c r="I242" s="16">
        <v>3014440</v>
      </c>
      <c r="J242" s="16">
        <v>1580000</v>
      </c>
      <c r="K242" s="16">
        <v>0</v>
      </c>
      <c r="L242" s="123">
        <v>0</v>
      </c>
      <c r="M242" s="16">
        <v>4594440</v>
      </c>
      <c r="N242" s="16">
        <v>811860</v>
      </c>
      <c r="O242" s="16">
        <v>2050000</v>
      </c>
      <c r="P242" s="16">
        <v>0</v>
      </c>
      <c r="Q242" s="16">
        <v>0</v>
      </c>
      <c r="R242" s="16">
        <v>0</v>
      </c>
      <c r="S242">
        <v>0</v>
      </c>
      <c r="T242" s="12">
        <v>2861860</v>
      </c>
      <c r="U242" s="313">
        <v>2205000</v>
      </c>
      <c r="V242" s="16">
        <v>0</v>
      </c>
      <c r="W242" s="123">
        <v>350000</v>
      </c>
      <c r="X242" s="123">
        <v>0</v>
      </c>
      <c r="Y242" s="12">
        <v>2555000</v>
      </c>
      <c r="Z242" s="12">
        <v>-822420</v>
      </c>
      <c r="AA242" s="13">
        <v>-0.17900331705278555</v>
      </c>
      <c r="AB242" s="13">
        <v>7.0024150422632395E-2</v>
      </c>
      <c r="AC242" s="16">
        <v>9395.4619124797409</v>
      </c>
      <c r="AD242" s="13">
        <v>0.17681559427289978</v>
      </c>
      <c r="AF242" s="1">
        <f t="shared" si="84"/>
        <v>94.92307692307692</v>
      </c>
      <c r="AG242" s="231"/>
      <c r="BZ242" s="278" t="s">
        <v>199</v>
      </c>
      <c r="CC242">
        <v>0</v>
      </c>
      <c r="CD242">
        <v>0</v>
      </c>
      <c r="CE242">
        <v>0</v>
      </c>
      <c r="CF242">
        <v>0</v>
      </c>
      <c r="CL242" s="26" t="s">
        <v>196</v>
      </c>
      <c r="EM242">
        <v>0</v>
      </c>
      <c r="EN242">
        <v>0</v>
      </c>
      <c r="EO242">
        <v>0</v>
      </c>
      <c r="EP242">
        <v>0</v>
      </c>
      <c r="JO242"/>
      <c r="JP242"/>
      <c r="JS242"/>
      <c r="JT242"/>
      <c r="JV242"/>
      <c r="JZ242"/>
      <c r="KA242"/>
      <c r="KN242" s="278" t="s">
        <v>166</v>
      </c>
      <c r="MI242">
        <v>0</v>
      </c>
      <c r="MJ242">
        <v>0</v>
      </c>
      <c r="MK242">
        <v>0</v>
      </c>
      <c r="ML242">
        <v>0</v>
      </c>
    </row>
    <row r="243" spans="2:350">
      <c r="B243" s="27">
        <f t="shared" si="94"/>
        <v>8.6894182317911128E-2</v>
      </c>
      <c r="C243" s="27">
        <f t="shared" si="95"/>
        <v>0.15078637959993893</v>
      </c>
      <c r="D243" s="1">
        <f t="shared" si="96"/>
        <v>131666.66666666666</v>
      </c>
      <c r="E243" s="278">
        <v>122026</v>
      </c>
      <c r="F243" s="16">
        <v>1416</v>
      </c>
      <c r="G243">
        <v>15</v>
      </c>
      <c r="H243" s="16">
        <v>13098000</v>
      </c>
      <c r="I243" s="16">
        <v>3405480</v>
      </c>
      <c r="J243" s="16">
        <v>1195000</v>
      </c>
      <c r="K243" s="16">
        <v>0</v>
      </c>
      <c r="L243" s="123">
        <v>0</v>
      </c>
      <c r="M243" s="16">
        <v>4600480</v>
      </c>
      <c r="N243" s="16">
        <v>1138140</v>
      </c>
      <c r="O243" s="16">
        <v>1975000</v>
      </c>
      <c r="P243" s="16">
        <v>0</v>
      </c>
      <c r="Q243" s="16">
        <v>0</v>
      </c>
      <c r="R243" s="16">
        <v>0</v>
      </c>
      <c r="S243">
        <v>0</v>
      </c>
      <c r="T243" s="12">
        <v>3113140</v>
      </c>
      <c r="U243" s="313">
        <v>1855000</v>
      </c>
      <c r="V243" s="16">
        <v>0</v>
      </c>
      <c r="W243" s="123">
        <v>200000</v>
      </c>
      <c r="X243" s="123">
        <v>0</v>
      </c>
      <c r="Y243" s="12">
        <v>2055000</v>
      </c>
      <c r="Z243" s="12">
        <v>-567660</v>
      </c>
      <c r="AA243" s="13">
        <v>-0.12339147219420582</v>
      </c>
      <c r="AB243" s="13">
        <v>8.6894182317911128E-2</v>
      </c>
      <c r="AC243" s="16">
        <v>9250</v>
      </c>
      <c r="AD243" s="13">
        <v>0.15078637959993893</v>
      </c>
      <c r="AF243" s="1">
        <f t="shared" si="84"/>
        <v>94.4</v>
      </c>
      <c r="AG243" s="231"/>
      <c r="BZ243" s="278" t="s">
        <v>196</v>
      </c>
      <c r="CC243">
        <v>0</v>
      </c>
      <c r="CD243">
        <v>0</v>
      </c>
      <c r="CE243">
        <v>0</v>
      </c>
      <c r="CF243">
        <v>0</v>
      </c>
      <c r="CL243" s="26" t="s">
        <v>29</v>
      </c>
      <c r="EM243">
        <v>0</v>
      </c>
      <c r="EN243">
        <v>0</v>
      </c>
      <c r="EO243">
        <v>0</v>
      </c>
      <c r="EP243">
        <v>0</v>
      </c>
      <c r="JO243"/>
      <c r="JP243"/>
      <c r="JS243"/>
      <c r="JT243"/>
      <c r="JV243"/>
      <c r="JZ243"/>
      <c r="KA243"/>
      <c r="KN243" s="26" t="s">
        <v>176</v>
      </c>
      <c r="MI243">
        <v>0</v>
      </c>
      <c r="MJ243">
        <v>0</v>
      </c>
      <c r="MK243">
        <v>0</v>
      </c>
      <c r="ML243">
        <v>0</v>
      </c>
    </row>
    <row r="244" spans="2:350">
      <c r="B244" s="27">
        <f t="shared" si="94"/>
        <v>0.10086206896551723</v>
      </c>
      <c r="C244" s="27">
        <f t="shared" si="95"/>
        <v>0.10852286622646123</v>
      </c>
      <c r="D244" s="1">
        <f t="shared" si="96"/>
        <v>136538.46153846153</v>
      </c>
      <c r="E244" s="278">
        <v>132026</v>
      </c>
      <c r="F244" s="16">
        <v>1762</v>
      </c>
      <c r="G244">
        <v>13</v>
      </c>
      <c r="H244" s="16">
        <v>16356000</v>
      </c>
      <c r="I244" s="16">
        <v>4252560</v>
      </c>
      <c r="J244" s="16">
        <v>935000</v>
      </c>
      <c r="K244" s="16">
        <v>0</v>
      </c>
      <c r="L244" s="123">
        <v>0</v>
      </c>
      <c r="M244" s="16">
        <v>5187560</v>
      </c>
      <c r="N244" s="16">
        <v>1649700</v>
      </c>
      <c r="O244" s="16">
        <v>1775000</v>
      </c>
      <c r="P244" s="16">
        <v>0</v>
      </c>
      <c r="Q244" s="16">
        <v>0</v>
      </c>
      <c r="R244" s="16">
        <v>0</v>
      </c>
      <c r="S244">
        <v>0</v>
      </c>
      <c r="T244" s="12">
        <v>3424700</v>
      </c>
      <c r="U244" s="313">
        <v>1645000</v>
      </c>
      <c r="V244" s="16">
        <v>0</v>
      </c>
      <c r="W244" s="123">
        <v>350000</v>
      </c>
      <c r="X244" s="123">
        <v>0</v>
      </c>
      <c r="Y244" s="12">
        <v>1995000</v>
      </c>
      <c r="Z244" s="12">
        <v>-232140</v>
      </c>
      <c r="AA244" s="13">
        <v>-4.4749361935090874E-2</v>
      </c>
      <c r="AB244" s="13">
        <v>0.10086206896551723</v>
      </c>
      <c r="AC244" s="16">
        <v>9282.6333711691259</v>
      </c>
      <c r="AD244" s="13">
        <v>0.10852286622646123</v>
      </c>
      <c r="AF244" s="1">
        <f t="shared" si="84"/>
        <v>135.53846153846155</v>
      </c>
      <c r="AG244" s="231"/>
      <c r="BZ244" s="278" t="s">
        <v>29</v>
      </c>
      <c r="CC244">
        <v>0</v>
      </c>
      <c r="CD244">
        <v>0</v>
      </c>
      <c r="CE244">
        <v>0</v>
      </c>
      <c r="CF244">
        <v>0</v>
      </c>
      <c r="CL244" s="26" t="s">
        <v>23</v>
      </c>
      <c r="DZ244">
        <v>243</v>
      </c>
      <c r="EA244">
        <v>252</v>
      </c>
      <c r="EB244">
        <v>243</v>
      </c>
      <c r="EC244">
        <v>246</v>
      </c>
      <c r="ED244">
        <v>239</v>
      </c>
      <c r="EM244">
        <v>0</v>
      </c>
      <c r="EN244">
        <v>0</v>
      </c>
      <c r="EO244">
        <v>0</v>
      </c>
      <c r="EP244">
        <v>252</v>
      </c>
      <c r="JO244"/>
      <c r="JP244"/>
      <c r="JS244"/>
      <c r="JT244"/>
      <c r="JV244"/>
      <c r="JZ244"/>
      <c r="KA244"/>
      <c r="KN244" s="278" t="s">
        <v>21</v>
      </c>
      <c r="MI244">
        <v>0</v>
      </c>
      <c r="MJ244">
        <v>0</v>
      </c>
      <c r="MK244">
        <v>0</v>
      </c>
      <c r="ML244">
        <v>0</v>
      </c>
    </row>
    <row r="245" spans="2:350">
      <c r="B245" s="27">
        <f t="shared" si="94"/>
        <v>0.10861620795107034</v>
      </c>
      <c r="C245" s="27">
        <f t="shared" si="95"/>
        <v>0.10153860856269113</v>
      </c>
      <c r="D245" s="1">
        <f t="shared" si="96"/>
        <v>193181.81818181818</v>
      </c>
      <c r="E245" s="341">
        <v>142026</v>
      </c>
      <c r="F245" s="81">
        <v>2250</v>
      </c>
      <c r="G245" s="91">
        <v>11</v>
      </c>
      <c r="H245" s="81">
        <v>20928000</v>
      </c>
      <c r="I245" s="81">
        <v>5441280</v>
      </c>
      <c r="J245" s="81">
        <v>1255000</v>
      </c>
      <c r="K245" s="81">
        <v>0</v>
      </c>
      <c r="L245" s="310">
        <v>0</v>
      </c>
      <c r="M245" s="81">
        <v>6696280</v>
      </c>
      <c r="N245" s="81">
        <v>2273120</v>
      </c>
      <c r="O245" s="81">
        <v>2125000</v>
      </c>
      <c r="P245" s="81">
        <v>0</v>
      </c>
      <c r="Q245" s="81">
        <v>0</v>
      </c>
      <c r="R245" s="81">
        <v>0</v>
      </c>
      <c r="S245" s="91">
        <v>0</v>
      </c>
      <c r="T245" s="246">
        <v>4398120</v>
      </c>
      <c r="U245" s="322">
        <v>1855000</v>
      </c>
      <c r="V245" s="81">
        <v>0</v>
      </c>
      <c r="W245" s="310">
        <v>250000</v>
      </c>
      <c r="X245" s="310">
        <v>0</v>
      </c>
      <c r="Y245" s="246">
        <v>2105000</v>
      </c>
      <c r="Z245" s="246">
        <v>193160</v>
      </c>
      <c r="AA245" s="244">
        <v>2.8845866660294969E-2</v>
      </c>
      <c r="AB245" s="244">
        <v>0.10861620795107034</v>
      </c>
      <c r="AC245" s="81">
        <v>9301.3333333333339</v>
      </c>
      <c r="AD245" s="244">
        <v>0.10153860856269113</v>
      </c>
      <c r="AF245" s="1">
        <f t="shared" si="84"/>
        <v>204.54545454545453</v>
      </c>
      <c r="AG245" s="231"/>
      <c r="BZ245" s="278" t="s">
        <v>23</v>
      </c>
      <c r="CC245">
        <v>0</v>
      </c>
      <c r="CD245">
        <v>0</v>
      </c>
      <c r="CE245">
        <v>0</v>
      </c>
      <c r="CF245">
        <v>0</v>
      </c>
      <c r="CL245" s="26" t="s">
        <v>172</v>
      </c>
      <c r="DZ245">
        <v>23</v>
      </c>
      <c r="EA245">
        <v>21</v>
      </c>
      <c r="EB245">
        <v>22</v>
      </c>
      <c r="EC245">
        <v>20</v>
      </c>
      <c r="ED245">
        <v>18</v>
      </c>
      <c r="EM245">
        <v>0</v>
      </c>
      <c r="EN245">
        <v>0</v>
      </c>
      <c r="EO245">
        <v>0</v>
      </c>
      <c r="EP245">
        <v>23</v>
      </c>
      <c r="JO245"/>
      <c r="JP245"/>
      <c r="JS245"/>
      <c r="JT245"/>
      <c r="JV245"/>
      <c r="JZ245"/>
      <c r="KA245"/>
      <c r="KN245" s="278" t="s">
        <v>158</v>
      </c>
      <c r="MI245">
        <v>0</v>
      </c>
      <c r="MJ245">
        <v>0</v>
      </c>
      <c r="MK245">
        <v>0</v>
      </c>
      <c r="ML245">
        <v>0</v>
      </c>
    </row>
    <row r="246" spans="2:350">
      <c r="B246" s="27">
        <f t="shared" si="94"/>
        <v>1.3519064390455464</v>
      </c>
      <c r="C246" s="27">
        <f t="shared" si="95"/>
        <v>0.70540830283538491</v>
      </c>
      <c r="D246" s="1">
        <f t="shared" si="96"/>
        <v>-1.2816901408450703</v>
      </c>
      <c r="E246" s="371" t="s">
        <v>181</v>
      </c>
      <c r="F246" s="85">
        <v>0.27695800227014755</v>
      </c>
      <c r="G246" s="85">
        <v>-0.15384615384615385</v>
      </c>
      <c r="H246" s="85">
        <v>0.27953044754218637</v>
      </c>
      <c r="I246" s="85">
        <v>0.27953044754218637</v>
      </c>
      <c r="J246" s="85">
        <v>0.34224598930481281</v>
      </c>
      <c r="K246" s="85">
        <v>0</v>
      </c>
      <c r="L246" s="85">
        <v>0</v>
      </c>
      <c r="M246" s="85">
        <v>0.29083422649569357</v>
      </c>
      <c r="N246" s="85">
        <v>0.37789901194156511</v>
      </c>
      <c r="O246" s="85">
        <v>0.19718309859154928</v>
      </c>
      <c r="P246" s="85">
        <v>0</v>
      </c>
      <c r="Q246" s="85">
        <v>0</v>
      </c>
      <c r="R246" s="85">
        <v>0</v>
      </c>
      <c r="S246" s="85">
        <v>0</v>
      </c>
      <c r="T246" s="85">
        <v>0.28423511548456798</v>
      </c>
      <c r="U246" s="372">
        <v>0.1276595744680851</v>
      </c>
      <c r="V246" s="85">
        <v>0</v>
      </c>
      <c r="W246" s="85">
        <v>-0.2857142857142857</v>
      </c>
      <c r="X246" s="85">
        <v>0</v>
      </c>
      <c r="Y246" s="85">
        <v>5.5137844611528819E-2</v>
      </c>
      <c r="Z246" s="85">
        <v>-1.8320840871887654</v>
      </c>
      <c r="AA246" s="85">
        <v>-6.2994101803760474</v>
      </c>
      <c r="AB246" s="85">
        <v>1.3519064390455464</v>
      </c>
      <c r="AC246" s="85">
        <v>1.0092882142814188</v>
      </c>
      <c r="AD246" s="85">
        <v>0.70540830283538491</v>
      </c>
      <c r="AF246" s="1">
        <f t="shared" si="84"/>
        <v>-1.8002270147559589</v>
      </c>
      <c r="AG246" s="231"/>
      <c r="BZ246" s="278" t="s">
        <v>172</v>
      </c>
      <c r="CC246">
        <v>0</v>
      </c>
      <c r="CD246">
        <v>0</v>
      </c>
      <c r="CE246">
        <v>0</v>
      </c>
      <c r="CF246">
        <v>0</v>
      </c>
      <c r="CL246" s="26" t="s">
        <v>205</v>
      </c>
      <c r="EA246">
        <v>1</v>
      </c>
      <c r="EB246">
        <v>1</v>
      </c>
      <c r="EC246">
        <v>1</v>
      </c>
      <c r="ED246">
        <v>4</v>
      </c>
      <c r="EM246">
        <v>0</v>
      </c>
      <c r="EN246">
        <v>0</v>
      </c>
      <c r="EO246">
        <v>0</v>
      </c>
      <c r="EP246">
        <v>4</v>
      </c>
      <c r="JO246"/>
      <c r="JP246"/>
      <c r="JS246"/>
      <c r="JT246"/>
      <c r="JV246"/>
      <c r="JZ246"/>
      <c r="KA246"/>
      <c r="KN246" s="278" t="s">
        <v>159</v>
      </c>
      <c r="MI246">
        <v>0</v>
      </c>
      <c r="MJ246">
        <v>0</v>
      </c>
      <c r="MK246">
        <v>0</v>
      </c>
      <c r="ML246">
        <v>0</v>
      </c>
    </row>
    <row r="247" spans="2:350">
      <c r="B247" s="27">
        <f t="shared" si="94"/>
        <v>9.449596996798057E-2</v>
      </c>
      <c r="C247" s="27">
        <f t="shared" si="95"/>
        <v>0.11317213205255604</v>
      </c>
      <c r="D247" s="1">
        <f t="shared" si="96"/>
        <v>205000</v>
      </c>
      <c r="E247" s="341">
        <v>152026</v>
      </c>
      <c r="F247" s="81">
        <v>1999</v>
      </c>
      <c r="G247" s="91">
        <v>10</v>
      </c>
      <c r="H247" s="81">
        <v>18114000</v>
      </c>
      <c r="I247" s="81">
        <v>4709640</v>
      </c>
      <c r="J247" s="81">
        <v>1365000</v>
      </c>
      <c r="K247" s="81">
        <v>0</v>
      </c>
      <c r="L247" s="310">
        <v>0</v>
      </c>
      <c r="M247" s="81">
        <v>6074640</v>
      </c>
      <c r="N247" s="81">
        <v>1711700</v>
      </c>
      <c r="O247" s="81">
        <v>2050000</v>
      </c>
      <c r="P247" s="81">
        <v>0</v>
      </c>
      <c r="Q247" s="81">
        <v>0</v>
      </c>
      <c r="R247" s="81">
        <v>0</v>
      </c>
      <c r="S247" s="91">
        <v>0</v>
      </c>
      <c r="T247" s="246">
        <v>3761700</v>
      </c>
      <c r="U247" s="322">
        <v>1820000</v>
      </c>
      <c r="V247" s="81">
        <v>0</v>
      </c>
      <c r="W247" s="310">
        <v>350000</v>
      </c>
      <c r="X247" s="310">
        <v>0</v>
      </c>
      <c r="Y247" s="246">
        <v>2170000</v>
      </c>
      <c r="Z247" s="246">
        <v>142940</v>
      </c>
      <c r="AA247" s="244">
        <v>2.3530612513663361E-2</v>
      </c>
      <c r="AB247" s="244">
        <v>9.449596996798057E-2</v>
      </c>
      <c r="AC247" s="81">
        <v>9061.5307653826912</v>
      </c>
      <c r="AD247" s="244">
        <v>0.11317213205255604</v>
      </c>
      <c r="AF247" s="1">
        <f t="shared" si="84"/>
        <v>199.9</v>
      </c>
      <c r="AG247" s="231"/>
      <c r="BZ247" s="278" t="s">
        <v>205</v>
      </c>
      <c r="CC247">
        <v>0</v>
      </c>
      <c r="CD247">
        <v>0</v>
      </c>
      <c r="CE247">
        <v>0</v>
      </c>
      <c r="CF247">
        <v>0</v>
      </c>
      <c r="CL247" s="26" t="s">
        <v>173</v>
      </c>
      <c r="DZ247">
        <v>21</v>
      </c>
      <c r="EA247">
        <v>19</v>
      </c>
      <c r="EB247">
        <v>16</v>
      </c>
      <c r="EC247">
        <v>18</v>
      </c>
      <c r="ED247">
        <v>14</v>
      </c>
      <c r="EM247">
        <v>0</v>
      </c>
      <c r="EN247">
        <v>0</v>
      </c>
      <c r="EO247">
        <v>0</v>
      </c>
      <c r="EP247">
        <v>21</v>
      </c>
      <c r="JO247"/>
      <c r="JP247"/>
      <c r="JS247"/>
      <c r="JT247"/>
      <c r="JV247"/>
      <c r="JZ247"/>
      <c r="KA247"/>
      <c r="KN247" s="278" t="s">
        <v>160</v>
      </c>
      <c r="MI247">
        <v>0</v>
      </c>
      <c r="MJ247">
        <v>0</v>
      </c>
      <c r="MK247">
        <v>0</v>
      </c>
      <c r="ML247">
        <v>0</v>
      </c>
    </row>
    <row r="248" spans="2:350">
      <c r="B248" s="27">
        <f t="shared" si="94"/>
        <v>1.8368307883902992</v>
      </c>
      <c r="C248" s="27">
        <f t="shared" si="95"/>
        <v>0.26248588987833943</v>
      </c>
      <c r="D248" s="1">
        <f t="shared" si="96"/>
        <v>0.38823529411764707</v>
      </c>
      <c r="E248" s="390" t="s">
        <v>182</v>
      </c>
      <c r="F248" s="349">
        <v>-0.11155555555555556</v>
      </c>
      <c r="G248" s="349">
        <v>-9.0909090909090912E-2</v>
      </c>
      <c r="H248" s="349">
        <v>-0.13446100917431192</v>
      </c>
      <c r="I248" s="349">
        <v>-0.13446100917431192</v>
      </c>
      <c r="J248" s="349">
        <v>8.7649402390438252E-2</v>
      </c>
      <c r="K248" s="349">
        <v>0</v>
      </c>
      <c r="L248" s="349">
        <v>0</v>
      </c>
      <c r="M248" s="349">
        <v>-9.2833633002204208E-2</v>
      </c>
      <c r="N248" s="349">
        <v>-0.24698212148940663</v>
      </c>
      <c r="O248" s="349">
        <v>-3.5294117647058823E-2</v>
      </c>
      <c r="P248" s="349">
        <v>0</v>
      </c>
      <c r="Q248" s="349">
        <v>0</v>
      </c>
      <c r="R248" s="349">
        <v>0</v>
      </c>
      <c r="S248" s="349">
        <v>0</v>
      </c>
      <c r="T248" s="349">
        <v>-0.14470273662383018</v>
      </c>
      <c r="U248" s="391">
        <v>-1.8867924528301886E-2</v>
      </c>
      <c r="V248" s="349">
        <v>0</v>
      </c>
      <c r="W248" s="349">
        <v>0.4</v>
      </c>
      <c r="X248" s="349">
        <v>0</v>
      </c>
      <c r="Y248" s="349">
        <v>3.0878859857482184E-2</v>
      </c>
      <c r="Z248" s="349">
        <v>-0.25999171671153448</v>
      </c>
      <c r="AA248" s="349">
        <v>2.8006198648431795</v>
      </c>
      <c r="AB248" s="349">
        <v>1.8368307883902992</v>
      </c>
      <c r="AC248" s="349">
        <v>1.2053277714828756</v>
      </c>
      <c r="AD248" s="349">
        <v>0.26248588987833943</v>
      </c>
      <c r="AF248" s="1">
        <f t="shared" si="84"/>
        <v>1.227111111111111</v>
      </c>
      <c r="AG248" s="231"/>
      <c r="BZ248" s="278" t="s">
        <v>173</v>
      </c>
      <c r="CC248">
        <v>0</v>
      </c>
      <c r="CD248">
        <v>0</v>
      </c>
      <c r="CE248">
        <v>0</v>
      </c>
      <c r="CF248">
        <v>0</v>
      </c>
      <c r="CL248" s="26" t="s">
        <v>174</v>
      </c>
      <c r="DZ248">
        <v>44</v>
      </c>
      <c r="EA248">
        <v>37</v>
      </c>
      <c r="EB248">
        <v>31</v>
      </c>
      <c r="EC248">
        <v>32</v>
      </c>
      <c r="ED248">
        <v>28</v>
      </c>
      <c r="EM248">
        <v>0</v>
      </c>
      <c r="EN248">
        <v>0</v>
      </c>
      <c r="EO248">
        <v>0</v>
      </c>
      <c r="EP248">
        <v>44</v>
      </c>
      <c r="JO248"/>
      <c r="JP248"/>
      <c r="JS248"/>
      <c r="JT248"/>
      <c r="JV248"/>
      <c r="JZ248"/>
      <c r="KA248"/>
      <c r="KN248" s="278" t="s">
        <v>161</v>
      </c>
      <c r="MI248">
        <v>0</v>
      </c>
      <c r="MJ248">
        <v>0</v>
      </c>
      <c r="MK248">
        <v>0</v>
      </c>
      <c r="ML248">
        <v>0</v>
      </c>
    </row>
    <row r="249" spans="2:350">
      <c r="B249" s="27">
        <f t="shared" si="94"/>
        <v>8.7670761772060873E-2</v>
      </c>
      <c r="C249" s="27">
        <f t="shared" si="95"/>
        <v>0.11847629581366068</v>
      </c>
      <c r="D249" s="1">
        <f t="shared" si="96"/>
        <v>8096568.0042975433</v>
      </c>
      <c r="E249" s="26" t="s">
        <v>173</v>
      </c>
      <c r="F249" s="16">
        <v>215418.3723998513</v>
      </c>
      <c r="G249">
        <v>29</v>
      </c>
      <c r="H249" s="16">
        <v>1981835020.348058</v>
      </c>
      <c r="I249" s="16">
        <v>470515605.54805797</v>
      </c>
      <c r="J249" s="16">
        <v>142205286.21587303</v>
      </c>
      <c r="K249" s="16">
        <v>25539561.000000007</v>
      </c>
      <c r="L249" s="123">
        <v>0</v>
      </c>
      <c r="M249" s="16">
        <v>641735452.2930367</v>
      </c>
      <c r="N249" s="16">
        <v>173748985.94046199</v>
      </c>
      <c r="O249" s="16">
        <v>234800472.12462875</v>
      </c>
      <c r="P249" s="16">
        <v>7615768</v>
      </c>
      <c r="Q249" s="16">
        <v>0</v>
      </c>
      <c r="R249" s="16">
        <v>400000</v>
      </c>
      <c r="S249">
        <v>0</v>
      </c>
      <c r="T249" s="12">
        <v>416565225.61216778</v>
      </c>
      <c r="U249" s="313">
        <v>186094329.1791209</v>
      </c>
      <c r="V249" s="16">
        <v>0</v>
      </c>
      <c r="W249" s="123">
        <v>12940000</v>
      </c>
      <c r="X249" s="123">
        <v>250000</v>
      </c>
      <c r="Y249" s="12">
        <v>199284329.1791209</v>
      </c>
      <c r="Z249" s="12">
        <v>25885894.239975616</v>
      </c>
      <c r="AA249" s="13">
        <v>4.0337329264700336E-2</v>
      </c>
      <c r="AB249" s="13">
        <v>8.7670761772060873E-2</v>
      </c>
      <c r="AC249" s="16">
        <v>9199.934983583722</v>
      </c>
      <c r="AD249" s="13">
        <v>0.11847629581366068</v>
      </c>
      <c r="AF249" s="1">
        <f t="shared" si="84"/>
        <v>7428.2197379259069</v>
      </c>
      <c r="AG249" s="231"/>
      <c r="BZ249" s="278" t="s">
        <v>174</v>
      </c>
      <c r="CC249">
        <v>0</v>
      </c>
      <c r="CD249">
        <v>0</v>
      </c>
      <c r="CE249">
        <v>0</v>
      </c>
      <c r="CF249">
        <v>0</v>
      </c>
      <c r="CL249" s="26" t="s">
        <v>203</v>
      </c>
      <c r="EM249">
        <v>0</v>
      </c>
      <c r="EN249">
        <v>0</v>
      </c>
      <c r="EO249">
        <v>0</v>
      </c>
      <c r="EP249">
        <v>0</v>
      </c>
      <c r="JO249"/>
      <c r="JP249"/>
      <c r="JS249"/>
      <c r="JT249"/>
      <c r="JV249"/>
      <c r="JZ249"/>
      <c r="KA249"/>
      <c r="KN249" s="278" t="s">
        <v>156</v>
      </c>
      <c r="MI249">
        <v>0</v>
      </c>
      <c r="MJ249">
        <v>0</v>
      </c>
      <c r="MK249">
        <v>0</v>
      </c>
      <c r="ML249">
        <v>0</v>
      </c>
    </row>
    <row r="250" spans="2:350">
      <c r="B250" s="27">
        <f t="shared" si="94"/>
        <v>8.9179138321995449E-2</v>
      </c>
      <c r="C250" s="27">
        <f t="shared" si="95"/>
        <v>9.674981103552531E-2</v>
      </c>
      <c r="D250" s="1">
        <f t="shared" si="96"/>
        <v>152380.95238095237</v>
      </c>
      <c r="E250" s="278">
        <v>1</v>
      </c>
      <c r="F250" s="16">
        <v>2042</v>
      </c>
      <c r="G250">
        <v>12</v>
      </c>
      <c r="H250" s="16">
        <v>18900000</v>
      </c>
      <c r="I250" s="16">
        <v>3969000</v>
      </c>
      <c r="J250" s="16">
        <v>914285.7142857142</v>
      </c>
      <c r="K250" s="16">
        <v>586968.51612903224</v>
      </c>
      <c r="M250" s="16">
        <v>5470254.2304147463</v>
      </c>
      <c r="N250" s="16">
        <v>1685485.7142857141</v>
      </c>
      <c r="O250" s="16">
        <v>1828571.4285714284</v>
      </c>
      <c r="P250" s="16"/>
      <c r="Q250" s="16"/>
      <c r="R250" s="16"/>
      <c r="S250"/>
      <c r="T250" s="12">
        <v>3514057.1428571427</v>
      </c>
      <c r="U250" s="313">
        <v>1217828.5714285714</v>
      </c>
      <c r="V250" s="16"/>
      <c r="W250" s="123"/>
      <c r="X250" s="123"/>
      <c r="Y250" s="12">
        <v>1217828.5714285714</v>
      </c>
      <c r="Z250" s="12">
        <v>738368.51612903178</v>
      </c>
      <c r="AA250" s="13">
        <v>0.13497883005577418</v>
      </c>
      <c r="AB250" s="13">
        <v>8.9179138321995449E-2</v>
      </c>
      <c r="AC250" s="16">
        <v>9255.631733594515</v>
      </c>
      <c r="AD250" s="13">
        <v>9.674981103552531E-2</v>
      </c>
      <c r="AF250" s="1">
        <f t="shared" si="84"/>
        <v>170.16666666666666</v>
      </c>
      <c r="AG250" s="231"/>
      <c r="BZ250" s="278" t="s">
        <v>203</v>
      </c>
      <c r="CC250">
        <v>0</v>
      </c>
      <c r="CD250">
        <v>0</v>
      </c>
      <c r="CE250">
        <v>0</v>
      </c>
      <c r="CF250">
        <v>0</v>
      </c>
      <c r="CL250" s="26" t="s">
        <v>175</v>
      </c>
      <c r="EM250">
        <v>0</v>
      </c>
      <c r="EN250">
        <v>0</v>
      </c>
      <c r="EO250">
        <v>0</v>
      </c>
      <c r="EP250">
        <v>0</v>
      </c>
      <c r="JO250"/>
      <c r="JP250"/>
      <c r="JS250"/>
      <c r="JT250"/>
      <c r="JV250"/>
      <c r="JZ250"/>
      <c r="KA250"/>
      <c r="KN250" s="278" t="s">
        <v>162</v>
      </c>
      <c r="MI250">
        <v>0</v>
      </c>
      <c r="MJ250">
        <v>0</v>
      </c>
      <c r="MK250">
        <v>0</v>
      </c>
      <c r="ML250">
        <v>0</v>
      </c>
    </row>
    <row r="251" spans="2:350">
      <c r="B251" s="27">
        <f t="shared" si="94"/>
        <v>8.6782226312829169E-2</v>
      </c>
      <c r="C251" s="27">
        <f t="shared" si="95"/>
        <v>0.10226517359513218</v>
      </c>
      <c r="D251" s="1">
        <f t="shared" si="96"/>
        <v>266666.66666666669</v>
      </c>
      <c r="E251" s="278">
        <v>2</v>
      </c>
      <c r="F251" s="16">
        <v>4243</v>
      </c>
      <c r="G251">
        <v>15</v>
      </c>
      <c r="H251" s="16">
        <v>39114000</v>
      </c>
      <c r="I251" s="16">
        <v>8213940</v>
      </c>
      <c r="J251" s="16">
        <v>2000000</v>
      </c>
      <c r="K251" s="16">
        <v>1027194.9032258064</v>
      </c>
      <c r="M251" s="16">
        <v>11241134.903225806</v>
      </c>
      <c r="N251" s="16">
        <v>3394400</v>
      </c>
      <c r="O251" s="16">
        <v>4000000</v>
      </c>
      <c r="P251" s="16">
        <v>0</v>
      </c>
      <c r="Q251" s="16"/>
      <c r="R251" s="16">
        <v>0</v>
      </c>
      <c r="S251"/>
      <c r="T251" s="12">
        <v>7394400</v>
      </c>
      <c r="U251" s="313">
        <v>2664000</v>
      </c>
      <c r="V251" s="16"/>
      <c r="W251" s="123">
        <v>0</v>
      </c>
      <c r="X251" s="123"/>
      <c r="Y251" s="12">
        <v>2664000</v>
      </c>
      <c r="Z251" s="12">
        <v>1182734.9032258056</v>
      </c>
      <c r="AA251" s="13">
        <v>0.10521490164542041</v>
      </c>
      <c r="AB251" s="13">
        <v>8.6782226312829169E-2</v>
      </c>
      <c r="AC251" s="16">
        <v>9218.4774923403256</v>
      </c>
      <c r="AD251" s="13">
        <v>0.10226517359513218</v>
      </c>
      <c r="AF251" s="1">
        <f t="shared" si="84"/>
        <v>282.86666666666667</v>
      </c>
      <c r="AG251" s="231"/>
      <c r="BZ251" s="278" t="s">
        <v>175</v>
      </c>
      <c r="CC251">
        <v>0</v>
      </c>
      <c r="CD251">
        <v>0</v>
      </c>
      <c r="CE251">
        <v>0</v>
      </c>
      <c r="CF251">
        <v>0</v>
      </c>
      <c r="CL251" s="26" t="s">
        <v>200</v>
      </c>
      <c r="EM251">
        <v>0</v>
      </c>
      <c r="EN251">
        <v>0</v>
      </c>
      <c r="EO251">
        <v>0</v>
      </c>
      <c r="EP251">
        <v>0</v>
      </c>
      <c r="JO251"/>
      <c r="JP251"/>
      <c r="JS251"/>
      <c r="JT251"/>
      <c r="JV251"/>
      <c r="JZ251"/>
      <c r="KA251"/>
      <c r="KN251" s="278" t="s">
        <v>163</v>
      </c>
      <c r="LV251" s="379"/>
      <c r="MI251">
        <v>0</v>
      </c>
      <c r="MJ251">
        <v>0</v>
      </c>
      <c r="MK251">
        <v>0</v>
      </c>
      <c r="ML251">
        <v>0</v>
      </c>
    </row>
    <row r="252" spans="2:350">
      <c r="B252" s="27">
        <f t="shared" si="94"/>
        <v>8.7033747779751328E-2</v>
      </c>
      <c r="C252" s="27">
        <f t="shared" si="95"/>
        <v>9.1276889678310644E-2</v>
      </c>
      <c r="D252" s="1">
        <f t="shared" si="96"/>
        <v>264285.71428571426</v>
      </c>
      <c r="E252" s="278">
        <v>3</v>
      </c>
      <c r="F252" s="16">
        <v>4410</v>
      </c>
      <c r="G252">
        <v>14</v>
      </c>
      <c r="H252" s="16">
        <v>40536000</v>
      </c>
      <c r="I252" s="16">
        <v>8512560</v>
      </c>
      <c r="J252" s="16">
        <v>1850000</v>
      </c>
      <c r="K252" s="16">
        <v>1027194.9032258064</v>
      </c>
      <c r="M252" s="16">
        <v>11639754.903225806</v>
      </c>
      <c r="N252" s="16">
        <v>3528000</v>
      </c>
      <c r="O252" s="16">
        <v>3700000</v>
      </c>
      <c r="P252" s="16">
        <v>0</v>
      </c>
      <c r="Q252" s="16"/>
      <c r="R252" s="16">
        <v>0</v>
      </c>
      <c r="S252"/>
      <c r="T252" s="12">
        <v>7228000</v>
      </c>
      <c r="U252" s="313">
        <v>2464200</v>
      </c>
      <c r="V252" s="16"/>
      <c r="W252" s="123">
        <v>0</v>
      </c>
      <c r="X252" s="123"/>
      <c r="Y252" s="12">
        <v>2464200</v>
      </c>
      <c r="Z252" s="12">
        <v>1947554.9032258056</v>
      </c>
      <c r="AA252" s="13">
        <v>0.16731923648032024</v>
      </c>
      <c r="AB252" s="13">
        <v>8.7033747779751328E-2</v>
      </c>
      <c r="AC252" s="16">
        <v>9191.8367346938776</v>
      </c>
      <c r="AD252" s="13">
        <v>9.1276889678310644E-2</v>
      </c>
      <c r="AF252" s="1">
        <f t="shared" si="84"/>
        <v>315</v>
      </c>
      <c r="AG252" s="231"/>
      <c r="BZ252" s="278" t="s">
        <v>200</v>
      </c>
      <c r="CC252">
        <v>0</v>
      </c>
      <c r="CD252">
        <v>0</v>
      </c>
      <c r="CE252">
        <v>0</v>
      </c>
      <c r="CF252">
        <v>0</v>
      </c>
      <c r="CL252" s="26" t="s">
        <v>176</v>
      </c>
      <c r="DZ252">
        <v>13</v>
      </c>
      <c r="EA252">
        <v>16</v>
      </c>
      <c r="EB252">
        <v>12</v>
      </c>
      <c r="EC252">
        <v>12</v>
      </c>
      <c r="ED252">
        <v>12</v>
      </c>
      <c r="EM252">
        <v>0</v>
      </c>
      <c r="EN252">
        <v>0</v>
      </c>
      <c r="EO252">
        <v>0</v>
      </c>
      <c r="EP252">
        <v>16</v>
      </c>
      <c r="JO252"/>
      <c r="JP252"/>
      <c r="JS252"/>
      <c r="JT252"/>
      <c r="JV252"/>
      <c r="JZ252"/>
      <c r="KA252"/>
      <c r="KN252" s="278" t="s">
        <v>164</v>
      </c>
      <c r="MI252">
        <v>0</v>
      </c>
      <c r="MJ252">
        <v>0</v>
      </c>
      <c r="MK252">
        <v>0</v>
      </c>
      <c r="ML252">
        <v>0</v>
      </c>
    </row>
    <row r="253" spans="2:350">
      <c r="B253" s="27">
        <f t="shared" si="94"/>
        <v>8.4014654839953726E-2</v>
      </c>
      <c r="C253" s="27">
        <f t="shared" si="95"/>
        <v>0.90387581951407636</v>
      </c>
      <c r="D253" s="1">
        <f t="shared" si="96"/>
        <v>2500000</v>
      </c>
      <c r="E253" s="278">
        <v>4</v>
      </c>
      <c r="F253" s="16">
        <v>4531</v>
      </c>
      <c r="G253">
        <v>15</v>
      </c>
      <c r="H253" s="16">
        <v>41488000</v>
      </c>
      <c r="I253" s="16">
        <v>8712480</v>
      </c>
      <c r="J253" s="16">
        <v>1875000</v>
      </c>
      <c r="K253" s="16">
        <v>1027194.9032258064</v>
      </c>
      <c r="M253" s="16">
        <v>11614674.903225806</v>
      </c>
      <c r="N253" s="16">
        <v>3485600</v>
      </c>
      <c r="O253" s="16">
        <v>37500000</v>
      </c>
      <c r="P253" s="16">
        <v>798077</v>
      </c>
      <c r="Q253" s="16"/>
      <c r="R253" s="16">
        <v>0</v>
      </c>
      <c r="S253"/>
      <c r="T253" s="12">
        <v>41783677</v>
      </c>
      <c r="U253" s="313">
        <v>2497500</v>
      </c>
      <c r="V253" s="16"/>
      <c r="W253" s="123">
        <v>0</v>
      </c>
      <c r="X253" s="123"/>
      <c r="Y253" s="12">
        <v>2497500</v>
      </c>
      <c r="Z253" s="12">
        <v>-32666502.096774194</v>
      </c>
      <c r="AA253" s="13">
        <v>-2.8125197105346058</v>
      </c>
      <c r="AB253" s="13">
        <v>8.4014654839953726E-2</v>
      </c>
      <c r="AC253" s="16">
        <v>9156.4775987640696</v>
      </c>
      <c r="AD253" s="13">
        <v>0.90387581951407636</v>
      </c>
      <c r="AF253" s="1">
        <f t="shared" si="84"/>
        <v>302.06666666666666</v>
      </c>
      <c r="AG253" s="16"/>
      <c r="BZ253" s="278" t="s">
        <v>176</v>
      </c>
      <c r="CC253">
        <v>0</v>
      </c>
      <c r="CD253">
        <v>0</v>
      </c>
      <c r="CE253">
        <v>0</v>
      </c>
      <c r="CF253">
        <v>0</v>
      </c>
      <c r="CL253" s="26" t="s">
        <v>201</v>
      </c>
      <c r="EM253">
        <v>0</v>
      </c>
      <c r="EN253">
        <v>0</v>
      </c>
      <c r="EO253">
        <v>0</v>
      </c>
      <c r="EP253">
        <v>0</v>
      </c>
      <c r="JO253"/>
      <c r="JP253"/>
      <c r="JS253"/>
      <c r="JT253"/>
      <c r="JV253"/>
      <c r="JZ253"/>
      <c r="KA253"/>
      <c r="KN253" s="278" t="s">
        <v>165</v>
      </c>
      <c r="MI253">
        <v>0</v>
      </c>
      <c r="MJ253">
        <v>0</v>
      </c>
      <c r="MK253">
        <v>0</v>
      </c>
      <c r="ML253">
        <v>0</v>
      </c>
    </row>
    <row r="254" spans="2:350">
      <c r="B254" s="27">
        <f t="shared" si="94"/>
        <v>4.0440620007287612E-2</v>
      </c>
      <c r="C254" s="27">
        <f t="shared" si="95"/>
        <v>5.3255598845194374E-2</v>
      </c>
      <c r="D254" s="1">
        <f t="shared" si="96"/>
        <v>223529.41176470584</v>
      </c>
      <c r="E254" s="278">
        <v>5</v>
      </c>
      <c r="F254" s="16">
        <v>7638</v>
      </c>
      <c r="G254">
        <v>17</v>
      </c>
      <c r="H254" s="16">
        <v>71354000</v>
      </c>
      <c r="I254" s="16">
        <v>15219940</v>
      </c>
      <c r="J254" s="16">
        <v>1899999.9999999998</v>
      </c>
      <c r="K254" s="16">
        <v>1043003.2027649769</v>
      </c>
      <c r="M254" s="16">
        <v>18412943.202764977</v>
      </c>
      <c r="N254" s="16">
        <v>2885600</v>
      </c>
      <c r="O254" s="16">
        <v>3799999.9999999995</v>
      </c>
      <c r="P254" s="16"/>
      <c r="Q254" s="16"/>
      <c r="R254" s="16"/>
      <c r="S254"/>
      <c r="T254" s="12">
        <v>6685600</v>
      </c>
      <c r="U254" s="313">
        <v>2530800</v>
      </c>
      <c r="V254" s="16"/>
      <c r="W254" s="123">
        <v>0</v>
      </c>
      <c r="X254" s="123"/>
      <c r="Y254" s="12">
        <v>2530800</v>
      </c>
      <c r="Z254" s="12">
        <v>9196543.2027649768</v>
      </c>
      <c r="AA254" s="13">
        <v>0.49946079241606411</v>
      </c>
      <c r="AB254" s="13">
        <v>4.0440620007287612E-2</v>
      </c>
      <c r="AC254" s="16">
        <v>9341.9743388321549</v>
      </c>
      <c r="AD254" s="13">
        <v>5.3255598845194374E-2</v>
      </c>
      <c r="AF254" s="1">
        <f t="shared" si="84"/>
        <v>449.29411764705884</v>
      </c>
      <c r="AG254" s="16"/>
      <c r="BZ254" s="278" t="s">
        <v>201</v>
      </c>
      <c r="CC254">
        <v>0</v>
      </c>
      <c r="CD254">
        <v>0</v>
      </c>
      <c r="CE254">
        <v>0</v>
      </c>
      <c r="CF254">
        <v>0</v>
      </c>
      <c r="CL254" s="26" t="s">
        <v>178</v>
      </c>
      <c r="DZ254">
        <v>3</v>
      </c>
      <c r="EA254">
        <v>4</v>
      </c>
      <c r="EB254">
        <v>4</v>
      </c>
      <c r="EC254">
        <v>5</v>
      </c>
      <c r="ED254">
        <v>4</v>
      </c>
      <c r="EM254">
        <v>0</v>
      </c>
      <c r="EN254">
        <v>0</v>
      </c>
      <c r="EO254">
        <v>0</v>
      </c>
      <c r="EP254">
        <v>5</v>
      </c>
      <c r="JO254"/>
      <c r="JP254"/>
      <c r="JS254"/>
      <c r="JT254"/>
      <c r="JV254"/>
      <c r="JZ254"/>
      <c r="KA254"/>
      <c r="KN254" s="278" t="s">
        <v>36</v>
      </c>
      <c r="MI254">
        <v>0</v>
      </c>
      <c r="MJ254">
        <v>0</v>
      </c>
      <c r="MK254">
        <v>0</v>
      </c>
      <c r="ML254">
        <v>0</v>
      </c>
    </row>
    <row r="255" spans="2:350">
      <c r="B255" s="27">
        <f t="shared" si="94"/>
        <v>8.7465728622419942E-2</v>
      </c>
      <c r="C255" s="27">
        <f t="shared" si="95"/>
        <v>0.10863380063111065</v>
      </c>
      <c r="D255" s="1">
        <f t="shared" si="96"/>
        <v>280000</v>
      </c>
      <c r="E255" s="278">
        <v>6</v>
      </c>
      <c r="F255" s="16">
        <v>4227</v>
      </c>
      <c r="G255">
        <v>15</v>
      </c>
      <c r="H255" s="16">
        <v>38662000</v>
      </c>
      <c r="I255" s="16">
        <v>8119020</v>
      </c>
      <c r="J255" s="16">
        <v>2100000</v>
      </c>
      <c r="K255" s="16">
        <v>1137853</v>
      </c>
      <c r="M255" s="16">
        <v>11406873</v>
      </c>
      <c r="N255" s="16">
        <v>3381600</v>
      </c>
      <c r="O255" s="16">
        <v>4200000</v>
      </c>
      <c r="P255" s="16">
        <v>0</v>
      </c>
      <c r="Q255" s="16"/>
      <c r="R255" s="16">
        <v>0</v>
      </c>
      <c r="S255"/>
      <c r="T255" s="12">
        <v>7581600</v>
      </c>
      <c r="U255" s="313">
        <v>2940000</v>
      </c>
      <c r="V255" s="16"/>
      <c r="W255" s="123">
        <v>0</v>
      </c>
      <c r="X255" s="123"/>
      <c r="Y255" s="12">
        <v>2940000</v>
      </c>
      <c r="Z255" s="12">
        <v>885273</v>
      </c>
      <c r="AA255" s="13">
        <v>7.7608736417070653E-2</v>
      </c>
      <c r="AB255" s="13">
        <v>8.7465728622419942E-2</v>
      </c>
      <c r="AC255" s="16">
        <v>9146.4395552401238</v>
      </c>
      <c r="AD255" s="13">
        <v>0.10863380063111065</v>
      </c>
      <c r="AF255" s="1">
        <f t="shared" si="84"/>
        <v>281.8</v>
      </c>
      <c r="AG255" s="16"/>
      <c r="BZ255" s="278" t="s">
        <v>178</v>
      </c>
      <c r="CC255">
        <v>0</v>
      </c>
      <c r="CD255">
        <v>0</v>
      </c>
      <c r="CE255">
        <v>0</v>
      </c>
      <c r="CF255">
        <v>0</v>
      </c>
      <c r="CL255" s="26" t="s">
        <v>177</v>
      </c>
      <c r="DZ255">
        <v>4</v>
      </c>
      <c r="EA255">
        <v>5</v>
      </c>
      <c r="EB255">
        <v>5</v>
      </c>
      <c r="EC255">
        <v>5</v>
      </c>
      <c r="ED255">
        <v>2</v>
      </c>
      <c r="EM255">
        <v>0</v>
      </c>
      <c r="EN255">
        <v>0</v>
      </c>
      <c r="EO255">
        <v>0</v>
      </c>
      <c r="EP255">
        <v>5</v>
      </c>
      <c r="JO255"/>
      <c r="JP255"/>
      <c r="JS255"/>
      <c r="JT255"/>
      <c r="JV255"/>
      <c r="JZ255"/>
      <c r="KA255"/>
      <c r="KN255" s="278" t="s">
        <v>166</v>
      </c>
      <c r="MI255">
        <v>0</v>
      </c>
      <c r="MJ255">
        <v>0</v>
      </c>
      <c r="MK255">
        <v>0</v>
      </c>
      <c r="ML255">
        <v>0</v>
      </c>
    </row>
    <row r="256" spans="2:350">
      <c r="B256" s="27">
        <f t="shared" si="94"/>
        <v>8.877971751908062E-2</v>
      </c>
      <c r="C256" s="27">
        <f t="shared" si="95"/>
        <v>9.869286779542065E-2</v>
      </c>
      <c r="D256" s="1">
        <f t="shared" si="96"/>
        <v>300000</v>
      </c>
      <c r="E256" s="278">
        <v>7</v>
      </c>
      <c r="F256" s="16">
        <v>5060</v>
      </c>
      <c r="G256">
        <v>15</v>
      </c>
      <c r="H256" s="16">
        <v>45596000</v>
      </c>
      <c r="I256" s="16">
        <v>9575160</v>
      </c>
      <c r="J256" s="16">
        <v>2250000</v>
      </c>
      <c r="K256" s="16">
        <v>1137853</v>
      </c>
      <c r="M256" s="16">
        <v>13013013</v>
      </c>
      <c r="N256" s="16">
        <v>4048000</v>
      </c>
      <c r="O256" s="16">
        <v>4500000</v>
      </c>
      <c r="P256" s="16">
        <v>0</v>
      </c>
      <c r="Q256" s="16"/>
      <c r="R256" s="16">
        <v>0</v>
      </c>
      <c r="S256"/>
      <c r="T256" s="12">
        <v>8548000</v>
      </c>
      <c r="U256" s="313">
        <v>3150000</v>
      </c>
      <c r="V256" s="16"/>
      <c r="W256" s="123">
        <v>0</v>
      </c>
      <c r="X256" s="123"/>
      <c r="Y256" s="12">
        <v>3150000</v>
      </c>
      <c r="Z256" s="12">
        <v>1315013</v>
      </c>
      <c r="AA256" s="13">
        <v>0.101053691408746</v>
      </c>
      <c r="AB256" s="13">
        <v>8.877971751908062E-2</v>
      </c>
      <c r="AC256" s="16">
        <v>9011.0671936758899</v>
      </c>
      <c r="AD256" s="13">
        <v>9.869286779542065E-2</v>
      </c>
      <c r="AF256" s="1">
        <f t="shared" si="84"/>
        <v>337.33333333333331</v>
      </c>
      <c r="AG256" s="16"/>
      <c r="BZ256" s="278" t="s">
        <v>177</v>
      </c>
      <c r="CC256">
        <v>0</v>
      </c>
      <c r="CD256">
        <v>0</v>
      </c>
      <c r="CE256">
        <v>0</v>
      </c>
      <c r="CF256">
        <v>0</v>
      </c>
      <c r="CL256" s="26" t="s">
        <v>202</v>
      </c>
      <c r="EM256">
        <v>0</v>
      </c>
      <c r="EN256">
        <v>0</v>
      </c>
      <c r="EO256">
        <v>0</v>
      </c>
      <c r="EP256">
        <v>0</v>
      </c>
      <c r="JO256"/>
      <c r="JP256"/>
      <c r="JS256"/>
      <c r="JT256"/>
      <c r="JV256"/>
      <c r="JZ256"/>
      <c r="KA256"/>
      <c r="KN256" s="26" t="s">
        <v>201</v>
      </c>
      <c r="MI256">
        <v>0</v>
      </c>
      <c r="MJ256">
        <v>0</v>
      </c>
      <c r="MK256">
        <v>0</v>
      </c>
      <c r="ML256">
        <v>0</v>
      </c>
    </row>
    <row r="257" spans="2:350">
      <c r="B257" s="27">
        <f t="shared" si="94"/>
        <v>8.7902609945644847E-2</v>
      </c>
      <c r="C257" s="27">
        <f t="shared" si="95"/>
        <v>9.5458425048290732E-2</v>
      </c>
      <c r="D257" s="1">
        <f t="shared" si="96"/>
        <v>283333.33333333331</v>
      </c>
      <c r="E257" s="278">
        <v>8</v>
      </c>
      <c r="F257" s="16">
        <v>335</v>
      </c>
      <c r="G257">
        <v>15</v>
      </c>
      <c r="H257" s="16">
        <v>44522000</v>
      </c>
      <c r="I257" s="16">
        <v>9349620</v>
      </c>
      <c r="J257" s="16">
        <v>2125000</v>
      </c>
      <c r="K257" s="16">
        <v>1137853</v>
      </c>
      <c r="M257" s="16">
        <v>12662473</v>
      </c>
      <c r="N257" s="16">
        <v>3913600</v>
      </c>
      <c r="O257" s="16">
        <v>4250000</v>
      </c>
      <c r="P257" s="16">
        <v>2057691</v>
      </c>
      <c r="Q257" s="16"/>
      <c r="R257" s="16">
        <v>200000</v>
      </c>
      <c r="S257"/>
      <c r="T257" s="12">
        <v>10421291</v>
      </c>
      <c r="U257" s="313">
        <v>2975000</v>
      </c>
      <c r="V257" s="16">
        <v>0</v>
      </c>
      <c r="W257" s="123"/>
      <c r="X257" s="123">
        <v>125000</v>
      </c>
      <c r="Y257" s="12">
        <v>3100000</v>
      </c>
      <c r="Z257" s="12">
        <v>-858818</v>
      </c>
      <c r="AA257" s="13">
        <v>-6.7823876110140568E-2</v>
      </c>
      <c r="AB257" s="13">
        <v>8.7902609945644847E-2</v>
      </c>
      <c r="AC257" s="16">
        <v>132901.49253731343</v>
      </c>
      <c r="AD257" s="13">
        <v>9.5458425048290732E-2</v>
      </c>
      <c r="AF257" s="1">
        <f t="shared" si="84"/>
        <v>22.333333333333332</v>
      </c>
      <c r="AG257" s="145"/>
      <c r="BZ257" s="278" t="s">
        <v>202</v>
      </c>
      <c r="CC257">
        <v>0</v>
      </c>
      <c r="CD257">
        <v>0</v>
      </c>
      <c r="CE257">
        <v>0</v>
      </c>
      <c r="CF257">
        <v>0</v>
      </c>
      <c r="CL257" s="26" t="s">
        <v>204</v>
      </c>
      <c r="EM257">
        <v>0</v>
      </c>
      <c r="EN257">
        <v>0</v>
      </c>
      <c r="EO257">
        <v>0</v>
      </c>
      <c r="EP257">
        <v>0</v>
      </c>
      <c r="JO257"/>
      <c r="JP257"/>
      <c r="JS257"/>
      <c r="JT257"/>
      <c r="JV257"/>
      <c r="JZ257"/>
      <c r="KA257"/>
      <c r="KN257" s="278" t="s">
        <v>21</v>
      </c>
      <c r="MI257">
        <v>0</v>
      </c>
      <c r="MJ257">
        <v>0</v>
      </c>
      <c r="MK257">
        <v>0</v>
      </c>
      <c r="ML257">
        <v>0</v>
      </c>
    </row>
    <row r="258" spans="2:350">
      <c r="B258" s="27">
        <f t="shared" si="94"/>
        <v>8.8182679153951365E-2</v>
      </c>
      <c r="C258" s="27">
        <f t="shared" si="95"/>
        <v>9.2076186467431334E-2</v>
      </c>
      <c r="D258" s="1">
        <f t="shared" si="96"/>
        <v>269230.76923076925</v>
      </c>
      <c r="E258" s="278">
        <v>9</v>
      </c>
      <c r="F258" s="16">
        <v>4190</v>
      </c>
      <c r="G258">
        <v>13</v>
      </c>
      <c r="H258" s="16">
        <v>38012000</v>
      </c>
      <c r="I258" s="16">
        <v>7982520</v>
      </c>
      <c r="J258" s="16">
        <v>1724999.9999999998</v>
      </c>
      <c r="K258" s="16">
        <v>1128380.4423963134</v>
      </c>
      <c r="M258" s="16">
        <v>11085900.442396313</v>
      </c>
      <c r="N258" s="16">
        <v>3351999.9999999995</v>
      </c>
      <c r="O258" s="16">
        <v>3500000</v>
      </c>
      <c r="P258" s="16">
        <v>0</v>
      </c>
      <c r="Q258" s="16"/>
      <c r="R258" s="16">
        <v>0</v>
      </c>
      <c r="S258"/>
      <c r="T258" s="12">
        <v>6851999.9999999991</v>
      </c>
      <c r="U258" s="313">
        <v>2450000</v>
      </c>
      <c r="V258" s="16">
        <v>0</v>
      </c>
      <c r="W258" s="123">
        <v>0</v>
      </c>
      <c r="X258" s="123">
        <v>124999.99999999999</v>
      </c>
      <c r="Y258" s="12">
        <v>2575000</v>
      </c>
      <c r="Z258" s="12">
        <v>1658900.4423963139</v>
      </c>
      <c r="AA258" s="13">
        <v>0.14964056830711789</v>
      </c>
      <c r="AB258" s="13">
        <v>8.8182679153951365E-2</v>
      </c>
      <c r="AC258" s="16">
        <v>9072.0763723150358</v>
      </c>
      <c r="AD258" s="13">
        <v>9.2076186467431334E-2</v>
      </c>
      <c r="AF258" s="1">
        <f t="shared" si="84"/>
        <v>322.30769230769232</v>
      </c>
      <c r="AG258" s="16"/>
      <c r="BZ258" s="278" t="s">
        <v>204</v>
      </c>
      <c r="CC258">
        <v>0</v>
      </c>
      <c r="CD258">
        <v>0</v>
      </c>
      <c r="CE258">
        <v>0</v>
      </c>
      <c r="CF258">
        <v>0</v>
      </c>
      <c r="CL258" s="11" t="s">
        <v>36</v>
      </c>
      <c r="ED258">
        <v>227</v>
      </c>
      <c r="EE258">
        <v>251</v>
      </c>
      <c r="EF258">
        <v>244</v>
      </c>
      <c r="EG258">
        <v>240</v>
      </c>
      <c r="EH258">
        <v>241</v>
      </c>
      <c r="EM258">
        <v>0</v>
      </c>
      <c r="EN258">
        <v>0</v>
      </c>
      <c r="EO258">
        <v>0</v>
      </c>
      <c r="EP258">
        <v>251</v>
      </c>
      <c r="JO258"/>
      <c r="JP258"/>
      <c r="JS258"/>
      <c r="JT258"/>
      <c r="JV258"/>
      <c r="JZ258"/>
      <c r="KA258"/>
      <c r="KN258" s="278" t="s">
        <v>158</v>
      </c>
      <c r="MI258">
        <v>0</v>
      </c>
      <c r="MJ258">
        <v>0</v>
      </c>
      <c r="MK258">
        <v>0</v>
      </c>
      <c r="ML258">
        <v>0</v>
      </c>
    </row>
    <row r="259" spans="2:350">
      <c r="B259" s="27">
        <f t="shared" si="94"/>
        <v>8.8407034317910194E-2</v>
      </c>
      <c r="C259" s="27">
        <f t="shared" si="95"/>
        <v>0.14939388765579648</v>
      </c>
      <c r="D259" s="1">
        <f t="shared" si="96"/>
        <v>291666.66666666669</v>
      </c>
      <c r="E259" s="278">
        <v>10</v>
      </c>
      <c r="F259" s="16">
        <v>2589</v>
      </c>
      <c r="G259">
        <v>12</v>
      </c>
      <c r="H259" s="16">
        <v>23428000</v>
      </c>
      <c r="I259" s="16">
        <v>4919880</v>
      </c>
      <c r="J259" s="16">
        <v>1725000</v>
      </c>
      <c r="K259" s="16">
        <v>1071545.0967741935</v>
      </c>
      <c r="M259" s="16">
        <v>7816425.0967741935</v>
      </c>
      <c r="N259" s="16">
        <v>2071200</v>
      </c>
      <c r="O259" s="16">
        <v>3500000</v>
      </c>
      <c r="P259" s="16">
        <v>0</v>
      </c>
      <c r="Q259" s="16"/>
      <c r="R259" s="16">
        <v>0</v>
      </c>
      <c r="S259"/>
      <c r="T259" s="12">
        <v>5571200</v>
      </c>
      <c r="U259" s="313">
        <v>2450000</v>
      </c>
      <c r="V259" s="16">
        <v>0</v>
      </c>
      <c r="W259" s="123">
        <v>0</v>
      </c>
      <c r="X259" s="123">
        <v>0</v>
      </c>
      <c r="Y259" s="12">
        <v>2450000</v>
      </c>
      <c r="Z259" s="12">
        <v>-204774.90322580654</v>
      </c>
      <c r="AA259" s="13">
        <v>-2.6198025400424589E-2</v>
      </c>
      <c r="AB259" s="13">
        <v>8.8407034317910194E-2</v>
      </c>
      <c r="AC259" s="16">
        <v>9049.0536886828886</v>
      </c>
      <c r="AD259" s="13">
        <v>0.14939388765579648</v>
      </c>
      <c r="AF259" s="1">
        <f t="shared" si="84"/>
        <v>215.75</v>
      </c>
      <c r="BZ259" s="26" t="s">
        <v>175</v>
      </c>
      <c r="CC259">
        <v>0</v>
      </c>
      <c r="CD259">
        <v>0</v>
      </c>
      <c r="CE259">
        <v>0</v>
      </c>
      <c r="CF259">
        <v>0</v>
      </c>
      <c r="CL259" s="26" t="s">
        <v>34</v>
      </c>
      <c r="EM259">
        <v>0</v>
      </c>
      <c r="EN259">
        <v>0</v>
      </c>
      <c r="EO259">
        <v>0</v>
      </c>
      <c r="EP259">
        <v>0</v>
      </c>
      <c r="JO259"/>
      <c r="JP259"/>
      <c r="JS259"/>
      <c r="JT259"/>
      <c r="JV259"/>
      <c r="JZ259"/>
      <c r="KA259"/>
      <c r="KN259" s="278" t="s">
        <v>159</v>
      </c>
      <c r="MI259">
        <v>0</v>
      </c>
      <c r="MJ259">
        <v>0</v>
      </c>
      <c r="MK259">
        <v>0</v>
      </c>
      <c r="ML259">
        <v>0</v>
      </c>
    </row>
    <row r="260" spans="2:350">
      <c r="B260" s="27">
        <f t="shared" si="94"/>
        <v>0.13236921131657975</v>
      </c>
      <c r="C260" s="27">
        <f t="shared" si="95"/>
        <v>8.7972182709024821E-2</v>
      </c>
      <c r="D260" s="1">
        <f t="shared" si="96"/>
        <v>185533.33333333334</v>
      </c>
      <c r="E260" s="278">
        <v>11</v>
      </c>
      <c r="F260" s="16">
        <v>2783</v>
      </c>
      <c r="G260">
        <v>12</v>
      </c>
      <c r="H260" s="16">
        <v>25308000</v>
      </c>
      <c r="I260" s="16">
        <v>5314680</v>
      </c>
      <c r="J260" s="16">
        <v>1650000</v>
      </c>
      <c r="K260" s="16">
        <v>1071545.0967741935</v>
      </c>
      <c r="M260" s="16">
        <v>8136225.0967741935</v>
      </c>
      <c r="N260" s="16">
        <v>3350000</v>
      </c>
      <c r="O260" s="16">
        <v>2226400</v>
      </c>
      <c r="P260" s="16">
        <v>0</v>
      </c>
      <c r="Q260" s="16"/>
      <c r="R260" s="16">
        <v>0</v>
      </c>
      <c r="S260"/>
      <c r="T260" s="12">
        <v>5576400</v>
      </c>
      <c r="U260" s="313">
        <v>2345000</v>
      </c>
      <c r="V260" s="16">
        <v>0</v>
      </c>
      <c r="W260" s="123">
        <v>0</v>
      </c>
      <c r="X260" s="123">
        <v>0</v>
      </c>
      <c r="Y260" s="12">
        <v>2345000</v>
      </c>
      <c r="Z260" s="12">
        <v>214825.09677419346</v>
      </c>
      <c r="AA260" s="13">
        <v>2.6403534098308829E-2</v>
      </c>
      <c r="AB260" s="13">
        <v>0.13236921131657975</v>
      </c>
      <c r="AC260" s="16">
        <v>9093.7836866690614</v>
      </c>
      <c r="AD260" s="13">
        <v>8.7972182709024821E-2</v>
      </c>
      <c r="AF260" s="1">
        <f t="shared" si="84"/>
        <v>231.91666666666666</v>
      </c>
      <c r="BZ260" s="278" t="s">
        <v>34</v>
      </c>
      <c r="CC260">
        <v>0</v>
      </c>
      <c r="CD260">
        <v>0</v>
      </c>
      <c r="CE260">
        <v>0</v>
      </c>
      <c r="CF260">
        <v>0</v>
      </c>
      <c r="CL260" s="26" t="s">
        <v>170</v>
      </c>
      <c r="EM260">
        <v>0</v>
      </c>
      <c r="EN260">
        <v>0</v>
      </c>
      <c r="EO260">
        <v>0</v>
      </c>
      <c r="EP260">
        <v>0</v>
      </c>
      <c r="JO260"/>
      <c r="JP260"/>
      <c r="JS260"/>
      <c r="JT260"/>
      <c r="JV260"/>
      <c r="JZ260"/>
      <c r="KA260"/>
      <c r="KN260" s="278" t="s">
        <v>160</v>
      </c>
      <c r="MI260">
        <v>0</v>
      </c>
      <c r="MJ260">
        <v>0</v>
      </c>
      <c r="MK260">
        <v>0</v>
      </c>
      <c r="ML260">
        <v>0</v>
      </c>
    </row>
    <row r="261" spans="2:350">
      <c r="B261" s="27">
        <f t="shared" si="94"/>
        <v>8.7797295196642311E-2</v>
      </c>
      <c r="C261" s="27">
        <f t="shared" si="95"/>
        <v>0.16127778641380383</v>
      </c>
      <c r="D261" s="1">
        <f t="shared" si="96"/>
        <v>259375</v>
      </c>
      <c r="E261" s="278">
        <v>12</v>
      </c>
      <c r="F261" s="16">
        <v>2824</v>
      </c>
      <c r="G261">
        <v>16</v>
      </c>
      <c r="H261" s="16">
        <v>25732000</v>
      </c>
      <c r="I261" s="16">
        <v>5403720</v>
      </c>
      <c r="J261" s="16">
        <v>2050000</v>
      </c>
      <c r="K261" s="16">
        <v>1071545.0967741935</v>
      </c>
      <c r="M261" s="16">
        <v>8725265.0967741944</v>
      </c>
      <c r="N261" s="16">
        <v>2259200</v>
      </c>
      <c r="O261" s="16">
        <v>4150000</v>
      </c>
      <c r="P261" s="16">
        <v>0</v>
      </c>
      <c r="Q261" s="16"/>
      <c r="R261" s="16">
        <v>0</v>
      </c>
      <c r="S261"/>
      <c r="T261" s="12">
        <v>6409200</v>
      </c>
      <c r="U261" s="313">
        <v>2905000</v>
      </c>
      <c r="V261" s="16">
        <v>0</v>
      </c>
      <c r="W261" s="123">
        <v>0</v>
      </c>
      <c r="X261" s="123">
        <v>0</v>
      </c>
      <c r="Y261" s="12">
        <v>2905000</v>
      </c>
      <c r="Z261" s="12">
        <v>-588934.90322580561</v>
      </c>
      <c r="AA261" s="13">
        <v>-6.749765155485532E-2</v>
      </c>
      <c r="AB261" s="13">
        <v>8.7797295196642311E-2</v>
      </c>
      <c r="AC261" s="16">
        <v>9111.8980169971674</v>
      </c>
      <c r="AD261" s="13">
        <v>0.16127778641380383</v>
      </c>
      <c r="AF261" s="1">
        <f t="shared" si="84"/>
        <v>176.5</v>
      </c>
      <c r="BZ261" s="278" t="s">
        <v>170</v>
      </c>
      <c r="CC261">
        <v>0</v>
      </c>
      <c r="CD261">
        <v>0</v>
      </c>
      <c r="CE261">
        <v>0</v>
      </c>
      <c r="CF261">
        <v>0</v>
      </c>
      <c r="CL261" s="26" t="s">
        <v>27</v>
      </c>
      <c r="EM261">
        <v>0</v>
      </c>
      <c r="EN261">
        <v>0</v>
      </c>
      <c r="EO261">
        <v>0</v>
      </c>
      <c r="EP261">
        <v>0</v>
      </c>
      <c r="JO261"/>
      <c r="JP261"/>
      <c r="JS261"/>
      <c r="JT261"/>
      <c r="JV261"/>
      <c r="JZ261"/>
      <c r="KA261"/>
      <c r="KN261" s="278" t="s">
        <v>161</v>
      </c>
      <c r="MI261">
        <v>0</v>
      </c>
      <c r="MJ261">
        <v>0</v>
      </c>
      <c r="MK261">
        <v>0</v>
      </c>
      <c r="ML261">
        <v>0</v>
      </c>
    </row>
    <row r="262" spans="2:350">
      <c r="B262" s="27">
        <f t="shared" si="94"/>
        <v>8.7254280279010776E-2</v>
      </c>
      <c r="C262" s="27">
        <f t="shared" si="95"/>
        <v>0.13316423589093215</v>
      </c>
      <c r="D262" s="1">
        <f t="shared" si="96"/>
        <v>262500</v>
      </c>
      <c r="E262" s="278">
        <v>13</v>
      </c>
      <c r="F262" s="16">
        <v>3440</v>
      </c>
      <c r="G262">
        <v>16</v>
      </c>
      <c r="H262" s="16">
        <v>31540000</v>
      </c>
      <c r="I262" s="16">
        <v>6623400</v>
      </c>
      <c r="J262" s="16">
        <v>2100000</v>
      </c>
      <c r="K262" s="16">
        <v>1071545.0967741935</v>
      </c>
      <c r="M262" s="16">
        <v>9794945.0967741944</v>
      </c>
      <c r="N262" s="16">
        <v>2752000</v>
      </c>
      <c r="O262" s="16">
        <v>4200000</v>
      </c>
      <c r="P262" s="16">
        <v>250000</v>
      </c>
      <c r="Q262" s="16"/>
      <c r="R262" s="16">
        <v>0</v>
      </c>
      <c r="S262"/>
      <c r="T262" s="12">
        <v>7202000</v>
      </c>
      <c r="U262" s="313">
        <v>2940000</v>
      </c>
      <c r="V262" s="16">
        <v>0</v>
      </c>
      <c r="W262" s="123">
        <v>0</v>
      </c>
      <c r="X262" s="123">
        <v>0</v>
      </c>
      <c r="Y262" s="12">
        <v>2940000</v>
      </c>
      <c r="Z262" s="12">
        <v>-347054.90322580561</v>
      </c>
      <c r="AA262" s="13">
        <v>-3.5432041710994636E-2</v>
      </c>
      <c r="AB262" s="13">
        <v>8.7254280279010776E-2</v>
      </c>
      <c r="AC262" s="16">
        <v>9168.6046511627901</v>
      </c>
      <c r="AD262" s="13">
        <v>0.13316423589093215</v>
      </c>
      <c r="AF262" s="1">
        <f t="shared" si="84"/>
        <v>215</v>
      </c>
      <c r="BZ262" s="278" t="s">
        <v>27</v>
      </c>
      <c r="CC262">
        <v>0</v>
      </c>
      <c r="CD262">
        <v>0</v>
      </c>
      <c r="CE262">
        <v>0</v>
      </c>
      <c r="CF262">
        <v>0</v>
      </c>
      <c r="CL262" s="26" t="s">
        <v>33</v>
      </c>
      <c r="EM262">
        <v>0</v>
      </c>
      <c r="EN262">
        <v>0</v>
      </c>
      <c r="EO262">
        <v>0</v>
      </c>
      <c r="EP262">
        <v>0</v>
      </c>
      <c r="JO262"/>
      <c r="JP262"/>
      <c r="JS262"/>
      <c r="JT262"/>
      <c r="JV262"/>
      <c r="JZ262"/>
      <c r="KA262"/>
      <c r="KN262" s="278" t="s">
        <v>156</v>
      </c>
      <c r="MI262">
        <v>0</v>
      </c>
      <c r="MJ262">
        <v>0</v>
      </c>
      <c r="MK262">
        <v>0</v>
      </c>
      <c r="ML262">
        <v>0</v>
      </c>
    </row>
    <row r="263" spans="2:350">
      <c r="B263" s="27">
        <f t="shared" si="94"/>
        <v>8.7054762278361841E-2</v>
      </c>
      <c r="C263" s="27">
        <f t="shared" si="95"/>
        <v>0.10395418170406402</v>
      </c>
      <c r="D263" s="1">
        <f t="shared" si="96"/>
        <v>189285.71428571429</v>
      </c>
      <c r="E263" s="278">
        <v>14</v>
      </c>
      <c r="F263" s="16">
        <v>2774</v>
      </c>
      <c r="G263">
        <v>14</v>
      </c>
      <c r="H263" s="16">
        <v>25492000</v>
      </c>
      <c r="I263" s="16">
        <v>5353320</v>
      </c>
      <c r="J263" s="16">
        <v>1250000</v>
      </c>
      <c r="K263" s="16">
        <v>1137110.5752688171</v>
      </c>
      <c r="M263" s="16">
        <v>7740430.5752688171</v>
      </c>
      <c r="N263" s="16">
        <v>2219200</v>
      </c>
      <c r="O263" s="16">
        <v>2650000</v>
      </c>
      <c r="P263" s="16">
        <v>0</v>
      </c>
      <c r="Q263" s="16"/>
      <c r="R263" s="16">
        <v>0</v>
      </c>
      <c r="S263"/>
      <c r="T263" s="12">
        <v>4869200</v>
      </c>
      <c r="U263" s="313">
        <v>1855000</v>
      </c>
      <c r="V263" s="16">
        <v>0</v>
      </c>
      <c r="W263" s="123">
        <v>0</v>
      </c>
      <c r="X263" s="123">
        <v>0</v>
      </c>
      <c r="Y263" s="12">
        <v>1855000</v>
      </c>
      <c r="Z263" s="12">
        <v>1016230.5752688169</v>
      </c>
      <c r="AA263" s="13">
        <v>0.13128863638616439</v>
      </c>
      <c r="AB263" s="13">
        <v>8.7054762278361841E-2</v>
      </c>
      <c r="AC263" s="16">
        <v>9189.6178803172315</v>
      </c>
      <c r="AD263" s="13">
        <v>0.10395418170406402</v>
      </c>
      <c r="AF263" s="1">
        <f t="shared" si="84"/>
        <v>198.14285714285714</v>
      </c>
      <c r="BZ263" s="278" t="s">
        <v>33</v>
      </c>
      <c r="CC263">
        <v>0</v>
      </c>
      <c r="CD263">
        <v>0</v>
      </c>
      <c r="CE263">
        <v>0</v>
      </c>
      <c r="CF263">
        <v>0</v>
      </c>
      <c r="CL263" s="26" t="s">
        <v>171</v>
      </c>
      <c r="EM263">
        <v>0</v>
      </c>
      <c r="EN263">
        <v>0</v>
      </c>
      <c r="EO263">
        <v>0</v>
      </c>
      <c r="EP263">
        <v>0</v>
      </c>
      <c r="JO263"/>
      <c r="JP263"/>
      <c r="JS263"/>
      <c r="JT263"/>
      <c r="JV263"/>
      <c r="JZ263"/>
      <c r="KA263"/>
      <c r="KN263" s="278" t="s">
        <v>162</v>
      </c>
      <c r="MI263">
        <v>0</v>
      </c>
      <c r="MJ263">
        <v>0</v>
      </c>
      <c r="MK263">
        <v>0</v>
      </c>
      <c r="ML263">
        <v>0</v>
      </c>
    </row>
    <row r="264" spans="2:350">
      <c r="B264" s="27">
        <f t="shared" si="94"/>
        <v>9.3640794009271361E-2</v>
      </c>
      <c r="C264" s="27">
        <f t="shared" si="95"/>
        <v>0.12480684654701057</v>
      </c>
      <c r="D264" s="1">
        <f t="shared" si="96"/>
        <v>247058.82352941178</v>
      </c>
      <c r="E264" s="278">
        <v>15</v>
      </c>
      <c r="F264" s="16">
        <v>3667</v>
      </c>
      <c r="G264">
        <v>17</v>
      </c>
      <c r="H264" s="16">
        <v>33652000</v>
      </c>
      <c r="I264" s="16">
        <v>7066920</v>
      </c>
      <c r="J264" s="16">
        <v>2075000</v>
      </c>
      <c r="K264" s="16">
        <v>1163336.7666666666</v>
      </c>
      <c r="M264" s="16">
        <v>10555256.766666666</v>
      </c>
      <c r="N264" s="16">
        <v>3151200</v>
      </c>
      <c r="O264" s="16">
        <v>4200000</v>
      </c>
      <c r="P264" s="16">
        <v>0</v>
      </c>
      <c r="Q264" s="16"/>
      <c r="R264" s="16">
        <v>0</v>
      </c>
      <c r="S264"/>
      <c r="T264" s="12">
        <v>7351200</v>
      </c>
      <c r="U264" s="313">
        <v>2940000</v>
      </c>
      <c r="V264" s="16">
        <v>0</v>
      </c>
      <c r="W264" s="123">
        <v>0</v>
      </c>
      <c r="X264" s="123">
        <v>0</v>
      </c>
      <c r="Y264" s="12">
        <v>2940000</v>
      </c>
      <c r="Z264" s="12">
        <v>264056.76666666567</v>
      </c>
      <c r="AA264" s="13">
        <v>2.5016612338655066E-2</v>
      </c>
      <c r="AB264" s="13">
        <v>9.3640794009271361E-2</v>
      </c>
      <c r="AC264" s="16">
        <v>9176.9839105535866</v>
      </c>
      <c r="AD264" s="13">
        <v>0.12480684654701057</v>
      </c>
      <c r="AF264" s="1">
        <f t="shared" si="84"/>
        <v>215.70588235294119</v>
      </c>
      <c r="BZ264" s="278" t="s">
        <v>171</v>
      </c>
      <c r="CC264">
        <v>0</v>
      </c>
      <c r="CD264">
        <v>0</v>
      </c>
      <c r="CE264">
        <v>0</v>
      </c>
      <c r="CF264">
        <v>0</v>
      </c>
      <c r="CL264" s="26" t="s">
        <v>276</v>
      </c>
      <c r="EM264">
        <v>0</v>
      </c>
      <c r="EN264">
        <v>0</v>
      </c>
      <c r="EO264">
        <v>0</v>
      </c>
      <c r="EP264">
        <v>0</v>
      </c>
      <c r="JO264"/>
      <c r="JP264"/>
      <c r="JS264"/>
      <c r="JT264"/>
      <c r="JV264"/>
      <c r="JZ264"/>
      <c r="KA264"/>
      <c r="KN264" s="278" t="s">
        <v>163</v>
      </c>
      <c r="LV264" s="379"/>
      <c r="MI264">
        <v>0</v>
      </c>
      <c r="MJ264">
        <v>0</v>
      </c>
      <c r="MK264">
        <v>0</v>
      </c>
      <c r="ML264">
        <v>0</v>
      </c>
    </row>
    <row r="265" spans="2:350">
      <c r="B265" s="27">
        <f t="shared" si="94"/>
        <v>8.8886919532080819E-2</v>
      </c>
      <c r="C265" s="27">
        <f t="shared" si="95"/>
        <v>0.10412974122651542</v>
      </c>
      <c r="D265" s="1">
        <f t="shared" si="96"/>
        <v>276470.5882352941</v>
      </c>
      <c r="E265" s="278">
        <v>16</v>
      </c>
      <c r="F265" s="16">
        <v>5015</v>
      </c>
      <c r="G265">
        <v>17</v>
      </c>
      <c r="H265" s="16">
        <v>45136000</v>
      </c>
      <c r="I265" s="16">
        <v>9478560</v>
      </c>
      <c r="J265" s="16">
        <v>2300000</v>
      </c>
      <c r="K265" s="16">
        <v>1163336.7666666666</v>
      </c>
      <c r="M265" s="16">
        <v>12941896.766666666</v>
      </c>
      <c r="N265" s="16">
        <v>4012000</v>
      </c>
      <c r="O265" s="16">
        <v>4700000</v>
      </c>
      <c r="P265" s="16">
        <v>0</v>
      </c>
      <c r="Q265" s="16"/>
      <c r="R265" s="16">
        <v>0</v>
      </c>
      <c r="S265"/>
      <c r="T265" s="12">
        <v>8712000</v>
      </c>
      <c r="U265" s="313">
        <v>3290000</v>
      </c>
      <c r="V265" s="16">
        <v>0</v>
      </c>
      <c r="W265" s="123">
        <v>0</v>
      </c>
      <c r="X265" s="123">
        <v>0</v>
      </c>
      <c r="Y265" s="12">
        <v>3290000</v>
      </c>
      <c r="Z265" s="12">
        <v>939896.76666666567</v>
      </c>
      <c r="AA265" s="13">
        <v>7.2624344299166199E-2</v>
      </c>
      <c r="AB265" s="13">
        <v>8.8886919532080819E-2</v>
      </c>
      <c r="AC265" s="16">
        <v>9000.1994017946163</v>
      </c>
      <c r="AD265" s="13">
        <v>0.10412974122651542</v>
      </c>
      <c r="AF265" s="1">
        <f t="shared" si="84"/>
        <v>295</v>
      </c>
      <c r="BZ265" s="278" t="s">
        <v>276</v>
      </c>
      <c r="CC265">
        <v>0</v>
      </c>
      <c r="CD265">
        <v>0</v>
      </c>
      <c r="CE265">
        <v>0</v>
      </c>
      <c r="CF265">
        <v>0</v>
      </c>
      <c r="CL265" s="26" t="s">
        <v>277</v>
      </c>
      <c r="EM265">
        <v>0</v>
      </c>
      <c r="EN265">
        <v>0</v>
      </c>
      <c r="EO265">
        <v>0</v>
      </c>
      <c r="EP265">
        <v>0</v>
      </c>
      <c r="JO265"/>
      <c r="JP265"/>
      <c r="JS265"/>
      <c r="JT265"/>
      <c r="JV265"/>
      <c r="JZ265"/>
      <c r="KA265"/>
      <c r="KN265" s="278" t="s">
        <v>164</v>
      </c>
      <c r="MI265">
        <v>0</v>
      </c>
      <c r="MJ265">
        <v>0</v>
      </c>
      <c r="MK265">
        <v>0</v>
      </c>
      <c r="ML265">
        <v>0</v>
      </c>
    </row>
    <row r="266" spans="2:350">
      <c r="B266" s="27">
        <f t="shared" si="94"/>
        <v>8.7895289958918502E-2</v>
      </c>
      <c r="C266" s="27">
        <f t="shared" si="95"/>
        <v>3.0452851820005733E-2</v>
      </c>
      <c r="D266" s="1">
        <f t="shared" si="96"/>
        <v>79687.5</v>
      </c>
      <c r="E266" s="278">
        <v>17</v>
      </c>
      <c r="F266" s="16">
        <v>4600</v>
      </c>
      <c r="G266">
        <v>16</v>
      </c>
      <c r="H266" s="16">
        <v>41868000</v>
      </c>
      <c r="I266" s="16">
        <v>8792280</v>
      </c>
      <c r="J266" s="16">
        <v>1548000</v>
      </c>
      <c r="K266" s="16">
        <v>1163336.7666666666</v>
      </c>
      <c r="M266" s="16">
        <v>11703616.766666666</v>
      </c>
      <c r="N266" s="16">
        <v>3680000</v>
      </c>
      <c r="O266" s="16">
        <v>1275000</v>
      </c>
      <c r="P266" s="16">
        <v>250000</v>
      </c>
      <c r="Q266" s="16"/>
      <c r="R266" s="16">
        <v>0</v>
      </c>
      <c r="S266"/>
      <c r="T266" s="12">
        <v>5205000</v>
      </c>
      <c r="U266" s="313">
        <v>1155000</v>
      </c>
      <c r="V266" s="16">
        <v>0</v>
      </c>
      <c r="W266" s="123">
        <v>0</v>
      </c>
      <c r="X266" s="123">
        <v>0</v>
      </c>
      <c r="Y266" s="12">
        <v>1155000</v>
      </c>
      <c r="Z266" s="12">
        <v>5343616.7666666657</v>
      </c>
      <c r="AA266" s="13">
        <v>0.45657824185476925</v>
      </c>
      <c r="AB266" s="13">
        <v>8.7895289958918502E-2</v>
      </c>
      <c r="AC266" s="16">
        <v>9101.7391304347821</v>
      </c>
      <c r="AD266" s="13">
        <v>3.0452851820005733E-2</v>
      </c>
      <c r="AF266" s="1">
        <f t="shared" si="84"/>
        <v>287.5</v>
      </c>
      <c r="BZ266" s="278" t="s">
        <v>277</v>
      </c>
      <c r="CC266">
        <v>0</v>
      </c>
      <c r="CD266">
        <v>0</v>
      </c>
      <c r="CE266">
        <v>0</v>
      </c>
      <c r="CF266">
        <v>0</v>
      </c>
      <c r="CL266" s="26" t="s">
        <v>199</v>
      </c>
      <c r="EM266">
        <v>0</v>
      </c>
      <c r="EN266">
        <v>0</v>
      </c>
      <c r="EO266">
        <v>0</v>
      </c>
      <c r="EP266">
        <v>0</v>
      </c>
      <c r="JO266"/>
      <c r="JP266"/>
      <c r="JS266"/>
      <c r="JT266"/>
      <c r="JV266"/>
      <c r="JZ266"/>
      <c r="KA266"/>
      <c r="KN266" s="278" t="s">
        <v>165</v>
      </c>
      <c r="MI266">
        <v>0</v>
      </c>
      <c r="MJ266">
        <v>0</v>
      </c>
      <c r="MK266">
        <v>0</v>
      </c>
      <c r="ML266">
        <v>0</v>
      </c>
    </row>
    <row r="267" spans="2:350">
      <c r="B267" s="27">
        <f t="shared" si="94"/>
        <v>6.8816716871874364E-2</v>
      </c>
      <c r="C267" s="27">
        <f t="shared" si="95"/>
        <v>2.3981516684701547E-2</v>
      </c>
      <c r="D267" s="1">
        <f t="shared" si="96"/>
        <v>102500</v>
      </c>
      <c r="E267" s="278">
        <v>18</v>
      </c>
      <c r="F267" s="16">
        <v>7526</v>
      </c>
      <c r="G267">
        <v>16</v>
      </c>
      <c r="H267" s="16">
        <v>68386000</v>
      </c>
      <c r="I267" s="16">
        <v>14361060</v>
      </c>
      <c r="J267" s="16">
        <v>1836000</v>
      </c>
      <c r="K267" s="16">
        <v>1371049.5440860214</v>
      </c>
      <c r="M267" s="16">
        <v>17668109.544086024</v>
      </c>
      <c r="N267" s="16">
        <v>4706100</v>
      </c>
      <c r="O267" s="16">
        <v>1640000</v>
      </c>
      <c r="P267" s="16">
        <v>0</v>
      </c>
      <c r="Q267" s="16"/>
      <c r="R267" s="16">
        <v>0</v>
      </c>
      <c r="S267"/>
      <c r="T267" s="12">
        <v>6346100</v>
      </c>
      <c r="U267" s="313">
        <v>3570000</v>
      </c>
      <c r="V267" s="16">
        <v>0</v>
      </c>
      <c r="W267" s="123">
        <v>0</v>
      </c>
      <c r="X267" s="123">
        <v>0</v>
      </c>
      <c r="Y267" s="12">
        <v>3570000</v>
      </c>
      <c r="Z267" s="12">
        <v>7752009.5440860223</v>
      </c>
      <c r="AA267" s="13">
        <v>0.43875715875221194</v>
      </c>
      <c r="AB267" s="13">
        <v>6.8816716871874364E-2</v>
      </c>
      <c r="AC267" s="16">
        <v>9086.6330055806538</v>
      </c>
      <c r="AD267" s="13">
        <v>2.3981516684701547E-2</v>
      </c>
      <c r="AF267" s="244"/>
      <c r="BZ267" s="278" t="s">
        <v>199</v>
      </c>
      <c r="CC267">
        <v>0</v>
      </c>
      <c r="CD267">
        <v>0</v>
      </c>
      <c r="CE267">
        <v>0</v>
      </c>
      <c r="CF267">
        <v>0</v>
      </c>
      <c r="CL267" s="26" t="s">
        <v>196</v>
      </c>
      <c r="EM267">
        <v>0</v>
      </c>
      <c r="EN267">
        <v>0</v>
      </c>
      <c r="EO267">
        <v>0</v>
      </c>
      <c r="EP267">
        <v>0</v>
      </c>
      <c r="JO267"/>
      <c r="JP267"/>
      <c r="JS267"/>
      <c r="JT267"/>
      <c r="JV267"/>
      <c r="JZ267"/>
      <c r="KA267"/>
      <c r="KN267" s="278" t="s">
        <v>36</v>
      </c>
      <c r="MI267">
        <v>0</v>
      </c>
      <c r="MJ267">
        <v>0</v>
      </c>
      <c r="MK267">
        <v>0</v>
      </c>
      <c r="ML267">
        <v>0</v>
      </c>
    </row>
    <row r="268" spans="2:350">
      <c r="B268" s="27">
        <f t="shared" si="94"/>
        <v>9.9487179487179486E-2</v>
      </c>
      <c r="C268" s="27">
        <f t="shared" si="95"/>
        <v>3.5493827160493825E-2</v>
      </c>
      <c r="D268" s="1">
        <f t="shared" si="96"/>
        <v>93437.5</v>
      </c>
      <c r="E268" s="278">
        <v>19</v>
      </c>
      <c r="F268" s="16">
        <v>4656</v>
      </c>
      <c r="G268">
        <v>16</v>
      </c>
      <c r="H268" s="16">
        <v>42120000</v>
      </c>
      <c r="I268" s="16">
        <v>8845200</v>
      </c>
      <c r="J268" s="16">
        <v>1584000</v>
      </c>
      <c r="K268" s="16">
        <v>1235999.935483871</v>
      </c>
      <c r="M268" s="16">
        <v>11965199.935483871</v>
      </c>
      <c r="N268" s="16">
        <v>4190400</v>
      </c>
      <c r="O268" s="16">
        <v>1495000</v>
      </c>
      <c r="P268" s="16">
        <v>720000</v>
      </c>
      <c r="Q268" s="16"/>
      <c r="R268" s="16">
        <v>0</v>
      </c>
      <c r="S268"/>
      <c r="T268" s="12">
        <v>6405400</v>
      </c>
      <c r="U268" s="313">
        <v>3115000</v>
      </c>
      <c r="V268" s="16">
        <v>0</v>
      </c>
      <c r="W268" s="123">
        <v>0</v>
      </c>
      <c r="X268" s="123">
        <v>0</v>
      </c>
      <c r="Y268" s="12">
        <v>3115000</v>
      </c>
      <c r="Z268" s="12">
        <v>2444799.935483871</v>
      </c>
      <c r="AA268" s="13">
        <v>0.20432587409037756</v>
      </c>
      <c r="AB268" s="13">
        <v>9.9487179487179486E-2</v>
      </c>
      <c r="AC268" s="16">
        <v>9046.3917525773195</v>
      </c>
      <c r="AD268" s="13">
        <v>3.5493827160493825E-2</v>
      </c>
      <c r="AF268" s="85"/>
      <c r="BZ268" s="278" t="s">
        <v>196</v>
      </c>
      <c r="CC268">
        <v>0</v>
      </c>
      <c r="CD268">
        <v>0</v>
      </c>
      <c r="CE268">
        <v>0</v>
      </c>
      <c r="CF268">
        <v>0</v>
      </c>
      <c r="CL268" s="26" t="s">
        <v>29</v>
      </c>
      <c r="EM268">
        <v>0</v>
      </c>
      <c r="EN268">
        <v>0</v>
      </c>
      <c r="EO268">
        <v>0</v>
      </c>
      <c r="EP268">
        <v>0</v>
      </c>
      <c r="JO268"/>
      <c r="JP268"/>
      <c r="JS268"/>
      <c r="JT268"/>
      <c r="JV268"/>
      <c r="JZ268"/>
      <c r="KA268"/>
      <c r="KN268" s="278" t="s">
        <v>166</v>
      </c>
      <c r="MI268">
        <v>0</v>
      </c>
      <c r="MJ268">
        <v>0</v>
      </c>
      <c r="MK268">
        <v>0</v>
      </c>
      <c r="ML268">
        <v>0</v>
      </c>
    </row>
    <row r="269" spans="2:350">
      <c r="B269" s="27">
        <f t="shared" si="94"/>
        <v>9.9017238234221081E-2</v>
      </c>
      <c r="C269" s="27">
        <f t="shared" si="95"/>
        <v>3.3290769792046697E-2</v>
      </c>
      <c r="D269" s="1">
        <f t="shared" si="96"/>
        <v>91250</v>
      </c>
      <c r="E269" s="278">
        <v>20</v>
      </c>
      <c r="F269" s="16">
        <v>4825</v>
      </c>
      <c r="G269">
        <v>16</v>
      </c>
      <c r="H269" s="16">
        <v>43856000</v>
      </c>
      <c r="I269" s="16">
        <v>9209760</v>
      </c>
      <c r="J269" s="16">
        <v>1692000</v>
      </c>
      <c r="K269" s="16">
        <v>1235999.935483871</v>
      </c>
      <c r="M269" s="16">
        <v>12137759.935483871</v>
      </c>
      <c r="N269" s="16">
        <v>4342500</v>
      </c>
      <c r="O269" s="16">
        <v>1460000</v>
      </c>
      <c r="P269" s="16">
        <v>900000</v>
      </c>
      <c r="Q269" s="16"/>
      <c r="R269" s="16">
        <v>0</v>
      </c>
      <c r="S269"/>
      <c r="T269" s="12">
        <v>6702500</v>
      </c>
      <c r="U269" s="313">
        <v>3360000</v>
      </c>
      <c r="V269" s="16">
        <v>0</v>
      </c>
      <c r="W269" s="123">
        <v>0</v>
      </c>
      <c r="X269" s="123">
        <v>0</v>
      </c>
      <c r="Y269" s="12">
        <v>3360000</v>
      </c>
      <c r="Z269" s="12">
        <v>2075259.935483871</v>
      </c>
      <c r="AA269" s="13">
        <v>0.17097552979417541</v>
      </c>
      <c r="AB269" s="13">
        <v>9.9017238234221081E-2</v>
      </c>
      <c r="AC269" s="16">
        <v>9089.3264248704654</v>
      </c>
      <c r="AD269" s="13">
        <v>3.3290769792046697E-2</v>
      </c>
      <c r="AF269" s="13"/>
      <c r="BZ269" s="278" t="s">
        <v>29</v>
      </c>
      <c r="CC269">
        <v>0</v>
      </c>
      <c r="CD269">
        <v>0</v>
      </c>
      <c r="CE269">
        <v>0</v>
      </c>
      <c r="CF269">
        <v>0</v>
      </c>
      <c r="CL269" s="26" t="s">
        <v>23</v>
      </c>
      <c r="ED269">
        <v>227</v>
      </c>
      <c r="EE269">
        <v>251</v>
      </c>
      <c r="EF269">
        <v>244</v>
      </c>
      <c r="EG269">
        <v>240</v>
      </c>
      <c r="EH269">
        <v>241</v>
      </c>
      <c r="EM269">
        <v>0</v>
      </c>
      <c r="EN269">
        <v>0</v>
      </c>
      <c r="EO269">
        <v>0</v>
      </c>
      <c r="EP269">
        <v>251</v>
      </c>
      <c r="JO269"/>
      <c r="JP269"/>
      <c r="JS269"/>
      <c r="JT269"/>
      <c r="JV269"/>
      <c r="JZ269"/>
      <c r="KA269"/>
      <c r="KN269" s="26" t="s">
        <v>178</v>
      </c>
      <c r="MI269">
        <v>0</v>
      </c>
      <c r="MJ269">
        <v>0</v>
      </c>
      <c r="MK269">
        <v>0</v>
      </c>
      <c r="ML269">
        <v>0</v>
      </c>
    </row>
    <row r="270" spans="2:350">
      <c r="B270" s="27">
        <f t="shared" si="94"/>
        <v>0.10007968704723269</v>
      </c>
      <c r="C270" s="27">
        <f t="shared" si="95"/>
        <v>3.5255481502946003E-2</v>
      </c>
      <c r="D270" s="1">
        <f t="shared" si="96"/>
        <v>91250</v>
      </c>
      <c r="E270" s="278">
        <v>21</v>
      </c>
      <c r="F270" s="16">
        <v>4605</v>
      </c>
      <c r="G270">
        <v>16</v>
      </c>
      <c r="H270" s="16">
        <v>41412000</v>
      </c>
      <c r="I270" s="16">
        <v>8696520</v>
      </c>
      <c r="J270" s="16">
        <v>1584000</v>
      </c>
      <c r="K270" s="16">
        <v>1235999.935483871</v>
      </c>
      <c r="M270" s="16">
        <v>11616519.935483871</v>
      </c>
      <c r="N270" s="16">
        <v>4144500</v>
      </c>
      <c r="O270" s="16">
        <v>1460000</v>
      </c>
      <c r="P270" s="16">
        <v>780000</v>
      </c>
      <c r="Q270" s="16"/>
      <c r="R270" s="16">
        <v>0</v>
      </c>
      <c r="S270"/>
      <c r="T270" s="12">
        <v>6384500</v>
      </c>
      <c r="U270" s="313">
        <v>3080000</v>
      </c>
      <c r="V270" s="16">
        <v>0</v>
      </c>
      <c r="W270" s="123">
        <v>0</v>
      </c>
      <c r="X270" s="123">
        <v>0</v>
      </c>
      <c r="Y270" s="12">
        <v>3080000</v>
      </c>
      <c r="Z270" s="12">
        <v>2152019.935483871</v>
      </c>
      <c r="AA270" s="13">
        <v>0.18525513212526773</v>
      </c>
      <c r="AB270" s="13">
        <v>0.10007968704723269</v>
      </c>
      <c r="AC270" s="16">
        <v>8992.8338762214989</v>
      </c>
      <c r="AD270" s="13">
        <v>3.5255481502946003E-2</v>
      </c>
      <c r="BZ270" s="278" t="s">
        <v>23</v>
      </c>
      <c r="CC270">
        <v>0</v>
      </c>
      <c r="CD270">
        <v>0</v>
      </c>
      <c r="CE270">
        <v>0</v>
      </c>
      <c r="CF270">
        <v>0</v>
      </c>
      <c r="CL270" s="26" t="s">
        <v>172</v>
      </c>
      <c r="ED270">
        <v>19</v>
      </c>
      <c r="EE270">
        <v>21</v>
      </c>
      <c r="EF270">
        <v>26</v>
      </c>
      <c r="EG270">
        <v>26</v>
      </c>
      <c r="EH270">
        <v>25</v>
      </c>
      <c r="EM270">
        <v>0</v>
      </c>
      <c r="EN270">
        <v>0</v>
      </c>
      <c r="EO270">
        <v>0</v>
      </c>
      <c r="EP270">
        <v>26</v>
      </c>
      <c r="JO270"/>
      <c r="JP270"/>
      <c r="JS270"/>
      <c r="JT270"/>
      <c r="JV270"/>
      <c r="JZ270"/>
      <c r="KA270"/>
      <c r="KN270" s="278" t="s">
        <v>21</v>
      </c>
      <c r="MI270">
        <v>0</v>
      </c>
      <c r="MJ270">
        <v>0</v>
      </c>
      <c r="MK270">
        <v>0</v>
      </c>
      <c r="ML270">
        <v>0</v>
      </c>
    </row>
    <row r="271" spans="2:350">
      <c r="B271" s="27">
        <f t="shared" si="94"/>
        <v>9.9892748770534681E-2</v>
      </c>
      <c r="C271" s="27">
        <f t="shared" si="95"/>
        <v>3.5183635031913775E-2</v>
      </c>
      <c r="D271" s="1">
        <f t="shared" si="96"/>
        <v>96071.428571428551</v>
      </c>
      <c r="E271" s="278">
        <v>22</v>
      </c>
      <c r="F271" s="16">
        <v>4243</v>
      </c>
      <c r="G271">
        <v>14</v>
      </c>
      <c r="H271" s="16">
        <v>38228000</v>
      </c>
      <c r="I271" s="16">
        <v>8027880</v>
      </c>
      <c r="J271" s="16">
        <v>1421999.9999999998</v>
      </c>
      <c r="K271" s="16">
        <v>1213714.2661290322</v>
      </c>
      <c r="M271" s="16">
        <v>10713594.266129032</v>
      </c>
      <c r="N271" s="16">
        <v>3818699.9999999995</v>
      </c>
      <c r="O271" s="16">
        <v>1344999.9999999998</v>
      </c>
      <c r="P271" s="16">
        <v>780000</v>
      </c>
      <c r="Q271" s="16"/>
      <c r="R271" s="16">
        <v>0</v>
      </c>
      <c r="S271"/>
      <c r="T271" s="12">
        <v>5943699.9999999991</v>
      </c>
      <c r="U271" s="313">
        <v>2765000</v>
      </c>
      <c r="V271" s="16">
        <v>0</v>
      </c>
      <c r="W271" s="123">
        <v>0</v>
      </c>
      <c r="X271" s="123">
        <v>0</v>
      </c>
      <c r="Y271" s="12">
        <v>2765000</v>
      </c>
      <c r="Z271" s="12">
        <v>2004894.2661290334</v>
      </c>
      <c r="AA271" s="13">
        <v>0.18713554166107405</v>
      </c>
      <c r="AB271" s="13">
        <v>9.9892748770534681E-2</v>
      </c>
      <c r="AC271" s="16">
        <v>9009.6629743106296</v>
      </c>
      <c r="AD271" s="13">
        <v>3.5183635031913775E-2</v>
      </c>
      <c r="BZ271" s="278" t="s">
        <v>172</v>
      </c>
      <c r="CC271">
        <v>0</v>
      </c>
      <c r="CD271">
        <v>0</v>
      </c>
      <c r="CE271">
        <v>0</v>
      </c>
      <c r="CF271">
        <v>0</v>
      </c>
      <c r="CL271" s="26" t="s">
        <v>205</v>
      </c>
      <c r="ED271">
        <v>4</v>
      </c>
      <c r="EE271">
        <v>6</v>
      </c>
      <c r="EF271">
        <v>6</v>
      </c>
      <c r="EG271">
        <v>5</v>
      </c>
      <c r="EH271">
        <v>5</v>
      </c>
      <c r="EM271">
        <v>0</v>
      </c>
      <c r="EN271">
        <v>0</v>
      </c>
      <c r="EO271">
        <v>0</v>
      </c>
      <c r="EP271">
        <v>6</v>
      </c>
      <c r="JO271"/>
      <c r="JP271"/>
      <c r="JS271"/>
      <c r="JT271"/>
      <c r="JV271"/>
      <c r="JZ271"/>
      <c r="KA271"/>
      <c r="KN271" s="278" t="s">
        <v>158</v>
      </c>
      <c r="MI271">
        <v>0</v>
      </c>
      <c r="MJ271">
        <v>0</v>
      </c>
      <c r="MK271">
        <v>0</v>
      </c>
      <c r="ML271">
        <v>0</v>
      </c>
    </row>
    <row r="272" spans="2:350">
      <c r="B272" s="27">
        <f t="shared" si="94"/>
        <v>8.0869101123595508E-2</v>
      </c>
      <c r="C272" s="27">
        <f t="shared" si="95"/>
        <v>5.4213483146067415E-2</v>
      </c>
      <c r="D272" s="1">
        <f t="shared" si="96"/>
        <v>148461.53846153847</v>
      </c>
      <c r="E272" s="278">
        <v>23</v>
      </c>
      <c r="F272" s="16">
        <v>3966</v>
      </c>
      <c r="G272">
        <v>13</v>
      </c>
      <c r="H272" s="16">
        <v>35600000</v>
      </c>
      <c r="I272" s="16">
        <v>7476000</v>
      </c>
      <c r="J272" s="16">
        <v>2275000</v>
      </c>
      <c r="K272" s="16">
        <v>1080000.25</v>
      </c>
      <c r="M272" s="16">
        <v>10831000.25</v>
      </c>
      <c r="N272" s="16">
        <v>2878940</v>
      </c>
      <c r="O272" s="16">
        <v>1930000</v>
      </c>
      <c r="P272" s="16">
        <v>600000</v>
      </c>
      <c r="Q272" s="16"/>
      <c r="R272" s="16">
        <v>0</v>
      </c>
      <c r="S272"/>
      <c r="T272" s="12">
        <v>5408940</v>
      </c>
      <c r="U272" s="313">
        <v>2485000</v>
      </c>
      <c r="V272" s="16">
        <v>0</v>
      </c>
      <c r="W272" s="123">
        <v>0</v>
      </c>
      <c r="X272" s="123">
        <v>0</v>
      </c>
      <c r="Y272" s="12">
        <v>2485000</v>
      </c>
      <c r="Z272" s="12">
        <v>2937060.25</v>
      </c>
      <c r="AA272" s="13">
        <v>0.27117165379070135</v>
      </c>
      <c r="AB272" s="13">
        <v>8.0869101123595508E-2</v>
      </c>
      <c r="AC272" s="16">
        <v>8976.2985375693388</v>
      </c>
      <c r="AD272" s="13">
        <v>5.4213483146067415E-2</v>
      </c>
      <c r="BZ272" s="278" t="s">
        <v>205</v>
      </c>
      <c r="CC272">
        <v>0</v>
      </c>
      <c r="CD272">
        <v>0</v>
      </c>
      <c r="CE272">
        <v>0</v>
      </c>
      <c r="CF272">
        <v>0</v>
      </c>
      <c r="CL272" s="26" t="s">
        <v>173</v>
      </c>
      <c r="ED272">
        <v>13</v>
      </c>
      <c r="EE272">
        <v>12</v>
      </c>
      <c r="EF272">
        <v>10</v>
      </c>
      <c r="EG272">
        <v>16</v>
      </c>
      <c r="EH272">
        <v>14</v>
      </c>
      <c r="EM272">
        <v>0</v>
      </c>
      <c r="EN272">
        <v>0</v>
      </c>
      <c r="EO272">
        <v>0</v>
      </c>
      <c r="EP272">
        <v>16</v>
      </c>
      <c r="JO272"/>
      <c r="JP272"/>
      <c r="JS272"/>
      <c r="JT272"/>
      <c r="JV272"/>
      <c r="JZ272"/>
      <c r="KA272"/>
      <c r="KN272" s="278" t="s">
        <v>159</v>
      </c>
      <c r="MI272">
        <v>0</v>
      </c>
      <c r="MJ272">
        <v>0</v>
      </c>
      <c r="MK272">
        <v>0</v>
      </c>
      <c r="ML272">
        <v>0</v>
      </c>
    </row>
    <row r="273" spans="2:350">
      <c r="B273" s="27">
        <f t="shared" si="94"/>
        <v>8.4770750271837628E-2</v>
      </c>
      <c r="C273" s="27">
        <f t="shared" si="95"/>
        <v>7.5661471547662201E-2</v>
      </c>
      <c r="D273" s="1">
        <f t="shared" si="96"/>
        <v>139166.66666666666</v>
      </c>
      <c r="E273" s="278">
        <v>24</v>
      </c>
      <c r="F273" s="16">
        <v>3303</v>
      </c>
      <c r="G273">
        <v>12</v>
      </c>
      <c r="H273" s="16">
        <v>22072000</v>
      </c>
      <c r="I273" s="16">
        <v>5738720</v>
      </c>
      <c r="J273" s="16">
        <v>2100000</v>
      </c>
      <c r="K273" s="16">
        <v>0</v>
      </c>
      <c r="M273" s="16">
        <v>7838720</v>
      </c>
      <c r="N273" s="16">
        <v>1871060</v>
      </c>
      <c r="O273" s="16">
        <v>1670000</v>
      </c>
      <c r="P273" s="16">
        <v>480000</v>
      </c>
      <c r="Q273" s="16"/>
      <c r="R273" s="16">
        <v>0</v>
      </c>
      <c r="S273"/>
      <c r="T273" s="12">
        <v>4021060</v>
      </c>
      <c r="U273" s="313">
        <v>2135000</v>
      </c>
      <c r="V273" s="16">
        <v>0</v>
      </c>
      <c r="W273" s="123">
        <v>0</v>
      </c>
      <c r="X273" s="123">
        <v>0</v>
      </c>
      <c r="Y273" s="12">
        <v>2135000</v>
      </c>
      <c r="Z273" s="12">
        <v>1682660</v>
      </c>
      <c r="AA273" s="13">
        <v>0.21466004653821033</v>
      </c>
      <c r="AB273" s="13">
        <v>8.4770750271837628E-2</v>
      </c>
      <c r="AC273" s="16">
        <v>6682.4099303663334</v>
      </c>
      <c r="AD273" s="13">
        <v>7.5661471547662201E-2</v>
      </c>
      <c r="BZ273" s="278" t="s">
        <v>173</v>
      </c>
      <c r="CC273">
        <v>0</v>
      </c>
      <c r="CD273">
        <v>0</v>
      </c>
      <c r="CE273">
        <v>0</v>
      </c>
      <c r="CF273">
        <v>0</v>
      </c>
      <c r="CL273" s="26" t="s">
        <v>174</v>
      </c>
      <c r="ED273">
        <v>23</v>
      </c>
      <c r="EE273">
        <v>26</v>
      </c>
      <c r="EF273">
        <v>23</v>
      </c>
      <c r="EG273">
        <v>22</v>
      </c>
      <c r="EH273">
        <v>18</v>
      </c>
      <c r="EM273">
        <v>0</v>
      </c>
      <c r="EN273">
        <v>0</v>
      </c>
      <c r="EO273">
        <v>0</v>
      </c>
      <c r="EP273">
        <v>26</v>
      </c>
      <c r="JO273"/>
      <c r="JP273"/>
      <c r="JS273"/>
      <c r="JT273"/>
      <c r="JV273"/>
      <c r="JZ273"/>
      <c r="KA273"/>
      <c r="KN273" s="278" t="s">
        <v>160</v>
      </c>
      <c r="MI273">
        <v>0</v>
      </c>
      <c r="MJ273">
        <v>0</v>
      </c>
      <c r="MK273">
        <v>0</v>
      </c>
      <c r="ML273">
        <v>0</v>
      </c>
    </row>
    <row r="274" spans="2:350">
      <c r="B274" s="27">
        <f t="shared" si="94"/>
        <v>0.11267877564749411</v>
      </c>
      <c r="C274" s="27">
        <f t="shared" si="95"/>
        <v>8.8294651866801216E-2</v>
      </c>
      <c r="D274" s="1">
        <f t="shared" si="96"/>
        <v>218750</v>
      </c>
      <c r="E274" s="278">
        <v>25</v>
      </c>
      <c r="F274" s="16">
        <v>3323</v>
      </c>
      <c r="G274">
        <v>12</v>
      </c>
      <c r="H274" s="16">
        <v>29730000</v>
      </c>
      <c r="I274" s="16">
        <v>7729800</v>
      </c>
      <c r="J274" s="16">
        <v>1900000</v>
      </c>
      <c r="K274" s="16">
        <v>0</v>
      </c>
      <c r="M274" s="16">
        <v>9704800</v>
      </c>
      <c r="N274" s="16">
        <v>3349940</v>
      </c>
      <c r="O274" s="16">
        <v>2625000</v>
      </c>
      <c r="P274" s="16">
        <v>0</v>
      </c>
      <c r="Q274" s="16"/>
      <c r="R274" s="16">
        <v>0</v>
      </c>
      <c r="S274"/>
      <c r="T274" s="12">
        <v>5974940</v>
      </c>
      <c r="U274" s="313">
        <v>2240000</v>
      </c>
      <c r="V274" s="16">
        <v>0</v>
      </c>
      <c r="W274" s="123">
        <v>0</v>
      </c>
      <c r="X274" s="123">
        <v>0</v>
      </c>
      <c r="Y274" s="12">
        <v>2240000</v>
      </c>
      <c r="Z274" s="12">
        <v>1489860</v>
      </c>
      <c r="AA274" s="13">
        <v>0.15351784683867778</v>
      </c>
      <c r="AB274" s="13">
        <v>0.11267877564749411</v>
      </c>
      <c r="AC274" s="16">
        <v>8946.734878122179</v>
      </c>
      <c r="AD274" s="13">
        <v>8.8294651866801216E-2</v>
      </c>
      <c r="BZ274" s="278" t="s">
        <v>174</v>
      </c>
      <c r="CC274">
        <v>0</v>
      </c>
      <c r="CD274">
        <v>0</v>
      </c>
      <c r="CE274">
        <v>0</v>
      </c>
      <c r="CF274">
        <v>0</v>
      </c>
      <c r="CL274" s="26" t="s">
        <v>203</v>
      </c>
      <c r="EM274">
        <v>0</v>
      </c>
      <c r="EN274">
        <v>0</v>
      </c>
      <c r="EO274">
        <v>0</v>
      </c>
      <c r="EP274">
        <v>0</v>
      </c>
      <c r="JO274"/>
      <c r="JP274"/>
      <c r="JS274"/>
      <c r="JT274"/>
      <c r="JV274"/>
      <c r="JZ274"/>
      <c r="KA274"/>
      <c r="KN274" s="278" t="s">
        <v>161</v>
      </c>
      <c r="MI274">
        <v>0</v>
      </c>
      <c r="MJ274">
        <v>0</v>
      </c>
      <c r="MK274">
        <v>0</v>
      </c>
      <c r="ML274">
        <v>0</v>
      </c>
    </row>
    <row r="275" spans="2:350">
      <c r="B275" s="27">
        <f t="shared" si="94"/>
        <v>0.10671292281006071</v>
      </c>
      <c r="C275" s="27">
        <f t="shared" si="95"/>
        <v>9.6742513137084846E-2</v>
      </c>
      <c r="D275" s="1">
        <f t="shared" si="96"/>
        <v>210694.44444444444</v>
      </c>
      <c r="E275" s="278">
        <v>26</v>
      </c>
      <c r="F275" s="16">
        <v>4380</v>
      </c>
      <c r="G275">
        <v>18</v>
      </c>
      <c r="H275" s="16">
        <v>39202000</v>
      </c>
      <c r="I275" s="16">
        <v>10192520</v>
      </c>
      <c r="J275" s="16">
        <v>2475000</v>
      </c>
      <c r="K275" s="16">
        <v>0</v>
      </c>
      <c r="M275" s="16">
        <v>12692520</v>
      </c>
      <c r="N275" s="16">
        <v>4183360</v>
      </c>
      <c r="O275" s="16">
        <v>3792500</v>
      </c>
      <c r="P275" s="16">
        <v>0</v>
      </c>
      <c r="Q275" s="16"/>
      <c r="R275" s="16">
        <v>200000</v>
      </c>
      <c r="S275"/>
      <c r="T275" s="12">
        <v>8175860</v>
      </c>
      <c r="U275" s="313">
        <v>3465000</v>
      </c>
      <c r="V275" s="16">
        <v>0</v>
      </c>
      <c r="W275" s="123">
        <v>0</v>
      </c>
      <c r="X275" s="123">
        <v>0</v>
      </c>
      <c r="Y275" s="12">
        <v>3465000</v>
      </c>
      <c r="Z275" s="12">
        <v>1051660</v>
      </c>
      <c r="AA275" s="13">
        <v>8.2856674639866623E-2</v>
      </c>
      <c r="AB275" s="13">
        <v>0.10671292281006071</v>
      </c>
      <c r="AC275" s="16">
        <v>8950.2283105022834</v>
      </c>
      <c r="AD275" s="13">
        <v>9.6742513137084846E-2</v>
      </c>
      <c r="BZ275" s="278" t="s">
        <v>203</v>
      </c>
      <c r="CC275">
        <v>0</v>
      </c>
      <c r="CD275">
        <v>0</v>
      </c>
      <c r="CE275">
        <v>0</v>
      </c>
      <c r="CF275">
        <v>0</v>
      </c>
      <c r="CL275" s="26" t="s">
        <v>175</v>
      </c>
      <c r="EM275">
        <v>0</v>
      </c>
      <c r="EN275">
        <v>0</v>
      </c>
      <c r="EO275">
        <v>0</v>
      </c>
      <c r="EP275">
        <v>0</v>
      </c>
      <c r="JO275"/>
      <c r="JP275"/>
      <c r="JS275"/>
      <c r="JT275"/>
      <c r="JV275"/>
      <c r="JZ275"/>
      <c r="KA275"/>
      <c r="KN275" s="278" t="s">
        <v>156</v>
      </c>
      <c r="MI275">
        <v>0</v>
      </c>
      <c r="MJ275">
        <v>0</v>
      </c>
      <c r="MK275">
        <v>0</v>
      </c>
      <c r="ML275">
        <v>0</v>
      </c>
    </row>
    <row r="276" spans="2:350">
      <c r="B276" s="27">
        <f t="shared" si="94"/>
        <v>8.006675254713666E-2</v>
      </c>
      <c r="C276" s="27">
        <f t="shared" si="95"/>
        <v>8.7100363040168632E-2</v>
      </c>
      <c r="D276" s="1">
        <f t="shared" si="96"/>
        <v>156578.94736842104</v>
      </c>
      <c r="E276" s="278">
        <v>27</v>
      </c>
      <c r="F276" s="16">
        <v>3809</v>
      </c>
      <c r="G276">
        <v>19</v>
      </c>
      <c r="H276" s="16">
        <v>34156000</v>
      </c>
      <c r="I276" s="16">
        <v>8880560</v>
      </c>
      <c r="J276" s="16">
        <v>3225000</v>
      </c>
      <c r="K276" s="16">
        <v>0</v>
      </c>
      <c r="M276" s="16">
        <v>12105560</v>
      </c>
      <c r="N276" s="16">
        <v>2734760</v>
      </c>
      <c r="O276" s="16">
        <v>2975000</v>
      </c>
      <c r="P276" s="16">
        <v>0</v>
      </c>
      <c r="Q276" s="16"/>
      <c r="R276" s="16">
        <v>0</v>
      </c>
      <c r="S276"/>
      <c r="T276" s="12">
        <v>5709760</v>
      </c>
      <c r="U276" s="313">
        <v>3325000</v>
      </c>
      <c r="V276" s="16">
        <v>0</v>
      </c>
      <c r="W276" s="123">
        <v>0</v>
      </c>
      <c r="X276" s="123">
        <v>0</v>
      </c>
      <c r="Y276" s="12">
        <v>3325000</v>
      </c>
      <c r="Z276" s="12">
        <v>3070800</v>
      </c>
      <c r="AA276" s="13">
        <v>0.25366856221438744</v>
      </c>
      <c r="AB276" s="13">
        <v>8.006675254713666E-2</v>
      </c>
      <c r="AC276" s="16">
        <v>8967.1829876608026</v>
      </c>
      <c r="AD276" s="13">
        <v>8.7100363040168632E-2</v>
      </c>
      <c r="BZ276" s="278" t="s">
        <v>175</v>
      </c>
      <c r="CC276">
        <v>0</v>
      </c>
      <c r="CD276">
        <v>0</v>
      </c>
      <c r="CE276">
        <v>0</v>
      </c>
      <c r="CF276">
        <v>0</v>
      </c>
      <c r="CL276" s="26" t="s">
        <v>200</v>
      </c>
      <c r="EM276">
        <v>0</v>
      </c>
      <c r="EN276">
        <v>0</v>
      </c>
      <c r="EO276">
        <v>0</v>
      </c>
      <c r="EP276">
        <v>0</v>
      </c>
      <c r="JO276"/>
      <c r="JP276"/>
      <c r="JS276"/>
      <c r="JT276"/>
      <c r="JV276"/>
      <c r="JZ276"/>
      <c r="KA276"/>
      <c r="KN276" s="278" t="s">
        <v>162</v>
      </c>
      <c r="MI276">
        <v>0</v>
      </c>
      <c r="MJ276">
        <v>0</v>
      </c>
      <c r="MK276">
        <v>0</v>
      </c>
      <c r="ML276">
        <v>0</v>
      </c>
    </row>
    <row r="277" spans="2:350">
      <c r="B277" s="27">
        <f t="shared" si="94"/>
        <v>0.10376544053967821</v>
      </c>
      <c r="C277" s="27">
        <f t="shared" si="95"/>
        <v>0.10329778020876065</v>
      </c>
      <c r="D277" s="1">
        <f t="shared" si="96"/>
        <v>197065.21739130435</v>
      </c>
      <c r="E277" s="278">
        <v>28</v>
      </c>
      <c r="F277" s="16">
        <v>4929</v>
      </c>
      <c r="G277">
        <v>23</v>
      </c>
      <c r="H277" s="16">
        <v>43878000</v>
      </c>
      <c r="I277" s="16">
        <v>11408280</v>
      </c>
      <c r="J277" s="16">
        <v>3400000</v>
      </c>
      <c r="K277" s="16">
        <v>0</v>
      </c>
      <c r="M277" s="16">
        <v>14808280</v>
      </c>
      <c r="N277" s="16">
        <v>4553020</v>
      </c>
      <c r="O277" s="16">
        <v>4532500</v>
      </c>
      <c r="P277" s="16">
        <v>0</v>
      </c>
      <c r="Q277" s="16"/>
      <c r="R277" s="16">
        <v>0</v>
      </c>
      <c r="S277"/>
      <c r="T277" s="12">
        <v>9085520</v>
      </c>
      <c r="U277" s="313">
        <v>4760000</v>
      </c>
      <c r="V277" s="16">
        <v>0</v>
      </c>
      <c r="W277" s="123">
        <v>840000</v>
      </c>
      <c r="X277" s="123">
        <v>0</v>
      </c>
      <c r="Y277" s="12">
        <v>5600000</v>
      </c>
      <c r="Z277" s="12">
        <v>122760</v>
      </c>
      <c r="AA277" s="13">
        <v>8.2899566999003263E-3</v>
      </c>
      <c r="AB277" s="13">
        <v>0.10376544053967821</v>
      </c>
      <c r="AC277" s="16">
        <v>8902.0085209981735</v>
      </c>
      <c r="AD277" s="13">
        <v>0.10329778020876065</v>
      </c>
      <c r="BZ277" s="278" t="s">
        <v>200</v>
      </c>
      <c r="CC277">
        <v>0</v>
      </c>
      <c r="CD277">
        <v>0</v>
      </c>
      <c r="CE277">
        <v>0</v>
      </c>
      <c r="CF277">
        <v>0</v>
      </c>
      <c r="CL277" s="26" t="s">
        <v>176</v>
      </c>
      <c r="ED277">
        <v>12</v>
      </c>
      <c r="EE277">
        <v>14</v>
      </c>
      <c r="EF277">
        <v>10</v>
      </c>
      <c r="EG277">
        <v>11</v>
      </c>
      <c r="EH277">
        <v>15</v>
      </c>
      <c r="EM277">
        <v>0</v>
      </c>
      <c r="EN277">
        <v>0</v>
      </c>
      <c r="EO277">
        <v>0</v>
      </c>
      <c r="EP277">
        <v>15</v>
      </c>
      <c r="JO277"/>
      <c r="JP277"/>
      <c r="JS277"/>
      <c r="JT277"/>
      <c r="JV277"/>
      <c r="JZ277"/>
      <c r="KA277"/>
      <c r="KN277" s="278" t="s">
        <v>163</v>
      </c>
      <c r="LV277" s="379"/>
      <c r="MI277">
        <v>0</v>
      </c>
      <c r="MJ277">
        <v>0</v>
      </c>
      <c r="MK277">
        <v>0</v>
      </c>
      <c r="ML277">
        <v>0</v>
      </c>
    </row>
    <row r="278" spans="2:350">
      <c r="B278" s="27">
        <f t="shared" si="94"/>
        <v>0.10002634498058791</v>
      </c>
      <c r="C278" s="27">
        <f t="shared" si="95"/>
        <v>0.10156683305601776</v>
      </c>
      <c r="D278" s="1">
        <f t="shared" si="96"/>
        <v>199772.72727272726</v>
      </c>
      <c r="E278" s="278">
        <v>29</v>
      </c>
      <c r="F278" s="16">
        <v>4821</v>
      </c>
      <c r="G278">
        <v>22</v>
      </c>
      <c r="H278" s="16">
        <v>43272000</v>
      </c>
      <c r="I278" s="16">
        <v>11250720</v>
      </c>
      <c r="J278" s="16">
        <v>3650000</v>
      </c>
      <c r="K278" s="16">
        <v>0</v>
      </c>
      <c r="M278" s="16">
        <v>15075720</v>
      </c>
      <c r="N278" s="16">
        <v>4328340</v>
      </c>
      <c r="O278" s="16">
        <v>4395000</v>
      </c>
      <c r="P278" s="16">
        <v>0</v>
      </c>
      <c r="Q278" s="16"/>
      <c r="R278" s="16">
        <v>0</v>
      </c>
      <c r="S278"/>
      <c r="T278" s="12">
        <v>8723340</v>
      </c>
      <c r="U278" s="313">
        <v>4095000</v>
      </c>
      <c r="V278" s="16">
        <v>0</v>
      </c>
      <c r="W278" s="123">
        <v>840000</v>
      </c>
      <c r="X278" s="123">
        <v>0</v>
      </c>
      <c r="Y278" s="12">
        <v>4935000</v>
      </c>
      <c r="Z278" s="12">
        <v>1417380</v>
      </c>
      <c r="AA278" s="13">
        <v>9.4017400163972267E-2</v>
      </c>
      <c r="AB278" s="13">
        <v>0.10002634498058791</v>
      </c>
      <c r="AC278" s="16">
        <v>8975.7311761045421</v>
      </c>
      <c r="AD278" s="13">
        <v>0.10156683305601776</v>
      </c>
      <c r="BZ278" s="278" t="s">
        <v>176</v>
      </c>
      <c r="CC278">
        <v>0</v>
      </c>
      <c r="CD278">
        <v>0</v>
      </c>
      <c r="CE278">
        <v>0</v>
      </c>
      <c r="CF278">
        <v>0</v>
      </c>
      <c r="CL278" s="26" t="s">
        <v>201</v>
      </c>
      <c r="EM278">
        <v>0</v>
      </c>
      <c r="EN278">
        <v>0</v>
      </c>
      <c r="EO278">
        <v>0</v>
      </c>
      <c r="EP278">
        <v>0</v>
      </c>
      <c r="JO278"/>
      <c r="JP278"/>
      <c r="JS278"/>
      <c r="JT278"/>
      <c r="JV278"/>
      <c r="JZ278"/>
      <c r="KA278"/>
      <c r="KN278" s="278" t="s">
        <v>164</v>
      </c>
      <c r="MI278">
        <v>0</v>
      </c>
      <c r="MJ278">
        <v>0</v>
      </c>
      <c r="MK278">
        <v>0</v>
      </c>
      <c r="ML278">
        <v>0</v>
      </c>
    </row>
    <row r="279" spans="2:350">
      <c r="B279" s="27">
        <f t="shared" si="94"/>
        <v>9.0659515295987286E-2</v>
      </c>
      <c r="C279" s="27">
        <f t="shared" si="95"/>
        <v>0.10627731426301153</v>
      </c>
      <c r="D279" s="1">
        <f t="shared" si="96"/>
        <v>186086.95652173914</v>
      </c>
      <c r="E279" s="278">
        <v>30</v>
      </c>
      <c r="F279" s="16">
        <v>4464</v>
      </c>
      <c r="G279">
        <v>23</v>
      </c>
      <c r="H279" s="16">
        <v>40272000</v>
      </c>
      <c r="I279" s="16">
        <v>10470720</v>
      </c>
      <c r="J279" s="16">
        <v>3325000</v>
      </c>
      <c r="K279" s="16">
        <v>0</v>
      </c>
      <c r="M279" s="16">
        <v>13895720</v>
      </c>
      <c r="N279" s="16">
        <v>3651040</v>
      </c>
      <c r="O279" s="16">
        <v>4280000</v>
      </c>
      <c r="P279" s="16">
        <v>0</v>
      </c>
      <c r="Q279" s="16"/>
      <c r="R279" s="16">
        <v>0</v>
      </c>
      <c r="S279"/>
      <c r="T279" s="12">
        <v>7931040</v>
      </c>
      <c r="U279" s="313">
        <v>4025000</v>
      </c>
      <c r="V279" s="16">
        <v>0</v>
      </c>
      <c r="W279" s="123">
        <v>840000</v>
      </c>
      <c r="X279" s="123">
        <v>0</v>
      </c>
      <c r="Y279" s="12">
        <v>4865000</v>
      </c>
      <c r="Z279" s="12">
        <v>1099680</v>
      </c>
      <c r="AA279" s="13">
        <v>7.9138036748005861E-2</v>
      </c>
      <c r="AB279" s="13">
        <v>9.0659515295987286E-2</v>
      </c>
      <c r="AC279" s="16">
        <v>9021.5053763440865</v>
      </c>
      <c r="AD279" s="13">
        <v>0.10627731426301153</v>
      </c>
      <c r="BZ279" s="278" t="s">
        <v>201</v>
      </c>
      <c r="CC279">
        <v>0</v>
      </c>
      <c r="CD279">
        <v>0</v>
      </c>
      <c r="CE279">
        <v>0</v>
      </c>
      <c r="CF279">
        <v>0</v>
      </c>
      <c r="CL279" s="26" t="s">
        <v>178</v>
      </c>
      <c r="ED279">
        <v>3</v>
      </c>
      <c r="EE279">
        <v>3</v>
      </c>
      <c r="EF279">
        <v>4</v>
      </c>
      <c r="EG279">
        <v>2</v>
      </c>
      <c r="EM279">
        <v>0</v>
      </c>
      <c r="EN279">
        <v>0</v>
      </c>
      <c r="EO279">
        <v>0</v>
      </c>
      <c r="EP279">
        <v>4</v>
      </c>
      <c r="JO279"/>
      <c r="JP279"/>
      <c r="JS279"/>
      <c r="JT279"/>
      <c r="JV279"/>
      <c r="JZ279"/>
      <c r="KA279"/>
      <c r="KN279" s="278" t="s">
        <v>165</v>
      </c>
      <c r="MI279">
        <v>0</v>
      </c>
      <c r="MJ279">
        <v>0</v>
      </c>
      <c r="MK279">
        <v>0</v>
      </c>
      <c r="ML279">
        <v>0</v>
      </c>
    </row>
    <row r="280" spans="2:350">
      <c r="B280" s="27">
        <f t="shared" si="94"/>
        <v>6.062286871270247E-2</v>
      </c>
      <c r="C280" s="27">
        <f t="shared" si="95"/>
        <v>7.7125959079283893E-2</v>
      </c>
      <c r="D280" s="1">
        <f t="shared" si="96"/>
        <v>137857.14285714287</v>
      </c>
      <c r="E280" s="278">
        <v>31</v>
      </c>
      <c r="F280" s="16">
        <v>4186</v>
      </c>
      <c r="G280">
        <v>21</v>
      </c>
      <c r="H280" s="16">
        <v>37536000</v>
      </c>
      <c r="I280" s="16">
        <v>9759360</v>
      </c>
      <c r="J280" s="16">
        <v>3150000</v>
      </c>
      <c r="K280" s="16">
        <v>0</v>
      </c>
      <c r="M280" s="16">
        <v>12959360</v>
      </c>
      <c r="N280" s="16">
        <v>2275540</v>
      </c>
      <c r="O280" s="16">
        <v>2895000</v>
      </c>
      <c r="P280" s="16">
        <v>0</v>
      </c>
      <c r="Q280" s="16"/>
      <c r="R280" s="16">
        <v>0</v>
      </c>
      <c r="S280"/>
      <c r="T280" s="12">
        <v>5170540</v>
      </c>
      <c r="U280" s="313">
        <v>3815000</v>
      </c>
      <c r="V280" s="16">
        <v>0</v>
      </c>
      <c r="W280" s="123">
        <v>840000</v>
      </c>
      <c r="X280" s="123">
        <v>0</v>
      </c>
      <c r="Y280" s="12">
        <v>4655000</v>
      </c>
      <c r="Z280" s="12">
        <v>3133820</v>
      </c>
      <c r="AA280" s="13">
        <v>0.24181904044644181</v>
      </c>
      <c r="AB280" s="13">
        <v>6.062286871270247E-2</v>
      </c>
      <c r="AC280" s="16">
        <v>8967.0329670329666</v>
      </c>
      <c r="AD280" s="13">
        <v>7.7125959079283893E-2</v>
      </c>
      <c r="BZ280" s="278" t="s">
        <v>178</v>
      </c>
      <c r="CC280">
        <v>0</v>
      </c>
      <c r="CD280">
        <v>0</v>
      </c>
      <c r="CE280">
        <v>0</v>
      </c>
      <c r="CF280">
        <v>0</v>
      </c>
      <c r="CL280" s="26" t="s">
        <v>177</v>
      </c>
      <c r="ED280">
        <v>2</v>
      </c>
      <c r="EE280">
        <v>2</v>
      </c>
      <c r="EF280">
        <v>4</v>
      </c>
      <c r="EG280">
        <v>2</v>
      </c>
      <c r="EH280">
        <v>3</v>
      </c>
      <c r="EM280">
        <v>0</v>
      </c>
      <c r="EN280">
        <v>0</v>
      </c>
      <c r="EO280">
        <v>0</v>
      </c>
      <c r="EP280">
        <v>4</v>
      </c>
      <c r="JO280"/>
      <c r="JP280"/>
      <c r="JS280"/>
      <c r="JT280"/>
      <c r="JV280"/>
      <c r="JZ280"/>
      <c r="KA280"/>
      <c r="KN280" s="278" t="s">
        <v>36</v>
      </c>
      <c r="MI280">
        <v>0</v>
      </c>
      <c r="MJ280">
        <v>0</v>
      </c>
      <c r="MK280">
        <v>0</v>
      </c>
      <c r="ML280">
        <v>0</v>
      </c>
    </row>
    <row r="281" spans="2:350">
      <c r="B281" s="27">
        <f t="shared" si="94"/>
        <v>9.7120311172709792E-2</v>
      </c>
      <c r="C281" s="27">
        <f t="shared" si="95"/>
        <v>0.10316537756516296</v>
      </c>
      <c r="D281" s="1">
        <f t="shared" si="96"/>
        <v>184600</v>
      </c>
      <c r="E281" s="278">
        <v>32</v>
      </c>
      <c r="F281" s="16">
        <v>4992</v>
      </c>
      <c r="G281">
        <v>25</v>
      </c>
      <c r="H281" s="16">
        <v>44734000</v>
      </c>
      <c r="I281" s="16">
        <v>11630840</v>
      </c>
      <c r="J281" s="16">
        <v>3525000</v>
      </c>
      <c r="K281" s="16">
        <v>0</v>
      </c>
      <c r="M281" s="16">
        <v>15155840</v>
      </c>
      <c r="N281" s="16">
        <v>4344580</v>
      </c>
      <c r="O281" s="16">
        <v>4615000</v>
      </c>
      <c r="P281" s="16">
        <v>0</v>
      </c>
      <c r="Q281" s="16"/>
      <c r="R281" s="16">
        <v>0</v>
      </c>
      <c r="S281"/>
      <c r="T281" s="12">
        <v>8959580</v>
      </c>
      <c r="U281" s="313">
        <v>4515000</v>
      </c>
      <c r="V281" s="16">
        <v>0</v>
      </c>
      <c r="W281" s="123">
        <v>840000</v>
      </c>
      <c r="X281" s="123">
        <v>0</v>
      </c>
      <c r="Y281" s="12">
        <v>5355000</v>
      </c>
      <c r="Z281" s="12">
        <v>841260</v>
      </c>
      <c r="AA281" s="13">
        <v>5.5507315991723323E-2</v>
      </c>
      <c r="AB281" s="13">
        <v>9.7120311172709792E-2</v>
      </c>
      <c r="AC281" s="16">
        <v>8961.1378205128203</v>
      </c>
      <c r="AD281" s="13">
        <v>0.10316537756516296</v>
      </c>
      <c r="BZ281" s="278" t="s">
        <v>177</v>
      </c>
      <c r="CC281">
        <v>0</v>
      </c>
      <c r="CD281">
        <v>0</v>
      </c>
      <c r="CE281">
        <v>0</v>
      </c>
      <c r="CF281">
        <v>0</v>
      </c>
      <c r="CL281" s="26" t="s">
        <v>202</v>
      </c>
      <c r="EF281">
        <v>1</v>
      </c>
      <c r="EG281">
        <v>3</v>
      </c>
      <c r="EH281">
        <v>1</v>
      </c>
      <c r="EM281">
        <v>0</v>
      </c>
      <c r="EN281">
        <v>0</v>
      </c>
      <c r="EO281">
        <v>0</v>
      </c>
      <c r="EP281">
        <v>3</v>
      </c>
      <c r="JO281"/>
      <c r="JP281"/>
      <c r="JS281"/>
      <c r="JT281"/>
      <c r="JV281"/>
      <c r="JZ281"/>
      <c r="KA281"/>
      <c r="KN281" s="278" t="s">
        <v>166</v>
      </c>
      <c r="MI281">
        <v>0</v>
      </c>
      <c r="MJ281">
        <v>0</v>
      </c>
      <c r="MK281">
        <v>0</v>
      </c>
      <c r="ML281">
        <v>0</v>
      </c>
    </row>
    <row r="282" spans="2:350">
      <c r="B282" s="27">
        <f t="shared" si="94"/>
        <v>9.7340485074626865E-2</v>
      </c>
      <c r="C282" s="27">
        <f t="shared" si="95"/>
        <v>0.10249533582089553</v>
      </c>
      <c r="D282" s="1">
        <f t="shared" si="96"/>
        <v>183125</v>
      </c>
      <c r="E282" s="278">
        <v>33</v>
      </c>
      <c r="F282" s="16">
        <v>4767</v>
      </c>
      <c r="G282">
        <v>24</v>
      </c>
      <c r="H282" s="16">
        <v>42880000</v>
      </c>
      <c r="I282" s="16">
        <v>11148800</v>
      </c>
      <c r="J282" s="16">
        <v>3550000</v>
      </c>
      <c r="K282" s="16">
        <v>0</v>
      </c>
      <c r="M282" s="16">
        <v>14698800</v>
      </c>
      <c r="N282" s="16">
        <v>4173960</v>
      </c>
      <c r="O282" s="16">
        <v>4395000</v>
      </c>
      <c r="P282" s="16">
        <v>0</v>
      </c>
      <c r="Q282" s="16"/>
      <c r="R282" s="16">
        <v>0</v>
      </c>
      <c r="S282"/>
      <c r="T282" s="12">
        <v>8568960</v>
      </c>
      <c r="U282" s="313">
        <v>4305000</v>
      </c>
      <c r="V282" s="16">
        <v>0</v>
      </c>
      <c r="W282" s="123">
        <v>700000</v>
      </c>
      <c r="X282" s="123">
        <v>0</v>
      </c>
      <c r="Y282" s="12">
        <v>5005000</v>
      </c>
      <c r="Z282" s="12">
        <v>1124840</v>
      </c>
      <c r="AA282" s="13">
        <v>7.6525974909516417E-2</v>
      </c>
      <c r="AB282" s="13">
        <v>9.7340485074626865E-2</v>
      </c>
      <c r="AC282" s="16">
        <v>8995.1751625760444</v>
      </c>
      <c r="AD282" s="13">
        <v>0.10249533582089553</v>
      </c>
      <c r="BZ282" s="278" t="s">
        <v>202</v>
      </c>
      <c r="CC282">
        <v>0</v>
      </c>
      <c r="CD282">
        <v>0</v>
      </c>
      <c r="CE282">
        <v>0</v>
      </c>
      <c r="CF282">
        <v>0</v>
      </c>
      <c r="CL282" s="26" t="s">
        <v>204</v>
      </c>
      <c r="EM282">
        <v>0</v>
      </c>
      <c r="EN282">
        <v>0</v>
      </c>
      <c r="EO282">
        <v>0</v>
      </c>
      <c r="EP282">
        <v>0</v>
      </c>
      <c r="JO282"/>
      <c r="JP282"/>
      <c r="JS282"/>
      <c r="JT282"/>
      <c r="JV282"/>
      <c r="JZ282"/>
      <c r="KA282"/>
      <c r="KN282" s="26" t="s">
        <v>177</v>
      </c>
      <c r="MI282">
        <v>0</v>
      </c>
      <c r="MJ282">
        <v>0</v>
      </c>
      <c r="MK282">
        <v>0</v>
      </c>
      <c r="ML282">
        <v>0</v>
      </c>
    </row>
    <row r="283" spans="2:350">
      <c r="B283" s="27">
        <f t="shared" si="94"/>
        <v>9.0209679185371733E-2</v>
      </c>
      <c r="C283" s="27">
        <f t="shared" si="95"/>
        <v>0.11845779043030767</v>
      </c>
      <c r="D283" s="1">
        <f t="shared" si="96"/>
        <v>160277.77777777778</v>
      </c>
      <c r="E283" s="278">
        <v>34</v>
      </c>
      <c r="F283" s="16">
        <v>4096</v>
      </c>
      <c r="G283">
        <v>27</v>
      </c>
      <c r="H283" s="16">
        <v>36532000</v>
      </c>
      <c r="I283" s="16">
        <v>9498320</v>
      </c>
      <c r="J283" s="16">
        <v>3700000</v>
      </c>
      <c r="K283" s="16">
        <v>0</v>
      </c>
      <c r="M283" s="16">
        <v>13248320</v>
      </c>
      <c r="N283" s="16">
        <v>3295540</v>
      </c>
      <c r="O283" s="16">
        <v>4327500</v>
      </c>
      <c r="P283" s="16">
        <v>0</v>
      </c>
      <c r="Q283" s="16"/>
      <c r="R283" s="16">
        <v>0</v>
      </c>
      <c r="S283"/>
      <c r="T283" s="12">
        <v>7623040</v>
      </c>
      <c r="U283" s="313">
        <v>4270000</v>
      </c>
      <c r="V283" s="16">
        <v>0</v>
      </c>
      <c r="W283" s="123">
        <v>700000</v>
      </c>
      <c r="X283" s="123">
        <v>0</v>
      </c>
      <c r="Y283" s="12">
        <v>4970000</v>
      </c>
      <c r="Z283" s="12">
        <v>655280</v>
      </c>
      <c r="AA283" s="13">
        <v>4.9461365667495955E-2</v>
      </c>
      <c r="AB283" s="13">
        <v>9.0209679185371733E-2</v>
      </c>
      <c r="AC283" s="16">
        <v>8918.9453125</v>
      </c>
      <c r="AD283" s="13">
        <v>0.11845779043030767</v>
      </c>
      <c r="BZ283" s="278" t="s">
        <v>204</v>
      </c>
      <c r="CC283">
        <v>0</v>
      </c>
      <c r="CD283">
        <v>0</v>
      </c>
      <c r="CE283">
        <v>0</v>
      </c>
      <c r="CF283">
        <v>0</v>
      </c>
      <c r="CL283" s="11" t="s">
        <v>166</v>
      </c>
      <c r="EI283">
        <v>237</v>
      </c>
      <c r="EJ283">
        <v>226</v>
      </c>
      <c r="EK283">
        <v>222</v>
      </c>
      <c r="EL283">
        <v>226</v>
      </c>
      <c r="EM283">
        <v>0</v>
      </c>
      <c r="EN283">
        <v>0</v>
      </c>
      <c r="EO283">
        <v>0</v>
      </c>
      <c r="EP283">
        <v>237</v>
      </c>
      <c r="JO283"/>
      <c r="JP283"/>
      <c r="JS283"/>
      <c r="JT283"/>
      <c r="JV283"/>
      <c r="JZ283"/>
      <c r="KA283"/>
      <c r="KN283" s="278" t="s">
        <v>21</v>
      </c>
      <c r="MI283">
        <v>0</v>
      </c>
      <c r="MJ283">
        <v>0</v>
      </c>
      <c r="MK283">
        <v>0</v>
      </c>
      <c r="ML283">
        <v>0</v>
      </c>
    </row>
    <row r="284" spans="2:350">
      <c r="B284" s="27">
        <f t="shared" si="94"/>
        <v>8.9105119002644506E-2</v>
      </c>
      <c r="C284" s="27">
        <f t="shared" si="95"/>
        <v>0.16410086890819797</v>
      </c>
      <c r="D284" s="1">
        <f t="shared" si="96"/>
        <v>257407.40740740742</v>
      </c>
      <c r="E284" s="278">
        <v>35</v>
      </c>
      <c r="F284" s="16">
        <v>4709</v>
      </c>
      <c r="G284">
        <v>27</v>
      </c>
      <c r="H284" s="16">
        <v>42352000</v>
      </c>
      <c r="I284" s="16">
        <v>11011520</v>
      </c>
      <c r="J284" s="16">
        <v>4395000</v>
      </c>
      <c r="K284" s="16">
        <v>0</v>
      </c>
      <c r="M284" s="16">
        <v>15581520</v>
      </c>
      <c r="N284" s="16">
        <v>3773780</v>
      </c>
      <c r="O284" s="16">
        <v>6950000</v>
      </c>
      <c r="P284" s="16">
        <v>0</v>
      </c>
      <c r="Q284" s="16"/>
      <c r="R284" s="16">
        <v>0</v>
      </c>
      <c r="S284"/>
      <c r="T284" s="12">
        <v>10723780</v>
      </c>
      <c r="U284" s="313">
        <v>4865000</v>
      </c>
      <c r="V284" s="16">
        <v>0</v>
      </c>
      <c r="W284" s="123">
        <v>700000</v>
      </c>
      <c r="X284" s="123">
        <v>0</v>
      </c>
      <c r="Y284" s="12">
        <v>5565000</v>
      </c>
      <c r="Z284" s="12">
        <v>-707260</v>
      </c>
      <c r="AA284" s="13">
        <v>-4.539095030523338E-2</v>
      </c>
      <c r="AB284" s="13">
        <v>8.9105119002644506E-2</v>
      </c>
      <c r="AC284" s="16">
        <v>8993.8415799532813</v>
      </c>
      <c r="AD284" s="13">
        <v>0.16410086890819797</v>
      </c>
      <c r="BZ284" s="26" t="s">
        <v>196</v>
      </c>
      <c r="CC284">
        <v>0</v>
      </c>
      <c r="CD284">
        <v>0</v>
      </c>
      <c r="CE284">
        <v>0</v>
      </c>
      <c r="CF284">
        <v>0</v>
      </c>
      <c r="CL284" s="26" t="s">
        <v>34</v>
      </c>
      <c r="EM284">
        <v>0</v>
      </c>
      <c r="EN284">
        <v>0</v>
      </c>
      <c r="EO284">
        <v>0</v>
      </c>
      <c r="EP284">
        <v>0</v>
      </c>
      <c r="JO284"/>
      <c r="JP284"/>
      <c r="JS284"/>
      <c r="JT284"/>
      <c r="JV284"/>
      <c r="JZ284"/>
      <c r="KA284"/>
      <c r="KN284" s="278" t="s">
        <v>158</v>
      </c>
      <c r="MI284">
        <v>0</v>
      </c>
      <c r="MJ284">
        <v>0</v>
      </c>
      <c r="MK284">
        <v>0</v>
      </c>
      <c r="ML284">
        <v>0</v>
      </c>
    </row>
    <row r="285" spans="2:350">
      <c r="B285" s="27">
        <f t="shared" si="94"/>
        <v>9.3414891663606323E-2</v>
      </c>
      <c r="C285" s="27">
        <f t="shared" si="95"/>
        <v>0.16411127432978334</v>
      </c>
      <c r="D285" s="1">
        <f t="shared" si="96"/>
        <v>264814.81481481483</v>
      </c>
      <c r="E285" s="278">
        <v>36</v>
      </c>
      <c r="F285" s="16">
        <v>4847</v>
      </c>
      <c r="G285">
        <v>27</v>
      </c>
      <c r="H285" s="16">
        <v>43568000</v>
      </c>
      <c r="I285" s="16">
        <v>11327680</v>
      </c>
      <c r="J285" s="16">
        <v>3950000</v>
      </c>
      <c r="K285" s="16">
        <v>0</v>
      </c>
      <c r="M285" s="16">
        <v>15277680</v>
      </c>
      <c r="N285" s="16">
        <v>4069900</v>
      </c>
      <c r="O285" s="16">
        <v>7150000</v>
      </c>
      <c r="P285" s="16">
        <v>0</v>
      </c>
      <c r="Q285" s="16"/>
      <c r="R285" s="16">
        <v>0</v>
      </c>
      <c r="S285"/>
      <c r="T285" s="12">
        <v>11219900</v>
      </c>
      <c r="U285" s="313">
        <v>5005000</v>
      </c>
      <c r="V285" s="16">
        <v>0</v>
      </c>
      <c r="W285" s="123">
        <v>700000</v>
      </c>
      <c r="X285" s="123">
        <v>0</v>
      </c>
      <c r="Y285" s="12">
        <v>5705000</v>
      </c>
      <c r="Z285" s="12">
        <v>-1647220</v>
      </c>
      <c r="AA285" s="13">
        <v>-0.10781872640348535</v>
      </c>
      <c r="AB285" s="13">
        <v>9.3414891663606323E-2</v>
      </c>
      <c r="AC285" s="16">
        <v>8988.6527749123161</v>
      </c>
      <c r="AD285" s="13">
        <v>0.16411127432978334</v>
      </c>
      <c r="BZ285" s="278" t="s">
        <v>34</v>
      </c>
      <c r="CC285">
        <v>0</v>
      </c>
      <c r="CD285">
        <v>0</v>
      </c>
      <c r="CE285">
        <v>0</v>
      </c>
      <c r="CF285">
        <v>0</v>
      </c>
      <c r="CL285" s="26" t="s">
        <v>170</v>
      </c>
      <c r="EM285">
        <v>0</v>
      </c>
      <c r="EN285">
        <v>0</v>
      </c>
      <c r="EO285">
        <v>0</v>
      </c>
      <c r="EP285">
        <v>0</v>
      </c>
      <c r="JO285"/>
      <c r="JP285"/>
      <c r="JS285"/>
      <c r="JT285"/>
      <c r="JV285"/>
      <c r="JZ285"/>
      <c r="KA285"/>
      <c r="KN285" s="278" t="s">
        <v>159</v>
      </c>
      <c r="MI285">
        <v>0</v>
      </c>
      <c r="MJ285">
        <v>0</v>
      </c>
      <c r="MK285">
        <v>0</v>
      </c>
      <c r="ML285">
        <v>0</v>
      </c>
    </row>
    <row r="286" spans="2:350">
      <c r="B286" s="27">
        <f t="shared" si="94"/>
        <v>8.7798415859928661E-2</v>
      </c>
      <c r="C286" s="27">
        <f t="shared" si="95"/>
        <v>0.17369956922506832</v>
      </c>
      <c r="D286" s="1">
        <f t="shared" si="96"/>
        <v>288461.53846153844</v>
      </c>
      <c r="E286" s="278">
        <v>37</v>
      </c>
      <c r="F286" s="16">
        <v>4991</v>
      </c>
      <c r="G286">
        <v>26</v>
      </c>
      <c r="H286" s="16">
        <v>43178000</v>
      </c>
      <c r="I286" s="16">
        <v>11226280</v>
      </c>
      <c r="J286" s="16">
        <v>4150000</v>
      </c>
      <c r="K286" s="16">
        <v>0</v>
      </c>
      <c r="L286" s="123">
        <v>0</v>
      </c>
      <c r="M286" s="16">
        <v>15426280</v>
      </c>
      <c r="N286" s="16">
        <v>3790960</v>
      </c>
      <c r="O286" s="16">
        <v>7500000</v>
      </c>
      <c r="P286" s="16">
        <v>0</v>
      </c>
      <c r="Q286" s="16"/>
      <c r="R286" s="16">
        <v>0</v>
      </c>
      <c r="S286"/>
      <c r="T286" s="12">
        <v>11290960</v>
      </c>
      <c r="U286" s="313">
        <v>5250000</v>
      </c>
      <c r="V286" s="16">
        <v>0</v>
      </c>
      <c r="W286" s="123">
        <v>740000</v>
      </c>
      <c r="X286" s="123">
        <v>0</v>
      </c>
      <c r="Y286" s="12">
        <v>5990000</v>
      </c>
      <c r="Z286" s="12">
        <v>-1854680</v>
      </c>
      <c r="AA286" s="13">
        <v>-0.12022859691383794</v>
      </c>
      <c r="AB286" s="13">
        <v>8.7798415859928661E-2</v>
      </c>
      <c r="AC286" s="16">
        <v>8651.1721097976351</v>
      </c>
      <c r="AD286" s="13">
        <v>0.17369956922506832</v>
      </c>
      <c r="BZ286" s="278" t="s">
        <v>170</v>
      </c>
      <c r="CC286">
        <v>0</v>
      </c>
      <c r="CD286">
        <v>0</v>
      </c>
      <c r="CE286">
        <v>0</v>
      </c>
      <c r="CF286">
        <v>0</v>
      </c>
      <c r="CL286" s="26" t="s">
        <v>27</v>
      </c>
      <c r="EM286">
        <v>0</v>
      </c>
      <c r="EN286">
        <v>0</v>
      </c>
      <c r="EO286">
        <v>0</v>
      </c>
      <c r="EP286">
        <v>0</v>
      </c>
      <c r="JO286"/>
      <c r="JP286"/>
      <c r="JS286"/>
      <c r="JT286"/>
      <c r="JV286"/>
      <c r="JZ286"/>
      <c r="KA286"/>
      <c r="KN286" s="278" t="s">
        <v>160</v>
      </c>
      <c r="MI286">
        <v>0</v>
      </c>
      <c r="MJ286">
        <v>0</v>
      </c>
      <c r="MK286">
        <v>0</v>
      </c>
      <c r="ML286">
        <v>0</v>
      </c>
    </row>
    <row r="287" spans="2:350">
      <c r="B287" s="27">
        <f t="shared" ref="B287:B314" si="97">N287/H287</f>
        <v>8.4152446520776983E-2</v>
      </c>
      <c r="C287" s="27">
        <f t="shared" ref="C287:C314" si="98">O287/H287</f>
        <v>0.17826407671502337</v>
      </c>
      <c r="D287" s="1">
        <f t="shared" ref="D287:D314" si="99">O287/G287</f>
        <v>250000</v>
      </c>
      <c r="E287" s="278">
        <v>38</v>
      </c>
      <c r="F287" s="16">
        <v>4521</v>
      </c>
      <c r="G287">
        <v>29</v>
      </c>
      <c r="H287" s="16">
        <v>40670000</v>
      </c>
      <c r="I287" s="16">
        <v>10574200</v>
      </c>
      <c r="J287" s="16">
        <v>4175000</v>
      </c>
      <c r="K287" s="16">
        <v>0</v>
      </c>
      <c r="L287" s="123">
        <v>0</v>
      </c>
      <c r="M287" s="16">
        <v>14774200</v>
      </c>
      <c r="N287" s="16">
        <v>3422480</v>
      </c>
      <c r="O287" s="16">
        <v>7250000</v>
      </c>
      <c r="P287" s="16">
        <v>0</v>
      </c>
      <c r="Q287" s="16"/>
      <c r="R287" s="16">
        <v>0</v>
      </c>
      <c r="S287"/>
      <c r="T287" s="12">
        <v>10672480</v>
      </c>
      <c r="U287" s="313">
        <v>5075000</v>
      </c>
      <c r="V287" s="16">
        <v>0</v>
      </c>
      <c r="W287" s="123">
        <v>700000</v>
      </c>
      <c r="X287" s="123">
        <v>0</v>
      </c>
      <c r="Y287" s="12">
        <v>5775000</v>
      </c>
      <c r="Z287" s="12">
        <v>-1673280</v>
      </c>
      <c r="AA287" s="13">
        <v>-0.11325689377428219</v>
      </c>
      <c r="AB287" s="13">
        <v>8.4152446520776983E-2</v>
      </c>
      <c r="AC287" s="16">
        <v>8995.7973899579738</v>
      </c>
      <c r="AD287" s="13">
        <v>0.17826407671502337</v>
      </c>
      <c r="BZ287" s="278" t="s">
        <v>27</v>
      </c>
      <c r="CC287">
        <v>0</v>
      </c>
      <c r="CD287">
        <v>0</v>
      </c>
      <c r="CE287">
        <v>0</v>
      </c>
      <c r="CF287">
        <v>0</v>
      </c>
      <c r="CL287" s="26" t="s">
        <v>33</v>
      </c>
      <c r="EM287">
        <v>0</v>
      </c>
      <c r="EN287">
        <v>0</v>
      </c>
      <c r="EO287">
        <v>0</v>
      </c>
      <c r="EP287">
        <v>0</v>
      </c>
      <c r="JO287"/>
      <c r="JP287"/>
      <c r="JS287"/>
      <c r="JT287"/>
      <c r="JV287"/>
      <c r="JZ287"/>
      <c r="KA287"/>
      <c r="KN287" s="278" t="s">
        <v>161</v>
      </c>
      <c r="MI287">
        <v>0</v>
      </c>
      <c r="MJ287">
        <v>0</v>
      </c>
      <c r="MK287">
        <v>0</v>
      </c>
      <c r="ML287">
        <v>0</v>
      </c>
    </row>
    <row r="288" spans="2:350">
      <c r="B288" s="27">
        <f t="shared" si="97"/>
        <v>8.4524855260531051E-2</v>
      </c>
      <c r="C288" s="27">
        <f t="shared" si="98"/>
        <v>0.10605909363146336</v>
      </c>
      <c r="D288" s="1">
        <f t="shared" si="99"/>
        <v>163461.53846153847</v>
      </c>
      <c r="E288" s="278">
        <v>39</v>
      </c>
      <c r="F288" s="16">
        <v>4456</v>
      </c>
      <c r="G288">
        <v>26</v>
      </c>
      <c r="H288" s="16">
        <v>40072000</v>
      </c>
      <c r="I288" s="16">
        <v>10418720</v>
      </c>
      <c r="J288" s="16">
        <v>4000000</v>
      </c>
      <c r="K288" s="16">
        <v>0</v>
      </c>
      <c r="L288" s="123">
        <v>0</v>
      </c>
      <c r="M288" s="16">
        <v>14643720</v>
      </c>
      <c r="N288" s="16">
        <v>3387080</v>
      </c>
      <c r="O288" s="16">
        <v>4250000</v>
      </c>
      <c r="P288" s="16">
        <v>0</v>
      </c>
      <c r="Q288" s="16"/>
      <c r="R288" s="16">
        <v>0</v>
      </c>
      <c r="S288"/>
      <c r="T288" s="12">
        <v>7637080</v>
      </c>
      <c r="U288" s="313">
        <v>4655000</v>
      </c>
      <c r="V288" s="16">
        <v>0</v>
      </c>
      <c r="W288" s="123">
        <v>700000</v>
      </c>
      <c r="X288" s="123">
        <v>0</v>
      </c>
      <c r="Y288" s="12">
        <v>5355000</v>
      </c>
      <c r="Z288" s="12">
        <v>1651640</v>
      </c>
      <c r="AA288" s="13">
        <v>0.11278828057351548</v>
      </c>
      <c r="AB288" s="13">
        <v>8.4524855260531051E-2</v>
      </c>
      <c r="AC288" s="16">
        <v>8992.8186714542189</v>
      </c>
      <c r="AD288" s="13">
        <v>0.10605909363146336</v>
      </c>
      <c r="BZ288" s="278" t="s">
        <v>33</v>
      </c>
      <c r="CC288">
        <v>0</v>
      </c>
      <c r="CD288">
        <v>0</v>
      </c>
      <c r="CE288">
        <v>0</v>
      </c>
      <c r="CF288">
        <v>0</v>
      </c>
      <c r="CL288" s="26" t="s">
        <v>171</v>
      </c>
      <c r="EM288">
        <v>0</v>
      </c>
      <c r="EN288">
        <v>0</v>
      </c>
      <c r="EO288">
        <v>0</v>
      </c>
      <c r="EP288">
        <v>0</v>
      </c>
      <c r="JO288"/>
      <c r="JP288"/>
      <c r="JS288"/>
      <c r="JT288"/>
      <c r="JV288"/>
      <c r="JZ288"/>
      <c r="KA288"/>
      <c r="KN288" s="278" t="s">
        <v>156</v>
      </c>
      <c r="MI288">
        <v>0</v>
      </c>
      <c r="MJ288">
        <v>0</v>
      </c>
      <c r="MK288">
        <v>0</v>
      </c>
      <c r="ML288">
        <v>0</v>
      </c>
    </row>
    <row r="289" spans="2:350">
      <c r="B289" s="27">
        <f t="shared" si="97"/>
        <v>6.8258860759493667E-2</v>
      </c>
      <c r="C289" s="27">
        <f t="shared" si="98"/>
        <v>0.10996835443037975</v>
      </c>
      <c r="D289" s="1">
        <f t="shared" si="99"/>
        <v>165476.19047619047</v>
      </c>
      <c r="E289" s="278">
        <v>40</v>
      </c>
      <c r="F289" s="16">
        <v>3538</v>
      </c>
      <c r="G289">
        <v>21</v>
      </c>
      <c r="H289" s="16">
        <v>31600000</v>
      </c>
      <c r="I289" s="16">
        <v>8216000</v>
      </c>
      <c r="J289" s="16">
        <v>2875000</v>
      </c>
      <c r="K289" s="16">
        <v>0</v>
      </c>
      <c r="L289" s="123">
        <v>0</v>
      </c>
      <c r="M289" s="16">
        <v>11216000</v>
      </c>
      <c r="N289" s="16">
        <v>2156980</v>
      </c>
      <c r="O289" s="16">
        <v>3475000</v>
      </c>
      <c r="P289" s="16">
        <v>0</v>
      </c>
      <c r="Q289" s="16"/>
      <c r="R289" s="16">
        <v>0</v>
      </c>
      <c r="S289"/>
      <c r="T289" s="12">
        <v>5631980</v>
      </c>
      <c r="U289" s="313">
        <v>3675000</v>
      </c>
      <c r="V289" s="16">
        <v>0</v>
      </c>
      <c r="W289" s="123">
        <v>700000</v>
      </c>
      <c r="X289" s="123">
        <v>0</v>
      </c>
      <c r="Y289" s="12">
        <v>4375000</v>
      </c>
      <c r="Z289" s="12">
        <v>1209020</v>
      </c>
      <c r="AA289" s="13">
        <v>0.10779422253922967</v>
      </c>
      <c r="AB289" s="13">
        <v>6.8258860759493667E-2</v>
      </c>
      <c r="AC289" s="16">
        <v>8931.5997738835504</v>
      </c>
      <c r="AD289" s="13">
        <v>0.10996835443037975</v>
      </c>
      <c r="BZ289" s="278" t="s">
        <v>171</v>
      </c>
      <c r="CC289">
        <v>0</v>
      </c>
      <c r="CD289">
        <v>0</v>
      </c>
      <c r="CE289">
        <v>0</v>
      </c>
      <c r="CF289">
        <v>0</v>
      </c>
      <c r="CL289" s="26" t="s">
        <v>276</v>
      </c>
      <c r="EM289">
        <v>0</v>
      </c>
      <c r="EN289">
        <v>0</v>
      </c>
      <c r="EO289">
        <v>0</v>
      </c>
      <c r="EP289">
        <v>0</v>
      </c>
      <c r="JO289"/>
      <c r="JP289"/>
      <c r="JS289"/>
      <c r="JT289"/>
      <c r="JV289"/>
      <c r="JZ289"/>
      <c r="KA289"/>
      <c r="KN289" s="278" t="s">
        <v>162</v>
      </c>
      <c r="MI289">
        <v>0</v>
      </c>
      <c r="MJ289">
        <v>0</v>
      </c>
      <c r="MK289">
        <v>0</v>
      </c>
      <c r="ML289">
        <v>0</v>
      </c>
    </row>
    <row r="290" spans="2:350">
      <c r="B290" s="27">
        <f t="shared" si="97"/>
        <v>9.0317949488875532E-2</v>
      </c>
      <c r="C290" s="27">
        <f t="shared" si="98"/>
        <v>0.12026458208057728</v>
      </c>
      <c r="D290" s="1">
        <f t="shared" si="99"/>
        <v>168421.05263157896</v>
      </c>
      <c r="E290" s="278">
        <v>41</v>
      </c>
      <c r="F290" s="16">
        <v>2939</v>
      </c>
      <c r="G290">
        <v>19</v>
      </c>
      <c r="H290" s="16">
        <v>26608000</v>
      </c>
      <c r="I290" s="16">
        <v>6918080</v>
      </c>
      <c r="J290" s="16">
        <v>2400000</v>
      </c>
      <c r="K290" s="16">
        <v>0</v>
      </c>
      <c r="L290" s="123">
        <v>0</v>
      </c>
      <c r="M290" s="16">
        <v>9318080</v>
      </c>
      <c r="N290" s="16">
        <v>2403180</v>
      </c>
      <c r="O290" s="16">
        <v>3200000</v>
      </c>
      <c r="P290" s="16">
        <v>0</v>
      </c>
      <c r="Q290" s="16"/>
      <c r="R290" s="16">
        <v>0</v>
      </c>
      <c r="S290"/>
      <c r="T290" s="12">
        <v>5603180</v>
      </c>
      <c r="U290" s="313">
        <v>2905000</v>
      </c>
      <c r="V290" s="16">
        <v>0</v>
      </c>
      <c r="W290" s="123">
        <v>700000</v>
      </c>
      <c r="X290" s="123">
        <v>0</v>
      </c>
      <c r="Y290" s="12">
        <v>3605000</v>
      </c>
      <c r="Z290" s="12">
        <v>109900</v>
      </c>
      <c r="AA290" s="13">
        <v>1.1794275215495038E-2</v>
      </c>
      <c r="AB290" s="13">
        <v>9.0317949488875532E-2</v>
      </c>
      <c r="AC290" s="16">
        <v>9053.4195304525347</v>
      </c>
      <c r="AD290" s="13">
        <v>0.12026458208057728</v>
      </c>
      <c r="BZ290" s="278" t="s">
        <v>276</v>
      </c>
      <c r="CC290">
        <v>0</v>
      </c>
      <c r="CD290">
        <v>0</v>
      </c>
      <c r="CE290">
        <v>0</v>
      </c>
      <c r="CF290">
        <v>0</v>
      </c>
      <c r="CL290" s="26" t="s">
        <v>277</v>
      </c>
      <c r="EM290">
        <v>0</v>
      </c>
      <c r="EN290">
        <v>0</v>
      </c>
      <c r="EO290">
        <v>0</v>
      </c>
      <c r="EP290">
        <v>0</v>
      </c>
      <c r="JO290"/>
      <c r="JP290"/>
      <c r="JS290"/>
      <c r="JT290"/>
      <c r="JV290"/>
      <c r="JZ290"/>
      <c r="KA290"/>
      <c r="KN290" s="278" t="s">
        <v>163</v>
      </c>
      <c r="LV290" s="379"/>
      <c r="MI290">
        <v>0</v>
      </c>
      <c r="MJ290">
        <v>0</v>
      </c>
      <c r="MK290">
        <v>0</v>
      </c>
      <c r="ML290">
        <v>0</v>
      </c>
    </row>
    <row r="291" spans="2:350">
      <c r="B291" s="27">
        <f t="shared" si="97"/>
        <v>9.1005465359266999E-2</v>
      </c>
      <c r="C291" s="27">
        <f t="shared" si="98"/>
        <v>0.12156405722552645</v>
      </c>
      <c r="D291" s="1">
        <f t="shared" si="99"/>
        <v>189062.5</v>
      </c>
      <c r="E291" s="278">
        <v>42</v>
      </c>
      <c r="F291" s="16">
        <v>2771</v>
      </c>
      <c r="G291">
        <v>16</v>
      </c>
      <c r="H291" s="16">
        <v>24884000</v>
      </c>
      <c r="I291" s="16">
        <v>6469840</v>
      </c>
      <c r="J291" s="16">
        <v>2300000</v>
      </c>
      <c r="K291" s="16">
        <v>0</v>
      </c>
      <c r="L291" s="123">
        <v>0</v>
      </c>
      <c r="M291" s="16">
        <v>8769840</v>
      </c>
      <c r="N291" s="16">
        <v>2264580</v>
      </c>
      <c r="O291" s="16">
        <v>3025000</v>
      </c>
      <c r="P291" s="16">
        <v>0</v>
      </c>
      <c r="Q291" s="16"/>
      <c r="R291" s="16">
        <v>0</v>
      </c>
      <c r="S291"/>
      <c r="T291" s="12">
        <v>5289580</v>
      </c>
      <c r="U291" s="313">
        <v>2905000</v>
      </c>
      <c r="V291" s="16">
        <v>0</v>
      </c>
      <c r="W291" s="123">
        <v>700000</v>
      </c>
      <c r="X291" s="123">
        <v>0</v>
      </c>
      <c r="Y291" s="12">
        <v>3605000</v>
      </c>
      <c r="Z291" s="12">
        <v>-124740</v>
      </c>
      <c r="AA291" s="13">
        <v>-1.422374866588216E-2</v>
      </c>
      <c r="AB291" s="13">
        <v>9.1005465359266999E-2</v>
      </c>
      <c r="AC291" s="16">
        <v>8980.1515698303865</v>
      </c>
      <c r="AD291" s="13">
        <v>0.12156405722552645</v>
      </c>
      <c r="BZ291" s="278" t="s">
        <v>277</v>
      </c>
      <c r="CC291">
        <v>0</v>
      </c>
      <c r="CD291">
        <v>0</v>
      </c>
      <c r="CE291">
        <v>0</v>
      </c>
      <c r="CF291">
        <v>0</v>
      </c>
      <c r="CL291" s="26" t="s">
        <v>199</v>
      </c>
      <c r="EM291">
        <v>0</v>
      </c>
      <c r="EN291">
        <v>0</v>
      </c>
      <c r="EO291">
        <v>0</v>
      </c>
      <c r="EP291">
        <v>0</v>
      </c>
      <c r="JO291"/>
      <c r="JP291"/>
      <c r="JS291"/>
      <c r="JT291"/>
      <c r="JV291"/>
      <c r="JZ291"/>
      <c r="KA291"/>
      <c r="KN291" s="278" t="s">
        <v>164</v>
      </c>
      <c r="MI291">
        <v>0</v>
      </c>
      <c r="MJ291">
        <v>0</v>
      </c>
      <c r="MK291">
        <v>0</v>
      </c>
      <c r="ML291">
        <v>0</v>
      </c>
    </row>
    <row r="292" spans="2:350">
      <c r="B292" s="27">
        <f t="shared" si="97"/>
        <v>8.35716282971386E-2</v>
      </c>
      <c r="C292" s="27">
        <f t="shared" si="98"/>
        <v>0.12582719731568645</v>
      </c>
      <c r="D292" s="1">
        <f t="shared" si="99"/>
        <v>150000</v>
      </c>
      <c r="E292" s="278">
        <v>43</v>
      </c>
      <c r="F292" s="16">
        <v>2424</v>
      </c>
      <c r="G292">
        <v>18</v>
      </c>
      <c r="H292" s="16">
        <v>21458000</v>
      </c>
      <c r="I292" s="16">
        <v>5579080</v>
      </c>
      <c r="J292" s="16">
        <v>2325000</v>
      </c>
      <c r="K292" s="16">
        <v>0</v>
      </c>
      <c r="L292" s="123">
        <v>0</v>
      </c>
      <c r="M292" s="16">
        <v>7904080</v>
      </c>
      <c r="N292" s="16">
        <v>1793280</v>
      </c>
      <c r="O292" s="16">
        <v>2700000</v>
      </c>
      <c r="P292" s="16">
        <v>0</v>
      </c>
      <c r="Q292" s="16"/>
      <c r="R292" s="16">
        <v>0</v>
      </c>
      <c r="S292"/>
      <c r="T292" s="12">
        <v>4493280</v>
      </c>
      <c r="U292" s="313">
        <v>2905000</v>
      </c>
      <c r="V292" s="16">
        <v>0</v>
      </c>
      <c r="W292" s="123">
        <v>700000</v>
      </c>
      <c r="X292" s="123">
        <v>0</v>
      </c>
      <c r="Y292" s="12">
        <v>3605000</v>
      </c>
      <c r="Z292" s="12">
        <v>-194200</v>
      </c>
      <c r="AA292" s="13">
        <v>-2.4569589376625744E-2</v>
      </c>
      <c r="AB292" s="13">
        <v>8.35716282971386E-2</v>
      </c>
      <c r="AC292" s="16">
        <v>8852.3102310231025</v>
      </c>
      <c r="AD292" s="13">
        <v>0.12582719731568645</v>
      </c>
      <c r="BZ292" s="278" t="s">
        <v>199</v>
      </c>
      <c r="CC292">
        <v>0</v>
      </c>
      <c r="CD292">
        <v>0</v>
      </c>
      <c r="CE292">
        <v>0</v>
      </c>
      <c r="CF292">
        <v>0</v>
      </c>
      <c r="CL292" s="26" t="s">
        <v>196</v>
      </c>
      <c r="EM292">
        <v>0</v>
      </c>
      <c r="EN292">
        <v>0</v>
      </c>
      <c r="EO292">
        <v>0</v>
      </c>
      <c r="EP292">
        <v>0</v>
      </c>
      <c r="JO292"/>
      <c r="JP292"/>
      <c r="JS292"/>
      <c r="JT292"/>
      <c r="JV292"/>
      <c r="JZ292"/>
      <c r="KA292"/>
      <c r="KN292" s="278" t="s">
        <v>165</v>
      </c>
      <c r="MI292">
        <v>0</v>
      </c>
      <c r="MJ292">
        <v>0</v>
      </c>
      <c r="MK292">
        <v>0</v>
      </c>
      <c r="ML292">
        <v>0</v>
      </c>
    </row>
    <row r="293" spans="2:350">
      <c r="B293" s="27">
        <f t="shared" si="97"/>
        <v>8.8611679828409867E-2</v>
      </c>
      <c r="C293" s="27">
        <f t="shared" si="98"/>
        <v>0.10443404504241006</v>
      </c>
      <c r="D293" s="1">
        <f t="shared" si="99"/>
        <v>153025.71428571429</v>
      </c>
      <c r="E293" s="278">
        <v>44</v>
      </c>
      <c r="F293" s="16">
        <v>2292</v>
      </c>
      <c r="G293">
        <v>14</v>
      </c>
      <c r="H293" s="16">
        <v>20514000</v>
      </c>
      <c r="I293" s="16">
        <v>5333640</v>
      </c>
      <c r="J293" s="16">
        <v>1825000</v>
      </c>
      <c r="K293" s="16">
        <v>0</v>
      </c>
      <c r="L293" s="123">
        <v>0</v>
      </c>
      <c r="M293" s="16">
        <v>7258640</v>
      </c>
      <c r="N293" s="16">
        <v>1817780</v>
      </c>
      <c r="O293" s="16">
        <v>2142360</v>
      </c>
      <c r="P293" s="16">
        <v>0</v>
      </c>
      <c r="Q293" s="16"/>
      <c r="R293" s="16">
        <v>0</v>
      </c>
      <c r="S293"/>
      <c r="T293" s="12">
        <v>3960140</v>
      </c>
      <c r="U293" s="313">
        <v>2555000</v>
      </c>
      <c r="V293" s="16">
        <v>0</v>
      </c>
      <c r="W293" s="123">
        <v>700000</v>
      </c>
      <c r="X293" s="123">
        <v>0</v>
      </c>
      <c r="Y293" s="12">
        <v>3255000</v>
      </c>
      <c r="Z293" s="12">
        <v>43500</v>
      </c>
      <c r="AA293" s="13">
        <v>5.9928581662680612E-3</v>
      </c>
      <c r="AB293" s="13">
        <v>8.8611679828409867E-2</v>
      </c>
      <c r="AC293" s="16">
        <v>8950.2617801047127</v>
      </c>
      <c r="AD293" s="13">
        <v>0.10443404504241006</v>
      </c>
      <c r="BZ293" s="278" t="s">
        <v>196</v>
      </c>
      <c r="CC293">
        <v>0</v>
      </c>
      <c r="CD293">
        <v>0</v>
      </c>
      <c r="CE293">
        <v>0</v>
      </c>
      <c r="CF293">
        <v>0</v>
      </c>
      <c r="CL293" s="26" t="s">
        <v>29</v>
      </c>
      <c r="EM293">
        <v>0</v>
      </c>
      <c r="EN293">
        <v>0</v>
      </c>
      <c r="EO293">
        <v>0</v>
      </c>
      <c r="EP293">
        <v>0</v>
      </c>
      <c r="JO293"/>
      <c r="JP293"/>
      <c r="JS293"/>
      <c r="JT293"/>
      <c r="JV293"/>
      <c r="JZ293"/>
      <c r="KA293"/>
      <c r="KN293" s="278" t="s">
        <v>36</v>
      </c>
      <c r="MI293">
        <v>0</v>
      </c>
      <c r="MJ293">
        <v>0</v>
      </c>
      <c r="MK293">
        <v>0</v>
      </c>
      <c r="ML293">
        <v>0</v>
      </c>
    </row>
    <row r="294" spans="2:350">
      <c r="B294" s="27">
        <f t="shared" si="97"/>
        <v>8.0882757162490743E-2</v>
      </c>
      <c r="C294" s="27">
        <f t="shared" si="98"/>
        <v>0.12422031927265038</v>
      </c>
      <c r="D294" s="1">
        <f t="shared" si="99"/>
        <v>195833.33333333334</v>
      </c>
      <c r="E294" s="278">
        <v>45</v>
      </c>
      <c r="F294" s="16">
        <v>2110</v>
      </c>
      <c r="G294">
        <v>12</v>
      </c>
      <c r="H294" s="16">
        <v>18918000</v>
      </c>
      <c r="I294" s="16">
        <v>4918680</v>
      </c>
      <c r="J294" s="16">
        <v>1875000</v>
      </c>
      <c r="K294" s="16">
        <v>0</v>
      </c>
      <c r="L294" s="123">
        <v>0</v>
      </c>
      <c r="M294" s="16">
        <v>6793680</v>
      </c>
      <c r="N294" s="16">
        <v>1530140</v>
      </c>
      <c r="O294" s="16">
        <v>2350000</v>
      </c>
      <c r="P294" s="16">
        <v>0</v>
      </c>
      <c r="Q294" s="16"/>
      <c r="R294" s="16">
        <v>0</v>
      </c>
      <c r="S294"/>
      <c r="T294" s="12">
        <v>3880140</v>
      </c>
      <c r="U294" s="313">
        <v>2415000</v>
      </c>
      <c r="V294" s="16">
        <v>0</v>
      </c>
      <c r="W294" s="123">
        <v>300000</v>
      </c>
      <c r="X294" s="123">
        <v>0</v>
      </c>
      <c r="Y294" s="12">
        <v>2715000</v>
      </c>
      <c r="Z294" s="12">
        <v>198540</v>
      </c>
      <c r="AA294" s="13">
        <v>2.9224220157558201E-2</v>
      </c>
      <c r="AB294" s="13">
        <v>8.0882757162490743E-2</v>
      </c>
      <c r="AC294" s="16">
        <v>8965.8767772511856</v>
      </c>
      <c r="AD294" s="13">
        <v>0.12422031927265038</v>
      </c>
      <c r="BZ294" s="278" t="s">
        <v>29</v>
      </c>
      <c r="CC294">
        <v>0</v>
      </c>
      <c r="CD294">
        <v>0</v>
      </c>
      <c r="CE294">
        <v>0</v>
      </c>
      <c r="CF294">
        <v>0</v>
      </c>
      <c r="CL294" s="26" t="s">
        <v>23</v>
      </c>
      <c r="EI294">
        <v>237</v>
      </c>
      <c r="EJ294">
        <v>226</v>
      </c>
      <c r="EK294">
        <v>222</v>
      </c>
      <c r="EL294">
        <v>226</v>
      </c>
      <c r="EM294">
        <v>0</v>
      </c>
      <c r="EN294">
        <v>0</v>
      </c>
      <c r="EO294">
        <v>0</v>
      </c>
      <c r="EP294">
        <v>237</v>
      </c>
      <c r="JO294"/>
      <c r="JP294"/>
      <c r="JS294"/>
      <c r="JT294"/>
      <c r="JV294"/>
      <c r="JZ294"/>
      <c r="KA294"/>
      <c r="KN294" s="278" t="s">
        <v>166</v>
      </c>
      <c r="MI294">
        <v>0</v>
      </c>
      <c r="MJ294">
        <v>0</v>
      </c>
      <c r="MK294">
        <v>0</v>
      </c>
      <c r="ML294">
        <v>0</v>
      </c>
    </row>
    <row r="295" spans="2:350">
      <c r="B295" s="27">
        <f t="shared" si="97"/>
        <v>9.6400707130229815E-2</v>
      </c>
      <c r="C295" s="27">
        <f t="shared" si="98"/>
        <v>0.1075427224513848</v>
      </c>
      <c r="D295" s="1">
        <f t="shared" si="99"/>
        <v>182500</v>
      </c>
      <c r="E295" s="278">
        <v>46</v>
      </c>
      <c r="F295" s="16">
        <v>1905</v>
      </c>
      <c r="G295">
        <v>10</v>
      </c>
      <c r="H295" s="16">
        <v>16970000</v>
      </c>
      <c r="I295" s="16">
        <v>4412200</v>
      </c>
      <c r="J295" s="16">
        <v>1425000</v>
      </c>
      <c r="K295" s="16">
        <v>0</v>
      </c>
      <c r="L295" s="123">
        <v>0</v>
      </c>
      <c r="M295" s="16">
        <v>5837200</v>
      </c>
      <c r="N295" s="16">
        <v>1635920</v>
      </c>
      <c r="O295" s="16">
        <v>1825000</v>
      </c>
      <c r="P295" s="16">
        <v>0</v>
      </c>
      <c r="Q295" s="16"/>
      <c r="R295" s="16">
        <v>0</v>
      </c>
      <c r="S295"/>
      <c r="T295" s="12">
        <v>3460920</v>
      </c>
      <c r="U295" s="313">
        <v>1715000</v>
      </c>
      <c r="V295" s="16">
        <v>0</v>
      </c>
      <c r="W295" s="123">
        <v>0</v>
      </c>
      <c r="X295" s="123">
        <v>0</v>
      </c>
      <c r="Y295" s="12">
        <v>1715000</v>
      </c>
      <c r="Z295" s="12">
        <v>661280</v>
      </c>
      <c r="AA295" s="13">
        <v>0.11328719248954978</v>
      </c>
      <c r="AB295" s="13">
        <v>9.6400707130229815E-2</v>
      </c>
      <c r="AC295" s="16">
        <v>8908.1364829396334</v>
      </c>
      <c r="AD295" s="13">
        <v>0.1075427224513848</v>
      </c>
      <c r="BZ295" s="278" t="s">
        <v>23</v>
      </c>
      <c r="CC295">
        <v>0</v>
      </c>
      <c r="CD295">
        <v>0</v>
      </c>
      <c r="CE295">
        <v>0</v>
      </c>
      <c r="CF295">
        <v>0</v>
      </c>
      <c r="CL295" s="26" t="s">
        <v>172</v>
      </c>
      <c r="EI295">
        <v>23</v>
      </c>
      <c r="EJ295">
        <v>20</v>
      </c>
      <c r="EK295">
        <v>21</v>
      </c>
      <c r="EL295">
        <v>23</v>
      </c>
      <c r="EM295">
        <v>0</v>
      </c>
      <c r="EN295">
        <v>0</v>
      </c>
      <c r="EO295">
        <v>0</v>
      </c>
      <c r="EP295">
        <v>23</v>
      </c>
      <c r="JO295"/>
      <c r="JP295"/>
      <c r="JS295"/>
      <c r="JT295"/>
      <c r="JV295"/>
      <c r="JZ295"/>
      <c r="KA295"/>
      <c r="KN295" s="26" t="s">
        <v>202</v>
      </c>
      <c r="MI295">
        <v>0</v>
      </c>
      <c r="MJ295">
        <v>0</v>
      </c>
      <c r="MK295">
        <v>0</v>
      </c>
      <c r="ML295">
        <v>0</v>
      </c>
    </row>
    <row r="296" spans="2:350">
      <c r="B296" s="27">
        <f t="shared" si="97"/>
        <v>8.3699989972926908E-2</v>
      </c>
      <c r="C296" s="27">
        <f t="shared" si="98"/>
        <v>0.1504060964604432</v>
      </c>
      <c r="D296" s="1">
        <f t="shared" si="99"/>
        <v>187500</v>
      </c>
      <c r="E296" s="278">
        <v>47</v>
      </c>
      <c r="F296" s="16">
        <v>2222</v>
      </c>
      <c r="G296">
        <v>16</v>
      </c>
      <c r="H296" s="16">
        <v>19946000</v>
      </c>
      <c r="I296" s="16">
        <v>5185960</v>
      </c>
      <c r="J296" s="16">
        <v>2000000</v>
      </c>
      <c r="K296" s="16">
        <v>0</v>
      </c>
      <c r="L296" s="123">
        <v>0</v>
      </c>
      <c r="M296" s="16">
        <v>7185960</v>
      </c>
      <c r="N296" s="16">
        <v>1669480</v>
      </c>
      <c r="O296" s="16">
        <v>3000000</v>
      </c>
      <c r="P296" s="16">
        <v>0</v>
      </c>
      <c r="Q296" s="16"/>
      <c r="R296" s="16">
        <v>0</v>
      </c>
      <c r="S296"/>
      <c r="T296" s="12">
        <v>4669480</v>
      </c>
      <c r="U296" s="313">
        <v>2415000</v>
      </c>
      <c r="V296" s="16">
        <v>0</v>
      </c>
      <c r="W296" s="123">
        <v>0</v>
      </c>
      <c r="X296" s="123">
        <v>0</v>
      </c>
      <c r="Y296" s="12">
        <v>2415000</v>
      </c>
      <c r="Z296" s="12">
        <v>101480</v>
      </c>
      <c r="AA296" s="13">
        <v>1.4121982309948844E-2</v>
      </c>
      <c r="AB296" s="13">
        <v>8.3699989972926908E-2</v>
      </c>
      <c r="AC296" s="16">
        <v>8976.5976597659774</v>
      </c>
      <c r="AD296" s="13">
        <v>0.1504060964604432</v>
      </c>
      <c r="BZ296" s="278" t="s">
        <v>172</v>
      </c>
      <c r="CC296">
        <v>0</v>
      </c>
      <c r="CD296">
        <v>0</v>
      </c>
      <c r="CE296">
        <v>0</v>
      </c>
      <c r="CF296">
        <v>0</v>
      </c>
      <c r="CL296" s="26" t="s">
        <v>205</v>
      </c>
      <c r="EI296">
        <v>5</v>
      </c>
      <c r="EJ296">
        <v>8</v>
      </c>
      <c r="EK296">
        <v>11</v>
      </c>
      <c r="EL296">
        <v>12</v>
      </c>
      <c r="EM296">
        <v>0</v>
      </c>
      <c r="EN296">
        <v>0</v>
      </c>
      <c r="EO296">
        <v>0</v>
      </c>
      <c r="EP296">
        <v>12</v>
      </c>
      <c r="JO296"/>
      <c r="JP296"/>
      <c r="JS296"/>
      <c r="JT296"/>
      <c r="JV296"/>
      <c r="JZ296"/>
      <c r="KA296"/>
      <c r="KN296" s="278" t="s">
        <v>21</v>
      </c>
      <c r="MI296">
        <v>0</v>
      </c>
      <c r="MJ296">
        <v>0</v>
      </c>
      <c r="MK296">
        <v>0</v>
      </c>
      <c r="ML296">
        <v>0</v>
      </c>
    </row>
    <row r="297" spans="2:350">
      <c r="B297" s="27">
        <f t="shared" si="97"/>
        <v>9.3171386992051936E-2</v>
      </c>
      <c r="C297" s="27">
        <f t="shared" si="98"/>
        <v>0.15112504197917834</v>
      </c>
      <c r="D297" s="1">
        <f t="shared" si="99"/>
        <v>192857.14285714287</v>
      </c>
      <c r="E297" s="278">
        <v>48</v>
      </c>
      <c r="F297" s="16">
        <v>1918</v>
      </c>
      <c r="G297">
        <v>14</v>
      </c>
      <c r="H297" s="16">
        <v>17866000</v>
      </c>
      <c r="I297" s="16">
        <v>4645160</v>
      </c>
      <c r="J297" s="16">
        <v>1440000</v>
      </c>
      <c r="K297" s="16">
        <v>0</v>
      </c>
      <c r="L297" s="123">
        <v>0</v>
      </c>
      <c r="M297" s="16">
        <v>6085160</v>
      </c>
      <c r="N297" s="16">
        <v>1664600</v>
      </c>
      <c r="O297" s="16">
        <v>2700000</v>
      </c>
      <c r="P297" s="16">
        <v>0</v>
      </c>
      <c r="Q297" s="16"/>
      <c r="R297" s="16">
        <v>0</v>
      </c>
      <c r="S297"/>
      <c r="T297" s="12">
        <v>4364600</v>
      </c>
      <c r="U297" s="313">
        <v>2275000</v>
      </c>
      <c r="V297" s="16">
        <v>0</v>
      </c>
      <c r="W297" s="123">
        <v>0</v>
      </c>
      <c r="X297" s="123">
        <v>0</v>
      </c>
      <c r="Y297" s="12">
        <v>2275000</v>
      </c>
      <c r="Z297" s="12">
        <v>-554440</v>
      </c>
      <c r="AA297" s="13">
        <v>-9.1113462916340732E-2</v>
      </c>
      <c r="AB297" s="13">
        <v>9.3171386992051936E-2</v>
      </c>
      <c r="AC297" s="16">
        <v>9314.9113660062558</v>
      </c>
      <c r="AD297" s="13">
        <v>0.15112504197917834</v>
      </c>
      <c r="BZ297" s="278" t="s">
        <v>205</v>
      </c>
      <c r="CC297">
        <v>0</v>
      </c>
      <c r="CD297">
        <v>0</v>
      </c>
      <c r="CE297">
        <v>0</v>
      </c>
      <c r="CF297">
        <v>0</v>
      </c>
      <c r="CL297" s="26" t="s">
        <v>173</v>
      </c>
      <c r="EI297">
        <v>13</v>
      </c>
      <c r="EJ297">
        <v>14</v>
      </c>
      <c r="EK297">
        <v>18</v>
      </c>
      <c r="EL297">
        <v>16</v>
      </c>
      <c r="EM297">
        <v>0</v>
      </c>
      <c r="EN297">
        <v>0</v>
      </c>
      <c r="EO297">
        <v>0</v>
      </c>
      <c r="EP297">
        <v>18</v>
      </c>
      <c r="JO297"/>
      <c r="JP297"/>
      <c r="JS297"/>
      <c r="JT297"/>
      <c r="JV297"/>
      <c r="JZ297"/>
      <c r="KA297"/>
      <c r="KN297" s="278" t="s">
        <v>158</v>
      </c>
      <c r="MI297">
        <v>0</v>
      </c>
      <c r="MJ297">
        <v>0</v>
      </c>
      <c r="MK297">
        <v>0</v>
      </c>
      <c r="ML297">
        <v>0</v>
      </c>
    </row>
    <row r="298" spans="2:350">
      <c r="B298" s="27">
        <f t="shared" si="97"/>
        <v>9.2562610924866895E-2</v>
      </c>
      <c r="C298" s="27">
        <f t="shared" si="98"/>
        <v>0.13434233878919347</v>
      </c>
      <c r="D298" s="1">
        <f t="shared" si="99"/>
        <v>209615.38461538462</v>
      </c>
      <c r="E298" s="278">
        <v>49</v>
      </c>
      <c r="F298" s="16">
        <v>2264</v>
      </c>
      <c r="G298">
        <v>13</v>
      </c>
      <c r="H298" s="16">
        <v>20284000</v>
      </c>
      <c r="I298" s="16">
        <v>5273840</v>
      </c>
      <c r="J298" s="16">
        <v>2200000</v>
      </c>
      <c r="K298" s="16">
        <v>0</v>
      </c>
      <c r="L298" s="123">
        <v>0</v>
      </c>
      <c r="M298" s="16">
        <v>7473840</v>
      </c>
      <c r="N298" s="16">
        <v>1877540</v>
      </c>
      <c r="O298" s="16">
        <v>2725000</v>
      </c>
      <c r="P298" s="16">
        <v>0</v>
      </c>
      <c r="Q298" s="16">
        <v>0</v>
      </c>
      <c r="R298" s="16">
        <v>0</v>
      </c>
      <c r="S298"/>
      <c r="T298" s="12">
        <v>4602540</v>
      </c>
      <c r="U298" s="313">
        <v>2660000</v>
      </c>
      <c r="V298" s="16">
        <v>0</v>
      </c>
      <c r="W298" s="123">
        <v>0</v>
      </c>
      <c r="X298" s="123">
        <v>0</v>
      </c>
      <c r="Y298" s="12">
        <v>2660000</v>
      </c>
      <c r="Z298" s="12">
        <v>211300</v>
      </c>
      <c r="AA298" s="13">
        <v>2.8271945880564742E-2</v>
      </c>
      <c r="AB298" s="13">
        <v>9.2562610924866895E-2</v>
      </c>
      <c r="AC298" s="16">
        <v>8959.3639575971738</v>
      </c>
      <c r="AD298" s="13">
        <v>0.13434233878919347</v>
      </c>
      <c r="BZ298" s="278" t="s">
        <v>173</v>
      </c>
      <c r="CC298">
        <v>0</v>
      </c>
      <c r="CD298">
        <v>0</v>
      </c>
      <c r="CE298">
        <v>0</v>
      </c>
      <c r="CF298">
        <v>0</v>
      </c>
      <c r="CL298" s="26" t="s">
        <v>174</v>
      </c>
      <c r="EI298">
        <v>23</v>
      </c>
      <c r="EJ298">
        <v>24</v>
      </c>
      <c r="EK298">
        <v>20</v>
      </c>
      <c r="EL298">
        <v>18</v>
      </c>
      <c r="EM298">
        <v>0</v>
      </c>
      <c r="EN298">
        <v>0</v>
      </c>
      <c r="EO298">
        <v>0</v>
      </c>
      <c r="EP298">
        <v>24</v>
      </c>
      <c r="JO298"/>
      <c r="JP298"/>
      <c r="JS298"/>
      <c r="JT298"/>
      <c r="JV298"/>
      <c r="JZ298"/>
      <c r="KA298"/>
      <c r="KN298" s="278" t="s">
        <v>159</v>
      </c>
      <c r="MI298">
        <v>0</v>
      </c>
      <c r="MJ298">
        <v>0</v>
      </c>
      <c r="MK298">
        <v>0</v>
      </c>
      <c r="ML298">
        <v>0</v>
      </c>
    </row>
    <row r="299" spans="2:350">
      <c r="B299" s="27">
        <f t="shared" si="97"/>
        <v>8.446579773570545E-2</v>
      </c>
      <c r="C299" s="27">
        <f t="shared" si="98"/>
        <v>0.12130149367329464</v>
      </c>
      <c r="D299" s="1">
        <f t="shared" si="99"/>
        <v>182142.85714285713</v>
      </c>
      <c r="E299" s="278">
        <v>50</v>
      </c>
      <c r="F299" s="16">
        <v>2350</v>
      </c>
      <c r="G299">
        <v>14</v>
      </c>
      <c r="H299" s="16">
        <v>21022000</v>
      </c>
      <c r="I299" s="16">
        <v>5465720</v>
      </c>
      <c r="J299" s="16">
        <v>1970000</v>
      </c>
      <c r="K299" s="16">
        <v>0</v>
      </c>
      <c r="L299" s="123">
        <v>0</v>
      </c>
      <c r="M299" s="16">
        <v>7435720</v>
      </c>
      <c r="N299" s="16">
        <v>1775640</v>
      </c>
      <c r="O299" s="16">
        <v>2550000</v>
      </c>
      <c r="P299" s="16">
        <v>0</v>
      </c>
      <c r="Q299" s="16">
        <v>0</v>
      </c>
      <c r="R299" s="16">
        <v>0</v>
      </c>
      <c r="S299"/>
      <c r="T299" s="12">
        <v>4325640</v>
      </c>
      <c r="U299" s="313">
        <v>2590000</v>
      </c>
      <c r="V299" s="16">
        <v>0</v>
      </c>
      <c r="W299" s="123">
        <v>0</v>
      </c>
      <c r="X299" s="123">
        <v>0</v>
      </c>
      <c r="Y299" s="12">
        <v>2590000</v>
      </c>
      <c r="Z299" s="12">
        <v>520080</v>
      </c>
      <c r="AA299" s="13">
        <v>6.9943462099164577E-2</v>
      </c>
      <c r="AB299" s="13">
        <v>8.446579773570545E-2</v>
      </c>
      <c r="AC299" s="16">
        <v>8945.5319148936178</v>
      </c>
      <c r="AD299" s="13">
        <v>0.12130149367329464</v>
      </c>
      <c r="BZ299" s="278" t="s">
        <v>174</v>
      </c>
      <c r="CC299">
        <v>0</v>
      </c>
      <c r="CD299">
        <v>0</v>
      </c>
      <c r="CE299">
        <v>0</v>
      </c>
      <c r="CF299">
        <v>0</v>
      </c>
      <c r="CL299" s="26" t="s">
        <v>203</v>
      </c>
      <c r="EM299">
        <v>0</v>
      </c>
      <c r="EN299">
        <v>0</v>
      </c>
      <c r="EO299">
        <v>0</v>
      </c>
      <c r="EP299">
        <v>0</v>
      </c>
      <c r="JO299"/>
      <c r="JP299"/>
      <c r="JS299"/>
      <c r="JT299"/>
      <c r="JV299"/>
      <c r="JZ299"/>
      <c r="KA299"/>
      <c r="KN299" s="278" t="s">
        <v>160</v>
      </c>
      <c r="MI299">
        <v>0</v>
      </c>
      <c r="MJ299">
        <v>0</v>
      </c>
      <c r="MK299">
        <v>0</v>
      </c>
      <c r="ML299">
        <v>0</v>
      </c>
    </row>
    <row r="300" spans="2:350">
      <c r="B300" s="27">
        <f t="shared" si="97"/>
        <v>8.6090082644628099E-2</v>
      </c>
      <c r="C300" s="27">
        <f t="shared" si="98"/>
        <v>0.13636363636363635</v>
      </c>
      <c r="D300" s="1">
        <f t="shared" si="99"/>
        <v>183333.33333333334</v>
      </c>
      <c r="E300" s="278">
        <v>51</v>
      </c>
      <c r="F300" s="16">
        <v>2705</v>
      </c>
      <c r="G300">
        <v>18</v>
      </c>
      <c r="H300" s="16">
        <v>24200000</v>
      </c>
      <c r="I300" s="16">
        <v>6292000</v>
      </c>
      <c r="J300" s="16">
        <v>2195000</v>
      </c>
      <c r="K300" s="16">
        <v>0</v>
      </c>
      <c r="L300" s="123">
        <v>0</v>
      </c>
      <c r="M300" s="16">
        <v>8487000</v>
      </c>
      <c r="N300" s="16">
        <v>2083380</v>
      </c>
      <c r="O300" s="16">
        <v>3300000</v>
      </c>
      <c r="P300" s="16">
        <v>0</v>
      </c>
      <c r="Q300" s="16">
        <v>0</v>
      </c>
      <c r="R300" s="16">
        <v>0</v>
      </c>
      <c r="S300"/>
      <c r="T300" s="12">
        <v>5383380</v>
      </c>
      <c r="U300" s="313">
        <v>3045000</v>
      </c>
      <c r="V300" s="16">
        <v>0</v>
      </c>
      <c r="W300" s="123">
        <v>0</v>
      </c>
      <c r="X300" s="123">
        <v>0</v>
      </c>
      <c r="Y300" s="12">
        <v>3045000</v>
      </c>
      <c r="Z300" s="12">
        <v>58620</v>
      </c>
      <c r="AA300" s="13">
        <v>6.9070342877341814E-3</v>
      </c>
      <c r="AB300" s="13">
        <v>8.6090082644628099E-2</v>
      </c>
      <c r="AC300" s="16">
        <v>8946.395563770795</v>
      </c>
      <c r="AD300" s="13">
        <v>0.13636363636363635</v>
      </c>
      <c r="BZ300" s="278" t="s">
        <v>203</v>
      </c>
      <c r="CC300">
        <v>0</v>
      </c>
      <c r="CD300">
        <v>0</v>
      </c>
      <c r="CE300">
        <v>0</v>
      </c>
      <c r="CF300">
        <v>0</v>
      </c>
      <c r="CL300" s="26" t="s">
        <v>175</v>
      </c>
      <c r="EM300">
        <v>0</v>
      </c>
      <c r="EN300">
        <v>0</v>
      </c>
      <c r="EO300">
        <v>0</v>
      </c>
      <c r="EP300">
        <v>0</v>
      </c>
      <c r="JO300"/>
      <c r="JP300"/>
      <c r="JS300"/>
      <c r="JT300"/>
      <c r="JV300"/>
      <c r="JZ300"/>
      <c r="KA300"/>
      <c r="KN300" s="278" t="s">
        <v>161</v>
      </c>
      <c r="MI300">
        <v>0</v>
      </c>
      <c r="MJ300">
        <v>0</v>
      </c>
      <c r="MK300">
        <v>0</v>
      </c>
      <c r="ML300">
        <v>0</v>
      </c>
    </row>
    <row r="301" spans="2:350">
      <c r="B301" s="27">
        <f t="shared" si="97"/>
        <v>7.4414385399892646E-2</v>
      </c>
      <c r="C301" s="27">
        <f t="shared" si="98"/>
        <v>0.13419216317767044</v>
      </c>
      <c r="D301" s="1">
        <f t="shared" si="99"/>
        <v>156250</v>
      </c>
      <c r="E301" s="278">
        <v>52</v>
      </c>
      <c r="F301" s="16">
        <v>2080</v>
      </c>
      <c r="G301">
        <v>16</v>
      </c>
      <c r="H301" s="16">
        <v>18630000</v>
      </c>
      <c r="I301" s="16">
        <v>4843800</v>
      </c>
      <c r="J301" s="16">
        <v>2090000</v>
      </c>
      <c r="K301" s="16">
        <v>0</v>
      </c>
      <c r="L301" s="123">
        <v>0</v>
      </c>
      <c r="M301" s="16">
        <v>6933800</v>
      </c>
      <c r="N301" s="16">
        <v>1386340</v>
      </c>
      <c r="O301" s="16">
        <v>2500000</v>
      </c>
      <c r="P301" s="16">
        <v>0</v>
      </c>
      <c r="Q301" s="16">
        <v>0</v>
      </c>
      <c r="R301" s="16">
        <v>0</v>
      </c>
      <c r="S301"/>
      <c r="T301" s="12">
        <v>3886340</v>
      </c>
      <c r="U301" s="313">
        <v>2695000</v>
      </c>
      <c r="V301" s="16">
        <v>0</v>
      </c>
      <c r="W301" s="123">
        <v>0</v>
      </c>
      <c r="X301" s="123">
        <v>0</v>
      </c>
      <c r="Y301" s="12">
        <v>2695000</v>
      </c>
      <c r="Z301" s="12">
        <v>352460</v>
      </c>
      <c r="AA301" s="13">
        <v>5.0832155527993306E-2</v>
      </c>
      <c r="AB301" s="13">
        <v>7.4414385399892646E-2</v>
      </c>
      <c r="AC301" s="16">
        <v>8956.7307692307695</v>
      </c>
      <c r="AD301" s="13">
        <v>0.13419216317767044</v>
      </c>
      <c r="BZ301" s="278" t="s">
        <v>175</v>
      </c>
      <c r="CC301">
        <v>0</v>
      </c>
      <c r="CD301">
        <v>0</v>
      </c>
      <c r="CE301">
        <v>0</v>
      </c>
      <c r="CF301">
        <v>0</v>
      </c>
      <c r="CL301" s="26" t="s">
        <v>200</v>
      </c>
      <c r="EM301">
        <v>0</v>
      </c>
      <c r="EN301">
        <v>0</v>
      </c>
      <c r="EO301">
        <v>0</v>
      </c>
      <c r="EP301">
        <v>0</v>
      </c>
      <c r="JO301"/>
      <c r="JP301"/>
      <c r="JS301"/>
      <c r="JT301"/>
      <c r="JV301"/>
      <c r="JZ301"/>
      <c r="KA301"/>
      <c r="KN301" s="278" t="s">
        <v>156</v>
      </c>
      <c r="MI301">
        <v>0</v>
      </c>
      <c r="MJ301">
        <v>0</v>
      </c>
      <c r="MK301">
        <v>0</v>
      </c>
      <c r="ML301">
        <v>0</v>
      </c>
    </row>
    <row r="302" spans="2:350">
      <c r="B302" s="27">
        <f t="shared" si="97"/>
        <v>8.9551936886821074E-2</v>
      </c>
      <c r="C302" s="27">
        <f t="shared" si="98"/>
        <v>0.1137857793061596</v>
      </c>
      <c r="D302" s="1">
        <f t="shared" si="99"/>
        <v>173076.92307692306</v>
      </c>
      <c r="E302" s="278">
        <v>12026</v>
      </c>
      <c r="F302" s="16">
        <v>2208</v>
      </c>
      <c r="G302">
        <v>13</v>
      </c>
      <c r="H302" s="16">
        <v>19774000</v>
      </c>
      <c r="I302" s="16">
        <v>5141240</v>
      </c>
      <c r="J302" s="16">
        <v>2240000</v>
      </c>
      <c r="K302" s="16">
        <v>0</v>
      </c>
      <c r="L302" s="123">
        <v>0</v>
      </c>
      <c r="M302" s="16">
        <v>7381240</v>
      </c>
      <c r="N302" s="16">
        <v>1770800</v>
      </c>
      <c r="O302" s="16">
        <v>2250000</v>
      </c>
      <c r="P302" s="16">
        <v>0</v>
      </c>
      <c r="Q302" s="16">
        <v>0</v>
      </c>
      <c r="R302" s="16">
        <v>0</v>
      </c>
      <c r="S302"/>
      <c r="T302" s="12">
        <v>4020800</v>
      </c>
      <c r="U302" s="313">
        <v>2310000</v>
      </c>
      <c r="V302" s="16">
        <v>0</v>
      </c>
      <c r="W302" s="123">
        <v>0</v>
      </c>
      <c r="X302" s="123">
        <v>0</v>
      </c>
      <c r="Y302" s="12">
        <v>2310000</v>
      </c>
      <c r="Z302" s="12">
        <v>1050440</v>
      </c>
      <c r="AA302" s="13">
        <v>0.14231213183692712</v>
      </c>
      <c r="AB302" s="13">
        <v>8.9551936886821074E-2</v>
      </c>
      <c r="AC302" s="16">
        <v>8955.615942028986</v>
      </c>
      <c r="AD302" s="13">
        <v>0.1137857793061596</v>
      </c>
      <c r="BZ302" s="278" t="s">
        <v>200</v>
      </c>
      <c r="CC302">
        <v>0</v>
      </c>
      <c r="CD302">
        <v>0</v>
      </c>
      <c r="CE302">
        <v>0</v>
      </c>
      <c r="CF302">
        <v>0</v>
      </c>
      <c r="CL302" s="26" t="s">
        <v>176</v>
      </c>
      <c r="EI302">
        <v>11</v>
      </c>
      <c r="EJ302">
        <v>12</v>
      </c>
      <c r="EK302">
        <v>11</v>
      </c>
      <c r="EL302">
        <v>11</v>
      </c>
      <c r="EM302">
        <v>0</v>
      </c>
      <c r="EN302">
        <v>0</v>
      </c>
      <c r="EO302">
        <v>0</v>
      </c>
      <c r="EP302">
        <v>12</v>
      </c>
      <c r="JO302"/>
      <c r="JP302"/>
      <c r="JS302"/>
      <c r="JT302"/>
      <c r="JV302"/>
      <c r="JZ302"/>
      <c r="KA302"/>
      <c r="KN302" s="278" t="s">
        <v>162</v>
      </c>
      <c r="MI302">
        <v>0</v>
      </c>
      <c r="MJ302">
        <v>0</v>
      </c>
      <c r="MK302">
        <v>0</v>
      </c>
      <c r="ML302">
        <v>0</v>
      </c>
    </row>
    <row r="303" spans="2:350">
      <c r="B303" s="27">
        <f t="shared" si="97"/>
        <v>8.5534960112623182E-2</v>
      </c>
      <c r="C303" s="27">
        <f t="shared" si="98"/>
        <v>0.10851712810886907</v>
      </c>
      <c r="D303" s="1">
        <f t="shared" si="99"/>
        <v>168181.81818181818</v>
      </c>
      <c r="E303" s="278">
        <v>22026</v>
      </c>
      <c r="F303" s="16">
        <v>1879</v>
      </c>
      <c r="G303">
        <v>11</v>
      </c>
      <c r="H303" s="16">
        <v>17048000</v>
      </c>
      <c r="I303" s="16">
        <v>4432480</v>
      </c>
      <c r="J303" s="16">
        <v>1660000</v>
      </c>
      <c r="K303" s="16">
        <v>0</v>
      </c>
      <c r="L303" s="123">
        <v>0</v>
      </c>
      <c r="M303" s="16">
        <v>6092480</v>
      </c>
      <c r="N303" s="16">
        <v>1458200</v>
      </c>
      <c r="O303" s="16">
        <v>1850000</v>
      </c>
      <c r="P303" s="16">
        <v>0</v>
      </c>
      <c r="Q303" s="16">
        <v>0</v>
      </c>
      <c r="R303" s="16">
        <v>0</v>
      </c>
      <c r="S303"/>
      <c r="T303" s="12">
        <v>3308200</v>
      </c>
      <c r="U303" s="313">
        <v>2030000</v>
      </c>
      <c r="V303" s="16">
        <v>0</v>
      </c>
      <c r="W303" s="123">
        <v>0</v>
      </c>
      <c r="X303" s="123">
        <v>0</v>
      </c>
      <c r="Y303" s="12">
        <v>2030000</v>
      </c>
      <c r="Z303" s="12">
        <v>754280</v>
      </c>
      <c r="AA303" s="13">
        <v>0.12380508430064605</v>
      </c>
      <c r="AB303" s="13">
        <v>8.5534960112623182E-2</v>
      </c>
      <c r="AC303" s="16">
        <v>9072.9111229377322</v>
      </c>
      <c r="AD303" s="13">
        <v>0.10851712810886907</v>
      </c>
      <c r="BZ303" s="278" t="s">
        <v>176</v>
      </c>
      <c r="CC303">
        <v>0</v>
      </c>
      <c r="CD303">
        <v>0</v>
      </c>
      <c r="CE303">
        <v>0</v>
      </c>
      <c r="CF303">
        <v>0</v>
      </c>
      <c r="CL303" s="26" t="s">
        <v>201</v>
      </c>
      <c r="EM303">
        <v>0</v>
      </c>
      <c r="EN303">
        <v>0</v>
      </c>
      <c r="EO303">
        <v>0</v>
      </c>
      <c r="EP303">
        <v>0</v>
      </c>
      <c r="JO303"/>
      <c r="JP303"/>
      <c r="JS303"/>
      <c r="JT303"/>
      <c r="JV303"/>
      <c r="JZ303"/>
      <c r="KA303"/>
      <c r="KN303" s="278" t="s">
        <v>163</v>
      </c>
      <c r="LV303" s="379"/>
      <c r="MI303">
        <v>0</v>
      </c>
      <c r="MJ303">
        <v>0</v>
      </c>
      <c r="MK303">
        <v>0</v>
      </c>
      <c r="ML303">
        <v>0</v>
      </c>
    </row>
    <row r="304" spans="2:350">
      <c r="B304" s="27">
        <f t="shared" si="97"/>
        <v>8.1363133436601023E-2</v>
      </c>
      <c r="C304" s="27">
        <f t="shared" si="98"/>
        <v>0.1341557866784687</v>
      </c>
      <c r="D304" s="1">
        <f t="shared" si="99"/>
        <v>161666.66666666666</v>
      </c>
      <c r="E304" s="278">
        <v>32026</v>
      </c>
      <c r="F304" s="16">
        <v>1851</v>
      </c>
      <c r="G304">
        <v>15</v>
      </c>
      <c r="H304" s="16">
        <v>18076000</v>
      </c>
      <c r="I304" s="16">
        <v>4699760</v>
      </c>
      <c r="J304" s="16">
        <v>1450000</v>
      </c>
      <c r="K304" s="16">
        <v>0</v>
      </c>
      <c r="L304" s="123">
        <v>0</v>
      </c>
      <c r="M304" s="16">
        <v>6149760</v>
      </c>
      <c r="N304" s="16">
        <v>1470720</v>
      </c>
      <c r="O304" s="16">
        <v>2425000</v>
      </c>
      <c r="P304" s="16">
        <v>0</v>
      </c>
      <c r="Q304" s="16">
        <v>0</v>
      </c>
      <c r="R304" s="16">
        <v>0</v>
      </c>
      <c r="S304"/>
      <c r="T304" s="12">
        <v>3895720</v>
      </c>
      <c r="U304" s="313">
        <v>2450000</v>
      </c>
      <c r="V304" s="16">
        <v>0</v>
      </c>
      <c r="W304" s="123">
        <v>0</v>
      </c>
      <c r="X304" s="123">
        <v>0</v>
      </c>
      <c r="Y304" s="12">
        <v>2450000</v>
      </c>
      <c r="Z304" s="12">
        <v>-195960</v>
      </c>
      <c r="AA304" s="13">
        <v>-3.1864658133000309E-2</v>
      </c>
      <c r="AB304" s="13">
        <v>8.1363133436601023E-2</v>
      </c>
      <c r="AC304" s="16">
        <v>9765.5321447866027</v>
      </c>
      <c r="AD304" s="13">
        <v>0.1341557866784687</v>
      </c>
      <c r="BZ304" s="278" t="s">
        <v>201</v>
      </c>
      <c r="CC304">
        <v>0</v>
      </c>
      <c r="CD304">
        <v>0</v>
      </c>
      <c r="CE304">
        <v>0</v>
      </c>
      <c r="CF304">
        <v>0</v>
      </c>
      <c r="CL304" s="26" t="s">
        <v>178</v>
      </c>
      <c r="EM304">
        <v>0</v>
      </c>
      <c r="EN304">
        <v>0</v>
      </c>
      <c r="EO304">
        <v>0</v>
      </c>
      <c r="EP304">
        <v>0</v>
      </c>
      <c r="JO304"/>
      <c r="JP304"/>
      <c r="JS304"/>
      <c r="JT304"/>
      <c r="JV304"/>
      <c r="JZ304"/>
      <c r="KA304"/>
      <c r="KN304" s="278" t="s">
        <v>164</v>
      </c>
      <c r="MI304">
        <v>0</v>
      </c>
      <c r="MJ304">
        <v>0</v>
      </c>
      <c r="MK304">
        <v>0</v>
      </c>
      <c r="ML304">
        <v>0</v>
      </c>
    </row>
    <row r="305" spans="1:350">
      <c r="B305" s="27">
        <f t="shared" si="97"/>
        <v>7.5289133173021869E-2</v>
      </c>
      <c r="C305" s="27">
        <f t="shared" si="98"/>
        <v>0.13597847246078096</v>
      </c>
      <c r="D305" s="1">
        <f t="shared" si="99"/>
        <v>169642.85714285713</v>
      </c>
      <c r="E305" s="278">
        <v>42026</v>
      </c>
      <c r="F305" s="16">
        <v>1946</v>
      </c>
      <c r="G305">
        <v>14</v>
      </c>
      <c r="H305" s="16">
        <v>17466000</v>
      </c>
      <c r="I305" s="16">
        <v>4541160</v>
      </c>
      <c r="J305" s="16">
        <v>1640000</v>
      </c>
      <c r="K305" s="16">
        <v>0</v>
      </c>
      <c r="L305" s="123">
        <v>0</v>
      </c>
      <c r="M305" s="16">
        <v>6181160</v>
      </c>
      <c r="N305" s="16">
        <v>1315000</v>
      </c>
      <c r="O305" s="16">
        <v>2375000</v>
      </c>
      <c r="P305" s="16">
        <v>0</v>
      </c>
      <c r="Q305" s="16">
        <v>0</v>
      </c>
      <c r="R305" s="16">
        <v>0</v>
      </c>
      <c r="S305"/>
      <c r="T305" s="12">
        <v>3690000</v>
      </c>
      <c r="U305" s="313">
        <v>2450000</v>
      </c>
      <c r="V305" s="16">
        <v>0</v>
      </c>
      <c r="W305" s="123">
        <v>0</v>
      </c>
      <c r="X305" s="123">
        <v>0</v>
      </c>
      <c r="Y305" s="12">
        <v>2450000</v>
      </c>
      <c r="Z305" s="12">
        <v>41160</v>
      </c>
      <c r="AA305" s="13">
        <v>6.6589442758317212E-3</v>
      </c>
      <c r="AB305" s="13">
        <v>7.5289133173021869E-2</v>
      </c>
      <c r="AC305" s="16">
        <v>8975.3340184994868</v>
      </c>
      <c r="AD305" s="13">
        <v>0.13597847246078096</v>
      </c>
      <c r="BZ305" s="278" t="s">
        <v>178</v>
      </c>
      <c r="CC305">
        <v>0</v>
      </c>
      <c r="CD305">
        <v>0</v>
      </c>
      <c r="CE305">
        <v>0</v>
      </c>
      <c r="CF305">
        <v>0</v>
      </c>
      <c r="CL305" s="26" t="s">
        <v>177</v>
      </c>
      <c r="EI305">
        <v>3</v>
      </c>
      <c r="EJ305">
        <v>2</v>
      </c>
      <c r="EK305">
        <v>2</v>
      </c>
      <c r="EL305">
        <v>1</v>
      </c>
      <c r="EM305">
        <v>0</v>
      </c>
      <c r="EN305">
        <v>0</v>
      </c>
      <c r="EO305">
        <v>0</v>
      </c>
      <c r="EP305">
        <v>3</v>
      </c>
      <c r="JO305"/>
      <c r="JP305"/>
      <c r="JS305"/>
      <c r="JT305"/>
      <c r="JV305"/>
      <c r="JZ305"/>
      <c r="KA305"/>
      <c r="KN305" s="278" t="s">
        <v>165</v>
      </c>
      <c r="MI305">
        <v>0</v>
      </c>
      <c r="MJ305">
        <v>0</v>
      </c>
      <c r="MK305">
        <v>0</v>
      </c>
      <c r="ML305">
        <v>0</v>
      </c>
    </row>
    <row r="306" spans="1:350">
      <c r="B306" s="27">
        <f t="shared" si="97"/>
        <v>0.12420430752080303</v>
      </c>
      <c r="C306" s="27">
        <f t="shared" si="98"/>
        <v>8.0823976426240104E-2</v>
      </c>
      <c r="D306" s="1">
        <f t="shared" si="99"/>
        <v>122330.90909090909</v>
      </c>
      <c r="E306" s="382">
        <v>52026</v>
      </c>
      <c r="F306" s="383">
        <v>1735</v>
      </c>
      <c r="G306" s="384">
        <v>11</v>
      </c>
      <c r="H306" s="383">
        <v>16649020</v>
      </c>
      <c r="I306" s="383">
        <v>4328745.2</v>
      </c>
      <c r="J306" s="383">
        <v>1680000</v>
      </c>
      <c r="K306" s="383">
        <v>0</v>
      </c>
      <c r="L306" s="385">
        <v>0</v>
      </c>
      <c r="M306" s="383">
        <v>6008745.2000000002</v>
      </c>
      <c r="N306" s="383">
        <v>2067880</v>
      </c>
      <c r="O306" s="383">
        <v>1345640</v>
      </c>
      <c r="P306" s="383">
        <v>0</v>
      </c>
      <c r="Q306" s="383">
        <v>0</v>
      </c>
      <c r="R306" s="383">
        <v>0</v>
      </c>
      <c r="S306" s="384"/>
      <c r="T306" s="386">
        <v>3413520</v>
      </c>
      <c r="U306" s="387">
        <v>2450000</v>
      </c>
      <c r="V306" s="383">
        <v>0</v>
      </c>
      <c r="W306" s="385">
        <v>0</v>
      </c>
      <c r="X306" s="385">
        <v>0</v>
      </c>
      <c r="Y306" s="386">
        <v>2450000</v>
      </c>
      <c r="Z306" s="386">
        <v>145225.20000000019</v>
      </c>
      <c r="AA306" s="388">
        <v>2.416897291634203E-2</v>
      </c>
      <c r="AB306" s="388">
        <v>0.12420430752080303</v>
      </c>
      <c r="AC306" s="383">
        <v>9595.9769452449564</v>
      </c>
      <c r="AD306" s="388">
        <v>8.0823976426240104E-2</v>
      </c>
      <c r="BZ306" s="278" t="s">
        <v>177</v>
      </c>
      <c r="CC306">
        <v>0</v>
      </c>
      <c r="CD306">
        <v>0</v>
      </c>
      <c r="CE306">
        <v>0</v>
      </c>
      <c r="CF306">
        <v>0</v>
      </c>
      <c r="CL306" s="26" t="s">
        <v>202</v>
      </c>
      <c r="EI306">
        <v>1</v>
      </c>
      <c r="EJ306">
        <v>1</v>
      </c>
      <c r="EK306">
        <v>1</v>
      </c>
      <c r="EL306">
        <v>1</v>
      </c>
      <c r="EM306">
        <v>0</v>
      </c>
      <c r="EN306">
        <v>0</v>
      </c>
      <c r="EO306">
        <v>0</v>
      </c>
      <c r="EP306">
        <v>1</v>
      </c>
      <c r="JO306"/>
      <c r="JP306"/>
      <c r="JS306"/>
      <c r="JT306"/>
      <c r="JV306"/>
      <c r="JZ306"/>
      <c r="KA306"/>
      <c r="KN306" s="278" t="s">
        <v>36</v>
      </c>
      <c r="MI306">
        <v>0</v>
      </c>
      <c r="MJ306">
        <v>0</v>
      </c>
      <c r="MK306">
        <v>0</v>
      </c>
      <c r="ML306">
        <v>0</v>
      </c>
    </row>
    <row r="307" spans="1:350">
      <c r="B307" s="27">
        <f t="shared" si="97"/>
        <v>8.1937848138375846E-2</v>
      </c>
      <c r="C307" s="27">
        <f t="shared" si="98"/>
        <v>0.12642919964819702</v>
      </c>
      <c r="D307" s="1">
        <f t="shared" si="99"/>
        <v>156818.18181818182</v>
      </c>
      <c r="E307" s="278">
        <v>62026</v>
      </c>
      <c r="F307" s="16">
        <v>1511</v>
      </c>
      <c r="G307">
        <v>11</v>
      </c>
      <c r="H307" s="16">
        <v>13644000</v>
      </c>
      <c r="I307" s="16">
        <v>3547440</v>
      </c>
      <c r="J307" s="16">
        <v>1725000</v>
      </c>
      <c r="K307" s="16">
        <v>0</v>
      </c>
      <c r="L307" s="123">
        <v>0</v>
      </c>
      <c r="M307" s="16">
        <v>5272440</v>
      </c>
      <c r="N307" s="16">
        <v>1117960</v>
      </c>
      <c r="O307" s="16">
        <v>1725000</v>
      </c>
      <c r="P307" s="16">
        <v>0</v>
      </c>
      <c r="Q307" s="16">
        <v>0</v>
      </c>
      <c r="R307" s="16"/>
      <c r="S307"/>
      <c r="T307" s="12">
        <v>2842960</v>
      </c>
      <c r="U307" s="313">
        <v>2030000</v>
      </c>
      <c r="V307" s="16">
        <v>0</v>
      </c>
      <c r="W307" s="123">
        <v>0</v>
      </c>
      <c r="X307" s="123">
        <v>0</v>
      </c>
      <c r="Y307" s="12">
        <v>2030000</v>
      </c>
      <c r="Z307" s="12">
        <v>399480</v>
      </c>
      <c r="AA307" s="13">
        <v>7.5767576302433026E-2</v>
      </c>
      <c r="AB307" s="13">
        <v>8.1937848138375846E-2</v>
      </c>
      <c r="AC307" s="16">
        <v>9029.7816015883527</v>
      </c>
      <c r="AD307" s="13">
        <v>0.12642919964819702</v>
      </c>
      <c r="BZ307" s="278" t="s">
        <v>202</v>
      </c>
      <c r="CC307">
        <v>0</v>
      </c>
      <c r="CD307">
        <v>0</v>
      </c>
      <c r="CE307">
        <v>0</v>
      </c>
      <c r="CF307">
        <v>0</v>
      </c>
      <c r="CL307" s="26" t="s">
        <v>204</v>
      </c>
      <c r="EK307">
        <v>3</v>
      </c>
      <c r="EL307">
        <v>3</v>
      </c>
      <c r="EM307">
        <v>0</v>
      </c>
      <c r="EN307">
        <v>0</v>
      </c>
      <c r="EO307">
        <v>0</v>
      </c>
      <c r="EP307">
        <v>3</v>
      </c>
      <c r="JO307"/>
      <c r="JP307"/>
      <c r="JS307"/>
      <c r="JT307"/>
      <c r="JV307"/>
      <c r="JZ307"/>
      <c r="KA307"/>
      <c r="KN307" s="278" t="s">
        <v>166</v>
      </c>
      <c r="MI307">
        <v>0</v>
      </c>
      <c r="MJ307">
        <v>0</v>
      </c>
      <c r="MK307">
        <v>0</v>
      </c>
      <c r="ML307">
        <v>0</v>
      </c>
    </row>
    <row r="308" spans="1:350">
      <c r="B308" s="27">
        <f t="shared" si="97"/>
        <v>8.105501130369254E-2</v>
      </c>
      <c r="C308" s="27">
        <f t="shared" si="98"/>
        <v>0.13030645566440593</v>
      </c>
      <c r="D308" s="1">
        <f t="shared" si="99"/>
        <v>172916.66666666666</v>
      </c>
      <c r="E308" s="278">
        <v>72026</v>
      </c>
      <c r="F308" s="16">
        <v>1759</v>
      </c>
      <c r="G308">
        <v>12</v>
      </c>
      <c r="H308" s="16">
        <v>15924000</v>
      </c>
      <c r="I308" s="16">
        <v>4140240</v>
      </c>
      <c r="J308" s="16">
        <v>1605000</v>
      </c>
      <c r="K308" s="16">
        <v>0</v>
      </c>
      <c r="L308" s="123">
        <v>0</v>
      </c>
      <c r="M308" s="16">
        <v>5745240</v>
      </c>
      <c r="N308" s="16">
        <v>1290720</v>
      </c>
      <c r="O308" s="16">
        <v>2075000</v>
      </c>
      <c r="P308" s="16">
        <v>0</v>
      </c>
      <c r="Q308" s="16">
        <v>0</v>
      </c>
      <c r="R308" s="16">
        <v>0</v>
      </c>
      <c r="S308">
        <v>0</v>
      </c>
      <c r="T308" s="12">
        <v>3365720</v>
      </c>
      <c r="U308" s="313">
        <v>2135000</v>
      </c>
      <c r="V308" s="16">
        <v>0</v>
      </c>
      <c r="W308" s="123">
        <v>0</v>
      </c>
      <c r="X308" s="123">
        <v>0</v>
      </c>
      <c r="Y308" s="12">
        <v>2135000</v>
      </c>
      <c r="Z308" s="12">
        <v>244520</v>
      </c>
      <c r="AA308" s="13">
        <v>4.2560450042121827E-2</v>
      </c>
      <c r="AB308" s="13">
        <v>8.105501130369254E-2</v>
      </c>
      <c r="AC308" s="16">
        <v>9052.87094940307</v>
      </c>
      <c r="AD308" s="13">
        <v>0.13030645566440593</v>
      </c>
      <c r="BZ308" s="278" t="s">
        <v>204</v>
      </c>
      <c r="CC308">
        <v>0</v>
      </c>
      <c r="CD308">
        <v>0</v>
      </c>
      <c r="CE308">
        <v>0</v>
      </c>
      <c r="CF308">
        <v>0</v>
      </c>
      <c r="CL308" s="11" t="s">
        <v>167</v>
      </c>
      <c r="CM308">
        <v>237</v>
      </c>
      <c r="CN308">
        <v>257</v>
      </c>
      <c r="CO308">
        <v>256</v>
      </c>
      <c r="CP308">
        <v>255</v>
      </c>
      <c r="CQ308">
        <v>250</v>
      </c>
      <c r="CR308">
        <v>270</v>
      </c>
      <c r="CS308">
        <v>269</v>
      </c>
      <c r="CT308">
        <v>275</v>
      </c>
      <c r="CU308">
        <v>265</v>
      </c>
      <c r="CV308">
        <v>293</v>
      </c>
      <c r="CW308">
        <v>279</v>
      </c>
      <c r="CX308">
        <v>278</v>
      </c>
      <c r="CY308">
        <v>262</v>
      </c>
      <c r="CZ308">
        <v>253</v>
      </c>
      <c r="DA308">
        <v>242</v>
      </c>
      <c r="DB308">
        <v>244</v>
      </c>
      <c r="DC308">
        <v>253</v>
      </c>
      <c r="DD308">
        <v>245</v>
      </c>
      <c r="DE308">
        <v>265</v>
      </c>
      <c r="DF308">
        <v>272</v>
      </c>
      <c r="DG308">
        <v>275</v>
      </c>
      <c r="DH308">
        <v>269</v>
      </c>
      <c r="DI308">
        <v>275</v>
      </c>
      <c r="DJ308">
        <v>271</v>
      </c>
      <c r="DK308">
        <v>263</v>
      </c>
      <c r="DL308">
        <v>251</v>
      </c>
      <c r="DM308">
        <v>246</v>
      </c>
      <c r="DN308">
        <v>247</v>
      </c>
      <c r="DO308">
        <v>261</v>
      </c>
      <c r="DP308">
        <v>265</v>
      </c>
      <c r="DQ308">
        <v>262</v>
      </c>
      <c r="DR308">
        <v>263</v>
      </c>
      <c r="DS308">
        <v>254</v>
      </c>
      <c r="DT308">
        <v>248</v>
      </c>
      <c r="DU308">
        <v>251</v>
      </c>
      <c r="DV308">
        <v>244</v>
      </c>
      <c r="DW308">
        <v>247</v>
      </c>
      <c r="DX308">
        <v>239</v>
      </c>
      <c r="DY308">
        <v>251</v>
      </c>
      <c r="DZ308">
        <v>243</v>
      </c>
      <c r="EA308">
        <v>252</v>
      </c>
      <c r="EB308">
        <v>243</v>
      </c>
      <c r="EC308">
        <v>246</v>
      </c>
      <c r="ED308">
        <v>239</v>
      </c>
      <c r="EE308">
        <v>251</v>
      </c>
      <c r="EF308">
        <v>244</v>
      </c>
      <c r="EG308">
        <v>240</v>
      </c>
      <c r="EH308">
        <v>241</v>
      </c>
      <c r="EI308">
        <v>237</v>
      </c>
      <c r="EJ308">
        <v>226</v>
      </c>
      <c r="EK308">
        <v>222</v>
      </c>
      <c r="EL308">
        <v>226</v>
      </c>
      <c r="EM308">
        <v>0</v>
      </c>
      <c r="EN308">
        <v>0</v>
      </c>
      <c r="EO308">
        <v>0</v>
      </c>
      <c r="EP308">
        <v>293</v>
      </c>
      <c r="JO308"/>
      <c r="JP308"/>
      <c r="JS308"/>
      <c r="JT308"/>
      <c r="JV308"/>
      <c r="JZ308"/>
      <c r="KA308"/>
      <c r="KN308" s="26" t="s">
        <v>204</v>
      </c>
      <c r="MI308">
        <v>0</v>
      </c>
      <c r="MJ308">
        <v>0</v>
      </c>
      <c r="MK308">
        <v>0</v>
      </c>
      <c r="ML308">
        <v>0</v>
      </c>
    </row>
    <row r="309" spans="1:350">
      <c r="B309" s="27">
        <f t="shared" si="97"/>
        <v>5.9767958528758332E-2</v>
      </c>
      <c r="C309" s="27">
        <f t="shared" si="98"/>
        <v>0.15736855097506788</v>
      </c>
      <c r="D309" s="1">
        <f t="shared" si="99"/>
        <v>115909.09090909091</v>
      </c>
      <c r="E309" s="278">
        <v>82026</v>
      </c>
      <c r="F309" s="16">
        <v>898</v>
      </c>
      <c r="G309">
        <v>11</v>
      </c>
      <c r="H309" s="16">
        <v>8102000</v>
      </c>
      <c r="I309" s="16">
        <v>2106520</v>
      </c>
      <c r="J309" s="16">
        <v>1140000</v>
      </c>
      <c r="K309" s="16">
        <v>0</v>
      </c>
      <c r="L309" s="123">
        <v>0</v>
      </c>
      <c r="M309" s="16">
        <v>3246520</v>
      </c>
      <c r="N309" s="16">
        <v>484240</v>
      </c>
      <c r="O309" s="16">
        <v>1275000</v>
      </c>
      <c r="P309" s="16">
        <v>0</v>
      </c>
      <c r="Q309" s="16">
        <v>0</v>
      </c>
      <c r="R309" s="16">
        <v>0</v>
      </c>
      <c r="S309">
        <v>0</v>
      </c>
      <c r="T309" s="12">
        <v>1759240</v>
      </c>
      <c r="U309" s="313">
        <v>1400000</v>
      </c>
      <c r="V309" s="16">
        <v>0</v>
      </c>
      <c r="W309" s="123">
        <v>0</v>
      </c>
      <c r="X309" s="123">
        <v>0</v>
      </c>
      <c r="Y309" s="12">
        <v>1400000</v>
      </c>
      <c r="Z309" s="12">
        <v>87280</v>
      </c>
      <c r="AA309" s="13">
        <v>2.6884171358870421E-2</v>
      </c>
      <c r="AB309" s="13">
        <v>5.9767958528758332E-2</v>
      </c>
      <c r="AC309" s="16">
        <v>9022.2717149220498</v>
      </c>
      <c r="AD309" s="13">
        <v>0.15736855097506788</v>
      </c>
      <c r="BZ309" s="26" t="s">
        <v>176</v>
      </c>
      <c r="CA309">
        <v>10</v>
      </c>
      <c r="CB309">
        <v>9</v>
      </c>
      <c r="CC309">
        <v>0</v>
      </c>
      <c r="CD309">
        <v>0</v>
      </c>
      <c r="CE309">
        <v>0</v>
      </c>
      <c r="CF309">
        <v>19</v>
      </c>
      <c r="JO309"/>
      <c r="JP309"/>
      <c r="JS309"/>
      <c r="JT309"/>
      <c r="JV309"/>
      <c r="JZ309"/>
      <c r="KA309"/>
      <c r="KN309" s="278" t="s">
        <v>21</v>
      </c>
      <c r="MI309">
        <v>0</v>
      </c>
      <c r="MJ309">
        <v>0</v>
      </c>
      <c r="MK309">
        <v>0</v>
      </c>
      <c r="ML309">
        <v>0</v>
      </c>
    </row>
    <row r="310" spans="1:350">
      <c r="B310" s="27">
        <f t="shared" si="97"/>
        <v>6.3328925619834706E-2</v>
      </c>
      <c r="C310" s="27">
        <f t="shared" si="98"/>
        <v>0.19008264462809918</v>
      </c>
      <c r="D310" s="1">
        <f t="shared" si="99"/>
        <v>143750</v>
      </c>
      <c r="E310" s="278">
        <v>92026</v>
      </c>
      <c r="F310" s="16">
        <v>664</v>
      </c>
      <c r="G310">
        <v>8</v>
      </c>
      <c r="H310" s="16">
        <v>6050000</v>
      </c>
      <c r="I310" s="16">
        <v>1573000</v>
      </c>
      <c r="J310" s="16">
        <v>1095000</v>
      </c>
      <c r="K310" s="16">
        <v>0</v>
      </c>
      <c r="L310" s="123">
        <v>0</v>
      </c>
      <c r="M310" s="16">
        <v>2668000</v>
      </c>
      <c r="N310" s="16">
        <v>383140</v>
      </c>
      <c r="O310" s="16">
        <v>1150000</v>
      </c>
      <c r="P310" s="16">
        <v>0</v>
      </c>
      <c r="Q310" s="16">
        <v>0</v>
      </c>
      <c r="R310" s="16">
        <v>0</v>
      </c>
      <c r="S310">
        <v>0</v>
      </c>
      <c r="T310" s="12">
        <v>1533140</v>
      </c>
      <c r="U310" s="313">
        <v>1400000</v>
      </c>
      <c r="V310" s="16">
        <v>0</v>
      </c>
      <c r="W310" s="123">
        <v>0</v>
      </c>
      <c r="X310" s="123">
        <v>0</v>
      </c>
      <c r="Y310" s="12">
        <v>1400000</v>
      </c>
      <c r="Z310" s="12">
        <v>-265140</v>
      </c>
      <c r="AA310" s="13">
        <v>-9.9377811094452775E-2</v>
      </c>
      <c r="AB310" s="13">
        <v>6.3328925619834706E-2</v>
      </c>
      <c r="AC310" s="16">
        <v>9111.4457831325308</v>
      </c>
      <c r="AD310" s="13">
        <v>0.19008264462809918</v>
      </c>
      <c r="BZ310" s="278" t="s">
        <v>34</v>
      </c>
      <c r="CC310">
        <v>0</v>
      </c>
      <c r="CD310">
        <v>0</v>
      </c>
      <c r="CE310">
        <v>0</v>
      </c>
      <c r="CF310">
        <v>0</v>
      </c>
      <c r="JO310"/>
      <c r="JP310"/>
      <c r="JS310"/>
      <c r="JT310"/>
      <c r="JV310"/>
      <c r="JZ310"/>
      <c r="KA310"/>
      <c r="KN310" s="278" t="s">
        <v>158</v>
      </c>
      <c r="MI310">
        <v>0</v>
      </c>
      <c r="MJ310">
        <v>0</v>
      </c>
      <c r="MK310">
        <v>0</v>
      </c>
      <c r="ML310">
        <v>0</v>
      </c>
    </row>
    <row r="311" spans="1:350">
      <c r="B311" s="27">
        <f t="shared" si="97"/>
        <v>8.0824191279887478E-2</v>
      </c>
      <c r="C311" s="27">
        <f t="shared" si="98"/>
        <v>0.16174402250351619</v>
      </c>
      <c r="D311" s="1">
        <f t="shared" si="99"/>
        <v>164285.71428571429</v>
      </c>
      <c r="E311" s="278">
        <v>102026</v>
      </c>
      <c r="F311" s="16">
        <v>775</v>
      </c>
      <c r="G311">
        <v>7</v>
      </c>
      <c r="H311" s="16">
        <v>7110000</v>
      </c>
      <c r="I311" s="16">
        <v>1848600</v>
      </c>
      <c r="J311" s="16">
        <v>1150000</v>
      </c>
      <c r="K311" s="16">
        <v>0</v>
      </c>
      <c r="L311" s="123">
        <v>0</v>
      </c>
      <c r="M311" s="16">
        <v>2998600</v>
      </c>
      <c r="N311" s="16">
        <v>574660</v>
      </c>
      <c r="O311" s="16">
        <v>1150000</v>
      </c>
      <c r="P311" s="16">
        <v>0</v>
      </c>
      <c r="Q311" s="16">
        <v>0</v>
      </c>
      <c r="R311" s="16">
        <v>0</v>
      </c>
      <c r="S311">
        <v>0</v>
      </c>
      <c r="T311" s="12">
        <v>1724660</v>
      </c>
      <c r="U311" s="313">
        <v>1365000</v>
      </c>
      <c r="V311" s="16">
        <v>0</v>
      </c>
      <c r="W311" s="123">
        <v>0</v>
      </c>
      <c r="X311" s="123">
        <v>0</v>
      </c>
      <c r="Y311" s="12">
        <v>1365000</v>
      </c>
      <c r="Z311" s="12">
        <v>-91060</v>
      </c>
      <c r="AA311" s="13">
        <v>-3.0367504835589941E-2</v>
      </c>
      <c r="AB311" s="13">
        <v>8.0824191279887478E-2</v>
      </c>
      <c r="AC311" s="16">
        <v>9174.1935483870966</v>
      </c>
      <c r="AD311" s="13">
        <v>0.16174402250351619</v>
      </c>
      <c r="BZ311" s="278" t="s">
        <v>170</v>
      </c>
      <c r="CC311">
        <v>0</v>
      </c>
      <c r="CD311">
        <v>0</v>
      </c>
      <c r="CE311">
        <v>0</v>
      </c>
      <c r="CF311">
        <v>0</v>
      </c>
      <c r="JO311"/>
      <c r="JP311"/>
      <c r="JS311"/>
      <c r="JT311"/>
      <c r="JV311"/>
      <c r="JZ311"/>
      <c r="KA311"/>
      <c r="KN311" s="278" t="s">
        <v>159</v>
      </c>
      <c r="MI311">
        <v>0</v>
      </c>
      <c r="MJ311">
        <v>0</v>
      </c>
      <c r="MK311">
        <v>0</v>
      </c>
      <c r="ML311">
        <v>0</v>
      </c>
    </row>
    <row r="312" spans="1:350">
      <c r="A312" t="s">
        <v>281</v>
      </c>
      <c r="B312" s="27">
        <f t="shared" si="97"/>
        <v>6.2611336032388665E-2</v>
      </c>
      <c r="C312" s="27">
        <f t="shared" si="98"/>
        <v>0.1707995951417004</v>
      </c>
      <c r="D312" s="1">
        <f t="shared" si="99"/>
        <v>112500</v>
      </c>
      <c r="E312" s="278">
        <v>112026</v>
      </c>
      <c r="F312" s="16">
        <v>434</v>
      </c>
      <c r="G312">
        <v>6</v>
      </c>
      <c r="H312" s="16">
        <v>3952000</v>
      </c>
      <c r="I312" s="16">
        <v>1027520</v>
      </c>
      <c r="J312" s="16">
        <v>850000</v>
      </c>
      <c r="K312" s="16">
        <v>0</v>
      </c>
      <c r="L312" s="123">
        <v>0</v>
      </c>
      <c r="M312" s="16">
        <v>1877520</v>
      </c>
      <c r="N312" s="16">
        <v>247440</v>
      </c>
      <c r="O312" s="16">
        <v>675000</v>
      </c>
      <c r="P312" s="16">
        <v>0</v>
      </c>
      <c r="Q312" s="16">
        <v>0</v>
      </c>
      <c r="R312" s="16">
        <v>0</v>
      </c>
      <c r="S312">
        <v>0</v>
      </c>
      <c r="T312" s="12">
        <v>922440</v>
      </c>
      <c r="U312" s="313">
        <v>910000</v>
      </c>
      <c r="V312" s="16">
        <v>0</v>
      </c>
      <c r="W312" s="123">
        <v>0</v>
      </c>
      <c r="X312" s="123">
        <v>0</v>
      </c>
      <c r="Y312" s="12">
        <v>910000</v>
      </c>
      <c r="Z312" s="12">
        <v>45080</v>
      </c>
      <c r="AA312" s="13">
        <v>2.4010396693510589E-2</v>
      </c>
      <c r="AB312" s="13">
        <v>6.2611336032388665E-2</v>
      </c>
      <c r="AC312" s="16">
        <v>9105.9907834101377</v>
      </c>
      <c r="AD312" s="13">
        <v>0.1707995951417004</v>
      </c>
      <c r="BZ312" s="278" t="s">
        <v>27</v>
      </c>
      <c r="CC312">
        <v>0</v>
      </c>
      <c r="CD312">
        <v>0</v>
      </c>
      <c r="CE312">
        <v>0</v>
      </c>
      <c r="CF312">
        <v>0</v>
      </c>
      <c r="JO312"/>
      <c r="JP312"/>
      <c r="JS312"/>
      <c r="JT312"/>
      <c r="JV312"/>
      <c r="JZ312"/>
      <c r="KA312"/>
      <c r="KN312" s="278" t="s">
        <v>160</v>
      </c>
      <c r="MI312">
        <v>0</v>
      </c>
      <c r="MJ312">
        <v>0</v>
      </c>
      <c r="MK312">
        <v>0</v>
      </c>
      <c r="ML312">
        <v>0</v>
      </c>
    </row>
    <row r="313" spans="1:350">
      <c r="B313" s="27">
        <f t="shared" si="97"/>
        <v>7.9814724524622141E-2</v>
      </c>
      <c r="C313" s="27">
        <f t="shared" si="98"/>
        <v>0.14627011214041929</v>
      </c>
      <c r="D313" s="1">
        <f t="shared" si="99"/>
        <v>120000</v>
      </c>
      <c r="E313" s="278">
        <v>122026</v>
      </c>
      <c r="F313" s="16">
        <v>454</v>
      </c>
      <c r="G313">
        <v>5</v>
      </c>
      <c r="H313" s="16">
        <v>4102000</v>
      </c>
      <c r="I313" s="16">
        <v>1066520</v>
      </c>
      <c r="J313" s="16">
        <v>575000</v>
      </c>
      <c r="K313" s="16">
        <v>0</v>
      </c>
      <c r="L313" s="123">
        <v>0</v>
      </c>
      <c r="M313" s="16">
        <v>1641520</v>
      </c>
      <c r="N313" s="16">
        <v>327400</v>
      </c>
      <c r="O313" s="16">
        <v>600000</v>
      </c>
      <c r="P313" s="16">
        <v>0</v>
      </c>
      <c r="Q313" s="16">
        <v>0</v>
      </c>
      <c r="R313" s="16">
        <v>0</v>
      </c>
      <c r="S313">
        <v>0</v>
      </c>
      <c r="T313" s="12">
        <v>927400</v>
      </c>
      <c r="U313" s="313">
        <v>665000</v>
      </c>
      <c r="V313" s="16">
        <v>0</v>
      </c>
      <c r="W313" s="123">
        <v>0</v>
      </c>
      <c r="X313" s="123">
        <v>0</v>
      </c>
      <c r="Y313" s="12">
        <v>665000</v>
      </c>
      <c r="Z313" s="12">
        <v>49120</v>
      </c>
      <c r="AA313" s="13">
        <v>2.992348554997807E-2</v>
      </c>
      <c r="AB313" s="13">
        <v>7.9814724524622141E-2</v>
      </c>
      <c r="AC313" s="16">
        <v>9035.2422907488981</v>
      </c>
      <c r="AD313" s="13">
        <v>0.14627011214041929</v>
      </c>
      <c r="BZ313" s="278" t="s">
        <v>33</v>
      </c>
      <c r="CC313">
        <v>0</v>
      </c>
      <c r="CD313">
        <v>0</v>
      </c>
      <c r="CE313">
        <v>0</v>
      </c>
      <c r="CF313">
        <v>0</v>
      </c>
      <c r="JO313"/>
      <c r="JP313"/>
      <c r="JS313"/>
      <c r="JT313"/>
      <c r="JV313"/>
      <c r="JZ313"/>
      <c r="KA313"/>
      <c r="KN313" s="278" t="s">
        <v>161</v>
      </c>
      <c r="MI313">
        <v>0</v>
      </c>
      <c r="MJ313">
        <v>0</v>
      </c>
      <c r="MK313">
        <v>0</v>
      </c>
      <c r="ML313">
        <v>0</v>
      </c>
    </row>
    <row r="314" spans="1:350">
      <c r="B314" s="27">
        <f t="shared" si="97"/>
        <v>0.10480442406258431</v>
      </c>
      <c r="C314" s="27">
        <f t="shared" si="98"/>
        <v>0.10453196654977071</v>
      </c>
      <c r="D314" s="1">
        <f t="shared" si="99"/>
        <v>193750</v>
      </c>
      <c r="E314" s="278">
        <v>132026</v>
      </c>
      <c r="F314" s="16">
        <v>812</v>
      </c>
      <c r="G314">
        <v>4</v>
      </c>
      <c r="H314" s="16">
        <v>7414000</v>
      </c>
      <c r="I314" s="16">
        <v>1927640</v>
      </c>
      <c r="J314" s="16">
        <v>525000</v>
      </c>
      <c r="K314" s="16">
        <v>0</v>
      </c>
      <c r="L314" s="123">
        <v>0</v>
      </c>
      <c r="M314" s="16">
        <v>2452640</v>
      </c>
      <c r="N314" s="16">
        <v>777020</v>
      </c>
      <c r="O314" s="16">
        <v>775000</v>
      </c>
      <c r="P314" s="16">
        <v>0</v>
      </c>
      <c r="Q314" s="16">
        <v>0</v>
      </c>
      <c r="R314" s="16">
        <v>0</v>
      </c>
      <c r="S314">
        <v>0</v>
      </c>
      <c r="T314" s="12">
        <v>1552020</v>
      </c>
      <c r="U314" s="313">
        <v>700000</v>
      </c>
      <c r="V314" s="16">
        <v>0</v>
      </c>
      <c r="W314" s="123">
        <v>0</v>
      </c>
      <c r="X314" s="123">
        <v>0</v>
      </c>
      <c r="Y314" s="12">
        <v>700000</v>
      </c>
      <c r="Z314" s="12">
        <v>200620</v>
      </c>
      <c r="AA314" s="13">
        <v>8.1797573227216383E-2</v>
      </c>
      <c r="AB314" s="13">
        <v>0.10480442406258431</v>
      </c>
      <c r="AC314" s="16">
        <v>9130.541871921183</v>
      </c>
      <c r="AD314" s="13">
        <v>0.10453196654977071</v>
      </c>
      <c r="BZ314" s="278" t="s">
        <v>171</v>
      </c>
      <c r="CC314">
        <v>0</v>
      </c>
      <c r="CD314">
        <v>0</v>
      </c>
      <c r="CE314">
        <v>0</v>
      </c>
      <c r="CF314">
        <v>0</v>
      </c>
      <c r="JO314"/>
      <c r="JP314"/>
      <c r="JS314"/>
      <c r="JT314"/>
      <c r="JV314"/>
      <c r="JZ314"/>
      <c r="KA314"/>
      <c r="KN314" s="278" t="s">
        <v>156</v>
      </c>
      <c r="MI314">
        <v>0</v>
      </c>
      <c r="MJ314">
        <v>0</v>
      </c>
      <c r="MK314">
        <v>0</v>
      </c>
      <c r="ML314">
        <v>0</v>
      </c>
    </row>
    <row r="315" spans="1:350">
      <c r="E315" s="341">
        <v>142026</v>
      </c>
      <c r="F315" s="81">
        <v>1060</v>
      </c>
      <c r="G315" s="91">
        <v>5</v>
      </c>
      <c r="H315" s="81">
        <v>9430000</v>
      </c>
      <c r="I315" s="81">
        <v>2451800</v>
      </c>
      <c r="J315" s="81">
        <v>630000</v>
      </c>
      <c r="K315" s="81">
        <v>0</v>
      </c>
      <c r="L315" s="310">
        <v>0</v>
      </c>
      <c r="M315" s="81">
        <v>3081800</v>
      </c>
      <c r="N315" s="81">
        <v>1016140</v>
      </c>
      <c r="O315" s="81">
        <v>1125000</v>
      </c>
      <c r="P315" s="81">
        <v>0</v>
      </c>
      <c r="Q315" s="81">
        <v>0</v>
      </c>
      <c r="R315" s="81">
        <v>0</v>
      </c>
      <c r="S315" s="91">
        <v>0</v>
      </c>
      <c r="T315" s="246">
        <v>2141140</v>
      </c>
      <c r="U315" s="322">
        <v>910000</v>
      </c>
      <c r="V315" s="81">
        <v>0</v>
      </c>
      <c r="W315" s="310">
        <v>0</v>
      </c>
      <c r="X315" s="310">
        <v>0</v>
      </c>
      <c r="Y315" s="246">
        <v>910000</v>
      </c>
      <c r="Z315" s="246">
        <v>30660</v>
      </c>
      <c r="AA315" s="244">
        <v>9.9487312609513913E-3</v>
      </c>
      <c r="AB315" s="244">
        <v>0.10775609756097561</v>
      </c>
      <c r="AC315" s="81">
        <v>8896.2264150943392</v>
      </c>
      <c r="AD315" s="244">
        <v>0.11930010604453871</v>
      </c>
      <c r="BZ315" s="278" t="s">
        <v>276</v>
      </c>
      <c r="CC315">
        <v>0</v>
      </c>
      <c r="CD315">
        <v>0</v>
      </c>
      <c r="CE315">
        <v>0</v>
      </c>
      <c r="CF315">
        <v>0</v>
      </c>
      <c r="JO315"/>
      <c r="JP315"/>
      <c r="JS315"/>
      <c r="JT315"/>
      <c r="JV315"/>
      <c r="JZ315"/>
      <c r="KA315"/>
      <c r="KN315" s="278" t="s">
        <v>162</v>
      </c>
      <c r="MI315">
        <v>0</v>
      </c>
      <c r="MJ315">
        <v>0</v>
      </c>
      <c r="MK315">
        <v>0</v>
      </c>
      <c r="ML315">
        <v>0</v>
      </c>
    </row>
    <row r="316" spans="1:350">
      <c r="E316" s="371" t="s">
        <v>181</v>
      </c>
      <c r="F316" s="85">
        <v>0.30541871921182268</v>
      </c>
      <c r="G316" s="85">
        <v>0.25</v>
      </c>
      <c r="H316" s="85">
        <v>0.27191799298624225</v>
      </c>
      <c r="I316" s="85">
        <v>0.27191799298624225</v>
      </c>
      <c r="J316" s="85">
        <v>0.2</v>
      </c>
      <c r="K316" s="85">
        <v>0</v>
      </c>
      <c r="L316" s="85">
        <v>0</v>
      </c>
      <c r="M316" s="85">
        <v>0.25652358275164722</v>
      </c>
      <c r="N316" s="85">
        <v>0.30773982651669196</v>
      </c>
      <c r="O316" s="85">
        <v>0.45161290322580644</v>
      </c>
      <c r="P316" s="85">
        <v>0</v>
      </c>
      <c r="Q316" s="85">
        <v>0</v>
      </c>
      <c r="R316" s="85">
        <v>0</v>
      </c>
      <c r="S316" s="85">
        <v>0</v>
      </c>
      <c r="T316" s="85">
        <v>0.37958273733585907</v>
      </c>
      <c r="U316" s="372">
        <v>0.3</v>
      </c>
      <c r="V316" s="85">
        <v>0</v>
      </c>
      <c r="W316" s="85">
        <v>0</v>
      </c>
      <c r="X316" s="85">
        <v>0</v>
      </c>
      <c r="Y316" s="85">
        <v>0.3</v>
      </c>
      <c r="Z316" s="85">
        <v>-0.84717376133984645</v>
      </c>
      <c r="AA316" s="85">
        <v>-3.3025180463038986</v>
      </c>
      <c r="AB316" s="85">
        <v>1.1317376358108899</v>
      </c>
      <c r="AC316" s="85">
        <v>0.89031213832592215</v>
      </c>
      <c r="AD316" s="85">
        <v>1.6608422939068099</v>
      </c>
      <c r="BZ316" s="278" t="s">
        <v>277</v>
      </c>
      <c r="CC316">
        <v>0</v>
      </c>
      <c r="CD316">
        <v>0</v>
      </c>
      <c r="CE316">
        <v>0</v>
      </c>
      <c r="CF316">
        <v>0</v>
      </c>
      <c r="JO316"/>
      <c r="JP316"/>
      <c r="JS316"/>
      <c r="JT316"/>
      <c r="JV316"/>
      <c r="JZ316"/>
      <c r="KA316"/>
      <c r="KN316" s="278" t="s">
        <v>163</v>
      </c>
      <c r="LV316" s="379"/>
      <c r="MI316">
        <v>0</v>
      </c>
      <c r="MJ316">
        <v>0</v>
      </c>
      <c r="MK316">
        <v>0</v>
      </c>
      <c r="ML316">
        <v>0</v>
      </c>
    </row>
    <row r="317" spans="1:350">
      <c r="E317" s="341">
        <v>152026</v>
      </c>
      <c r="F317" s="81">
        <v>1131</v>
      </c>
      <c r="G317" s="91">
        <v>6</v>
      </c>
      <c r="H317" s="81">
        <v>10148000</v>
      </c>
      <c r="I317" s="81">
        <v>2638480</v>
      </c>
      <c r="J317" s="81">
        <v>820000</v>
      </c>
      <c r="K317" s="81">
        <v>0</v>
      </c>
      <c r="L317" s="310">
        <v>0</v>
      </c>
      <c r="M317" s="81">
        <v>3458480</v>
      </c>
      <c r="N317" s="81">
        <v>933260</v>
      </c>
      <c r="O317" s="81">
        <v>1400000</v>
      </c>
      <c r="P317" s="81">
        <v>0</v>
      </c>
      <c r="Q317" s="81">
        <v>0</v>
      </c>
      <c r="R317" s="81">
        <v>0</v>
      </c>
      <c r="S317" s="91">
        <v>0</v>
      </c>
      <c r="T317" s="246">
        <v>2333260</v>
      </c>
      <c r="U317" s="322">
        <v>1190000</v>
      </c>
      <c r="V317" s="81">
        <v>0</v>
      </c>
      <c r="W317" s="310">
        <v>0</v>
      </c>
      <c r="X317" s="310">
        <v>0</v>
      </c>
      <c r="Y317" s="246">
        <v>1190000</v>
      </c>
      <c r="Z317" s="246">
        <v>-64780</v>
      </c>
      <c r="AA317" s="244">
        <v>-1.8730771899794128E-2</v>
      </c>
      <c r="AB317" s="244">
        <v>9.1964919195900677E-2</v>
      </c>
      <c r="AC317" s="81">
        <v>8972.590627763042</v>
      </c>
      <c r="AD317" s="244">
        <v>0.13795821836815136</v>
      </c>
      <c r="BZ317" s="278" t="s">
        <v>199</v>
      </c>
      <c r="CC317">
        <v>0</v>
      </c>
      <c r="CD317">
        <v>0</v>
      </c>
      <c r="CE317">
        <v>0</v>
      </c>
      <c r="CF317">
        <v>0</v>
      </c>
      <c r="JO317"/>
      <c r="JP317"/>
      <c r="JS317"/>
      <c r="JT317"/>
      <c r="JV317"/>
      <c r="JZ317"/>
      <c r="KA317"/>
      <c r="KN317" s="278" t="s">
        <v>164</v>
      </c>
      <c r="MI317">
        <v>0</v>
      </c>
      <c r="MJ317">
        <v>0</v>
      </c>
      <c r="MK317">
        <v>0</v>
      </c>
      <c r="ML317">
        <v>0</v>
      </c>
    </row>
    <row r="318" spans="1:350">
      <c r="E318" s="390" t="s">
        <v>182</v>
      </c>
      <c r="F318" s="349">
        <v>6.6981132075471697E-2</v>
      </c>
      <c r="G318" s="349">
        <v>0.2</v>
      </c>
      <c r="H318" s="349">
        <v>7.6139978791092258E-2</v>
      </c>
      <c r="I318" s="349">
        <v>7.6139978791092258E-2</v>
      </c>
      <c r="J318" s="349">
        <v>0.30158730158730157</v>
      </c>
      <c r="K318" s="349">
        <v>0</v>
      </c>
      <c r="L318" s="349">
        <v>0</v>
      </c>
      <c r="M318" s="349">
        <v>0.12222726977740282</v>
      </c>
      <c r="N318" s="349">
        <v>-8.1563564075816331E-2</v>
      </c>
      <c r="O318" s="349">
        <v>0.24444444444444444</v>
      </c>
      <c r="P318" s="349">
        <v>0</v>
      </c>
      <c r="Q318" s="349">
        <v>0</v>
      </c>
      <c r="R318" s="349">
        <v>0</v>
      </c>
      <c r="S318" s="349">
        <v>0</v>
      </c>
      <c r="T318" s="349">
        <v>8.9727901958769632E-2</v>
      </c>
      <c r="U318" s="391">
        <v>0.30769230769230771</v>
      </c>
      <c r="V318" s="349">
        <v>0</v>
      </c>
      <c r="W318" s="349">
        <v>0</v>
      </c>
      <c r="X318" s="349">
        <v>0</v>
      </c>
      <c r="Y318" s="349">
        <v>0.30769230769230771</v>
      </c>
      <c r="Z318" s="349">
        <v>-3.1128506196999348</v>
      </c>
      <c r="AA318" s="349">
        <v>-25.467726026843099</v>
      </c>
      <c r="AB318" s="349">
        <v>-1.0712317677366965</v>
      </c>
      <c r="AC318" s="349">
        <v>1.136737711528983</v>
      </c>
      <c r="AD318" s="349">
        <v>3.2104611575363662</v>
      </c>
      <c r="BZ318" s="278" t="s">
        <v>196</v>
      </c>
      <c r="CC318">
        <v>0</v>
      </c>
      <c r="CD318">
        <v>0</v>
      </c>
      <c r="CE318">
        <v>0</v>
      </c>
      <c r="CF318">
        <v>0</v>
      </c>
      <c r="JO318"/>
      <c r="JP318"/>
      <c r="JS318"/>
      <c r="JT318"/>
      <c r="JV318"/>
      <c r="JZ318"/>
      <c r="KA318"/>
      <c r="KN318" s="278" t="s">
        <v>165</v>
      </c>
      <c r="MI318">
        <v>0</v>
      </c>
      <c r="MJ318">
        <v>0</v>
      </c>
      <c r="MK318">
        <v>0</v>
      </c>
      <c r="ML318">
        <v>0</v>
      </c>
    </row>
    <row r="319" spans="1:350">
      <c r="E319" s="11" t="s">
        <v>167</v>
      </c>
      <c r="F319" s="16">
        <v>5602477.8785727108</v>
      </c>
      <c r="G319">
        <v>293</v>
      </c>
      <c r="H319" s="16">
        <v>49240961959.651878</v>
      </c>
      <c r="I319" s="16">
        <v>12161978084.351864</v>
      </c>
      <c r="J319" s="16">
        <v>2958822540.7870474</v>
      </c>
      <c r="K319" s="16">
        <v>931152463.99999917</v>
      </c>
      <c r="L319" s="123">
        <v>55059999.674077287</v>
      </c>
      <c r="M319" s="16">
        <v>16126817288.285175</v>
      </c>
      <c r="N319" s="16">
        <v>5375286316.461937</v>
      </c>
      <c r="O319" s="16">
        <v>4929908975.1964836</v>
      </c>
      <c r="P319" s="16">
        <v>313759569</v>
      </c>
      <c r="Q319" s="16">
        <v>14699999</v>
      </c>
      <c r="R319" s="16">
        <v>59199998</v>
      </c>
      <c r="S319">
        <v>864210</v>
      </c>
      <c r="T319" s="12">
        <v>10692854860.08671</v>
      </c>
      <c r="U319" s="313">
        <v>4888583172.1469107</v>
      </c>
      <c r="V319" s="16">
        <v>3345159.1770043853</v>
      </c>
      <c r="W319" s="123">
        <v>264088333.56190461</v>
      </c>
      <c r="X319" s="123">
        <v>49203853.940537751</v>
      </c>
      <c r="Y319" s="12">
        <v>5205095518.3757019</v>
      </c>
      <c r="Z319" s="12">
        <v>228866985.44571128</v>
      </c>
      <c r="AA319" s="13">
        <v>1.419170201748144E-2</v>
      </c>
      <c r="AB319" s="13">
        <v>0.10916290223709389</v>
      </c>
      <c r="AC319" s="16">
        <v>8789.1399175317274</v>
      </c>
      <c r="AD319" s="13">
        <v>0.10011804763757579</v>
      </c>
      <c r="BZ319" s="278" t="s">
        <v>29</v>
      </c>
      <c r="CC319">
        <v>0</v>
      </c>
      <c r="CD319">
        <v>0</v>
      </c>
      <c r="CE319">
        <v>0</v>
      </c>
      <c r="CF319">
        <v>0</v>
      </c>
      <c r="JO319"/>
      <c r="JP319"/>
      <c r="JS319"/>
      <c r="JT319"/>
      <c r="JV319"/>
      <c r="JZ319"/>
      <c r="KA319"/>
      <c r="KN319" s="278" t="s">
        <v>36</v>
      </c>
      <c r="MI319">
        <v>0</v>
      </c>
      <c r="MJ319">
        <v>0</v>
      </c>
      <c r="MK319">
        <v>0</v>
      </c>
      <c r="ML319">
        <v>0</v>
      </c>
    </row>
    <row r="320" spans="1:350">
      <c r="H320"/>
      <c r="I320"/>
      <c r="L320"/>
      <c r="M320"/>
      <c r="O320"/>
      <c r="S320"/>
      <c r="T320"/>
      <c r="BZ320" s="278" t="s">
        <v>23</v>
      </c>
      <c r="CC320">
        <v>0</v>
      </c>
      <c r="CD320">
        <v>0</v>
      </c>
      <c r="CE320">
        <v>0</v>
      </c>
      <c r="CF320">
        <v>0</v>
      </c>
      <c r="JO320"/>
      <c r="JP320"/>
      <c r="JS320"/>
      <c r="JT320"/>
      <c r="JV320"/>
      <c r="JZ320"/>
      <c r="KA320"/>
      <c r="KN320" s="278" t="s">
        <v>166</v>
      </c>
      <c r="MI320">
        <v>0</v>
      </c>
      <c r="MJ320">
        <v>0</v>
      </c>
      <c r="MK320">
        <v>0</v>
      </c>
      <c r="ML320">
        <v>0</v>
      </c>
    </row>
    <row r="321" spans="78:350" customFormat="1">
      <c r="BZ321" s="278" t="s">
        <v>172</v>
      </c>
      <c r="CC321">
        <v>0</v>
      </c>
      <c r="CD321">
        <v>0</v>
      </c>
      <c r="CE321">
        <v>0</v>
      </c>
      <c r="CF321">
        <v>0</v>
      </c>
      <c r="HH321" s="1"/>
      <c r="HJ321" s="1"/>
      <c r="KN321" s="11" t="s">
        <v>167</v>
      </c>
      <c r="KO321">
        <v>308</v>
      </c>
      <c r="KP321">
        <v>335</v>
      </c>
      <c r="KQ321">
        <v>337</v>
      </c>
      <c r="KR321">
        <v>351</v>
      </c>
      <c r="KS321">
        <v>625</v>
      </c>
      <c r="KT321">
        <v>376</v>
      </c>
      <c r="KU321">
        <v>378</v>
      </c>
      <c r="KV321">
        <v>385</v>
      </c>
      <c r="KW321">
        <v>696</v>
      </c>
      <c r="KX321">
        <v>397</v>
      </c>
      <c r="KY321">
        <v>376</v>
      </c>
      <c r="KZ321">
        <v>379</v>
      </c>
      <c r="LA321">
        <v>359</v>
      </c>
      <c r="LB321">
        <v>617</v>
      </c>
      <c r="LC321">
        <v>336</v>
      </c>
      <c r="LD321">
        <v>335</v>
      </c>
      <c r="LE321">
        <v>345</v>
      </c>
      <c r="LF321">
        <v>642</v>
      </c>
      <c r="LG321">
        <v>340</v>
      </c>
      <c r="LH321">
        <v>336</v>
      </c>
      <c r="LI321">
        <v>336</v>
      </c>
      <c r="LJ321">
        <v>591</v>
      </c>
      <c r="LK321">
        <v>333</v>
      </c>
      <c r="LL321">
        <v>328</v>
      </c>
      <c r="LM321">
        <v>325</v>
      </c>
      <c r="LN321">
        <v>315</v>
      </c>
      <c r="LO321">
        <v>537</v>
      </c>
      <c r="LP321">
        <v>312</v>
      </c>
      <c r="LQ321">
        <v>330</v>
      </c>
      <c r="LR321">
        <v>342</v>
      </c>
      <c r="LS321">
        <v>660</v>
      </c>
      <c r="LT321">
        <v>339</v>
      </c>
      <c r="LU321">
        <v>324</v>
      </c>
      <c r="LV321">
        <v>331</v>
      </c>
      <c r="LW321">
        <v>344</v>
      </c>
      <c r="LX321">
        <v>339</v>
      </c>
      <c r="LY321">
        <v>339</v>
      </c>
      <c r="LZ321">
        <v>334</v>
      </c>
      <c r="MA321">
        <v>348</v>
      </c>
      <c r="MB321">
        <v>641</v>
      </c>
      <c r="MC321">
        <v>330</v>
      </c>
      <c r="MD321">
        <v>313</v>
      </c>
      <c r="ME321">
        <v>317</v>
      </c>
      <c r="MF321">
        <v>589</v>
      </c>
      <c r="MG321">
        <v>316</v>
      </c>
      <c r="MH321">
        <v>309</v>
      </c>
      <c r="MI321">
        <v>0</v>
      </c>
      <c r="MJ321">
        <v>0</v>
      </c>
      <c r="MK321">
        <v>0</v>
      </c>
      <c r="ML321">
        <v>18175</v>
      </c>
    </row>
    <row r="322" spans="78:350" customFormat="1">
      <c r="BZ322" s="278" t="s">
        <v>205</v>
      </c>
      <c r="CC322">
        <v>0</v>
      </c>
      <c r="CD322">
        <v>0</v>
      </c>
      <c r="CE322">
        <v>0</v>
      </c>
      <c r="CF322">
        <v>0</v>
      </c>
      <c r="HH322" s="1"/>
      <c r="HJ322" s="1"/>
    </row>
    <row r="323" spans="78:350" customFormat="1">
      <c r="BZ323" s="278" t="s">
        <v>173</v>
      </c>
      <c r="CC323">
        <v>0</v>
      </c>
      <c r="CD323">
        <v>0</v>
      </c>
      <c r="CE323">
        <v>0</v>
      </c>
      <c r="CF323">
        <v>0</v>
      </c>
      <c r="HH323" s="1"/>
      <c r="HJ323" s="1"/>
    </row>
    <row r="324" spans="78:350" customFormat="1">
      <c r="BZ324" s="278" t="s">
        <v>174</v>
      </c>
      <c r="CC324">
        <v>0</v>
      </c>
      <c r="CD324">
        <v>0</v>
      </c>
      <c r="CE324">
        <v>0</v>
      </c>
      <c r="CF324">
        <v>0</v>
      </c>
      <c r="HH324" s="1"/>
      <c r="HJ324" s="1"/>
    </row>
    <row r="325" spans="78:350" customFormat="1">
      <c r="BZ325" s="278" t="s">
        <v>203</v>
      </c>
      <c r="CC325">
        <v>0</v>
      </c>
      <c r="CD325">
        <v>0</v>
      </c>
      <c r="CE325">
        <v>0</v>
      </c>
      <c r="CF325">
        <v>0</v>
      </c>
      <c r="HH325" s="1"/>
      <c r="HJ325" s="1"/>
    </row>
    <row r="326" spans="78:350" customFormat="1">
      <c r="BZ326" s="278" t="s">
        <v>175</v>
      </c>
      <c r="CC326">
        <v>0</v>
      </c>
      <c r="CD326">
        <v>0</v>
      </c>
      <c r="CE326">
        <v>0</v>
      </c>
      <c r="CF326">
        <v>0</v>
      </c>
      <c r="HH326" s="1"/>
      <c r="HJ326" s="1"/>
    </row>
    <row r="327" spans="78:350" customFormat="1">
      <c r="BZ327" s="278" t="s">
        <v>200</v>
      </c>
      <c r="CC327">
        <v>0</v>
      </c>
      <c r="CD327">
        <v>0</v>
      </c>
      <c r="CE327">
        <v>0</v>
      </c>
      <c r="CF327">
        <v>0</v>
      </c>
      <c r="HH327" s="1"/>
      <c r="HJ327" s="1"/>
    </row>
    <row r="328" spans="78:350" customFormat="1">
      <c r="BZ328" s="278" t="s">
        <v>176</v>
      </c>
      <c r="CA328">
        <v>10</v>
      </c>
      <c r="CB328">
        <v>9</v>
      </c>
      <c r="CC328">
        <v>0</v>
      </c>
      <c r="CD328">
        <v>0</v>
      </c>
      <c r="CE328">
        <v>0</v>
      </c>
      <c r="CF328">
        <v>19</v>
      </c>
      <c r="HH328" s="1"/>
      <c r="HJ328" s="1"/>
    </row>
    <row r="329" spans="78:350" customFormat="1">
      <c r="BZ329" s="278" t="s">
        <v>201</v>
      </c>
      <c r="CC329">
        <v>0</v>
      </c>
      <c r="CD329">
        <v>0</v>
      </c>
      <c r="CE329">
        <v>0</v>
      </c>
      <c r="CF329">
        <v>0</v>
      </c>
      <c r="HH329" s="1"/>
      <c r="HJ329" s="1"/>
    </row>
    <row r="330" spans="78:350" customFormat="1">
      <c r="BZ330" s="278" t="s">
        <v>178</v>
      </c>
      <c r="CC330">
        <v>0</v>
      </c>
      <c r="CD330">
        <v>0</v>
      </c>
      <c r="CE330">
        <v>0</v>
      </c>
      <c r="CF330">
        <v>0</v>
      </c>
      <c r="HH330" s="1"/>
      <c r="HJ330" s="1"/>
    </row>
    <row r="331" spans="78:350" customFormat="1">
      <c r="BZ331" s="278" t="s">
        <v>177</v>
      </c>
      <c r="CC331">
        <v>0</v>
      </c>
      <c r="CD331">
        <v>0</v>
      </c>
      <c r="CE331">
        <v>0</v>
      </c>
      <c r="CF331">
        <v>0</v>
      </c>
      <c r="HH331" s="1"/>
      <c r="HJ331" s="1"/>
    </row>
    <row r="332" spans="78:350" customFormat="1">
      <c r="BZ332" s="278" t="s">
        <v>202</v>
      </c>
      <c r="CC332">
        <v>0</v>
      </c>
      <c r="CD332">
        <v>0</v>
      </c>
      <c r="CE332">
        <v>0</v>
      </c>
      <c r="CF332">
        <v>0</v>
      </c>
      <c r="HH332" s="1"/>
      <c r="HJ332" s="1"/>
    </row>
    <row r="333" spans="78:350" customFormat="1">
      <c r="BZ333" s="278" t="s">
        <v>204</v>
      </c>
      <c r="CC333">
        <v>0</v>
      </c>
      <c r="CD333">
        <v>0</v>
      </c>
      <c r="CE333">
        <v>0</v>
      </c>
      <c r="CF333">
        <v>0</v>
      </c>
      <c r="HH333" s="1"/>
      <c r="HJ333" s="1"/>
    </row>
    <row r="334" spans="78:350" customFormat="1">
      <c r="BZ334" s="26" t="s">
        <v>203</v>
      </c>
      <c r="CC334">
        <v>0</v>
      </c>
      <c r="CD334">
        <v>0</v>
      </c>
      <c r="CE334">
        <v>0</v>
      </c>
      <c r="CF334">
        <v>0</v>
      </c>
      <c r="HH334" s="1"/>
      <c r="HJ334" s="1"/>
    </row>
    <row r="335" spans="78:350" customFormat="1">
      <c r="BZ335" s="278" t="s">
        <v>34</v>
      </c>
      <c r="CC335">
        <v>0</v>
      </c>
      <c r="CD335">
        <v>0</v>
      </c>
      <c r="CE335">
        <v>0</v>
      </c>
      <c r="CF335">
        <v>0</v>
      </c>
      <c r="HH335" s="1"/>
      <c r="HJ335" s="1"/>
    </row>
    <row r="336" spans="78:350" customFormat="1">
      <c r="BZ336" s="278" t="s">
        <v>170</v>
      </c>
      <c r="CC336">
        <v>0</v>
      </c>
      <c r="CD336">
        <v>0</v>
      </c>
      <c r="CE336">
        <v>0</v>
      </c>
      <c r="CF336">
        <v>0</v>
      </c>
      <c r="HH336" s="1"/>
      <c r="HJ336" s="1"/>
    </row>
    <row r="337" spans="78:218" customFormat="1">
      <c r="BZ337" s="278" t="s">
        <v>27</v>
      </c>
      <c r="CC337">
        <v>0</v>
      </c>
      <c r="CD337">
        <v>0</v>
      </c>
      <c r="CE337">
        <v>0</v>
      </c>
      <c r="CF337">
        <v>0</v>
      </c>
      <c r="HH337" s="1"/>
      <c r="HJ337" s="1"/>
    </row>
    <row r="338" spans="78:218" customFormat="1">
      <c r="BZ338" s="278" t="s">
        <v>33</v>
      </c>
      <c r="CC338">
        <v>0</v>
      </c>
      <c r="CD338">
        <v>0</v>
      </c>
      <c r="CE338">
        <v>0</v>
      </c>
      <c r="CF338">
        <v>0</v>
      </c>
      <c r="HH338" s="1"/>
      <c r="HJ338" s="1"/>
    </row>
    <row r="339" spans="78:218" customFormat="1">
      <c r="BZ339" s="278" t="s">
        <v>171</v>
      </c>
      <c r="CC339">
        <v>0</v>
      </c>
      <c r="CD339">
        <v>0</v>
      </c>
      <c r="CE339">
        <v>0</v>
      </c>
      <c r="CF339">
        <v>0</v>
      </c>
      <c r="HH339" s="1"/>
      <c r="HJ339" s="1"/>
    </row>
    <row r="340" spans="78:218" customFormat="1">
      <c r="BZ340" s="278" t="s">
        <v>276</v>
      </c>
      <c r="CC340">
        <v>0</v>
      </c>
      <c r="CD340">
        <v>0</v>
      </c>
      <c r="CE340">
        <v>0</v>
      </c>
      <c r="CF340">
        <v>0</v>
      </c>
      <c r="HH340" s="1"/>
      <c r="HJ340" s="1"/>
    </row>
    <row r="341" spans="78:218" customFormat="1">
      <c r="BZ341" s="278" t="s">
        <v>277</v>
      </c>
      <c r="CC341">
        <v>0</v>
      </c>
      <c r="CD341">
        <v>0</v>
      </c>
      <c r="CE341">
        <v>0</v>
      </c>
      <c r="CF341">
        <v>0</v>
      </c>
      <c r="HH341" s="1"/>
      <c r="HJ341" s="1"/>
    </row>
    <row r="342" spans="78:218" customFormat="1">
      <c r="BZ342" s="278" t="s">
        <v>199</v>
      </c>
      <c r="CC342">
        <v>0</v>
      </c>
      <c r="CD342">
        <v>0</v>
      </c>
      <c r="CE342">
        <v>0</v>
      </c>
      <c r="CF342">
        <v>0</v>
      </c>
      <c r="HH342" s="1"/>
      <c r="HJ342" s="1"/>
    </row>
    <row r="343" spans="78:218" customFormat="1">
      <c r="BZ343" s="278" t="s">
        <v>196</v>
      </c>
      <c r="CC343">
        <v>0</v>
      </c>
      <c r="CD343">
        <v>0</v>
      </c>
      <c r="CE343">
        <v>0</v>
      </c>
      <c r="CF343">
        <v>0</v>
      </c>
      <c r="HH343" s="1"/>
      <c r="HJ343" s="1"/>
    </row>
    <row r="344" spans="78:218" customFormat="1">
      <c r="BZ344" s="278" t="s">
        <v>29</v>
      </c>
      <c r="CC344">
        <v>0</v>
      </c>
      <c r="CD344">
        <v>0</v>
      </c>
      <c r="CE344">
        <v>0</v>
      </c>
      <c r="CF344">
        <v>0</v>
      </c>
      <c r="HH344" s="1"/>
      <c r="HJ344" s="1"/>
    </row>
    <row r="345" spans="78:218" customFormat="1">
      <c r="BZ345" s="278" t="s">
        <v>23</v>
      </c>
      <c r="CC345">
        <v>0</v>
      </c>
      <c r="CD345">
        <v>0</v>
      </c>
      <c r="CE345">
        <v>0</v>
      </c>
      <c r="CF345">
        <v>0</v>
      </c>
      <c r="HH345" s="1"/>
      <c r="HJ345" s="1"/>
    </row>
    <row r="346" spans="78:218" customFormat="1">
      <c r="BZ346" s="278" t="s">
        <v>172</v>
      </c>
      <c r="CC346">
        <v>0</v>
      </c>
      <c r="CD346">
        <v>0</v>
      </c>
      <c r="CE346">
        <v>0</v>
      </c>
      <c r="CF346">
        <v>0</v>
      </c>
      <c r="HH346" s="1"/>
      <c r="HJ346" s="1"/>
    </row>
    <row r="347" spans="78:218" customFormat="1">
      <c r="BZ347" s="278" t="s">
        <v>205</v>
      </c>
      <c r="CC347">
        <v>0</v>
      </c>
      <c r="CD347">
        <v>0</v>
      </c>
      <c r="CE347">
        <v>0</v>
      </c>
      <c r="CF347">
        <v>0</v>
      </c>
      <c r="HH347" s="1"/>
      <c r="HJ347" s="1"/>
    </row>
    <row r="348" spans="78:218" customFormat="1">
      <c r="BZ348" s="278" t="s">
        <v>173</v>
      </c>
      <c r="CC348">
        <v>0</v>
      </c>
      <c r="CD348">
        <v>0</v>
      </c>
      <c r="CE348">
        <v>0</v>
      </c>
      <c r="CF348">
        <v>0</v>
      </c>
      <c r="HH348" s="1"/>
      <c r="HJ348" s="1"/>
    </row>
    <row r="349" spans="78:218" customFormat="1">
      <c r="BZ349" s="278" t="s">
        <v>174</v>
      </c>
      <c r="CC349">
        <v>0</v>
      </c>
      <c r="CD349">
        <v>0</v>
      </c>
      <c r="CE349">
        <v>0</v>
      </c>
      <c r="CF349">
        <v>0</v>
      </c>
      <c r="HH349" s="1"/>
      <c r="HJ349" s="1"/>
    </row>
    <row r="350" spans="78:218" customFormat="1">
      <c r="BZ350" s="278" t="s">
        <v>203</v>
      </c>
      <c r="CC350">
        <v>0</v>
      </c>
      <c r="CD350">
        <v>0</v>
      </c>
      <c r="CE350">
        <v>0</v>
      </c>
      <c r="CF350">
        <v>0</v>
      </c>
      <c r="HH350" s="1"/>
      <c r="HJ350" s="1"/>
    </row>
    <row r="351" spans="78:218" customFormat="1">
      <c r="BZ351" s="278" t="s">
        <v>175</v>
      </c>
      <c r="CC351">
        <v>0</v>
      </c>
      <c r="CD351">
        <v>0</v>
      </c>
      <c r="CE351">
        <v>0</v>
      </c>
      <c r="CF351">
        <v>0</v>
      </c>
      <c r="HH351" s="1"/>
      <c r="HJ351" s="1"/>
    </row>
    <row r="352" spans="78:218" customFormat="1">
      <c r="BZ352" s="278" t="s">
        <v>200</v>
      </c>
      <c r="CC352">
        <v>0</v>
      </c>
      <c r="CD352">
        <v>0</v>
      </c>
      <c r="CE352">
        <v>0</v>
      </c>
      <c r="CF352">
        <v>0</v>
      </c>
      <c r="HH352" s="1"/>
      <c r="HJ352" s="1"/>
    </row>
    <row r="353" spans="78:218" customFormat="1">
      <c r="BZ353" s="278" t="s">
        <v>176</v>
      </c>
      <c r="CC353">
        <v>0</v>
      </c>
      <c r="CD353">
        <v>0</v>
      </c>
      <c r="CE353">
        <v>0</v>
      </c>
      <c r="CF353">
        <v>0</v>
      </c>
      <c r="HH353" s="1"/>
      <c r="HJ353" s="1"/>
    </row>
    <row r="354" spans="78:218" customFormat="1">
      <c r="BZ354" s="278" t="s">
        <v>201</v>
      </c>
      <c r="CC354">
        <v>0</v>
      </c>
      <c r="CD354">
        <v>0</v>
      </c>
      <c r="CE354">
        <v>0</v>
      </c>
      <c r="CF354">
        <v>0</v>
      </c>
      <c r="HH354" s="1"/>
      <c r="HJ354" s="1"/>
    </row>
    <row r="355" spans="78:218" customFormat="1">
      <c r="BZ355" s="278" t="s">
        <v>178</v>
      </c>
      <c r="CC355">
        <v>0</v>
      </c>
      <c r="CD355">
        <v>0</v>
      </c>
      <c r="CE355">
        <v>0</v>
      </c>
      <c r="CF355">
        <v>0</v>
      </c>
      <c r="HH355" s="1"/>
      <c r="HJ355" s="1"/>
    </row>
    <row r="356" spans="78:218" customFormat="1">
      <c r="BZ356" s="278" t="s">
        <v>177</v>
      </c>
      <c r="CC356">
        <v>0</v>
      </c>
      <c r="CD356">
        <v>0</v>
      </c>
      <c r="CE356">
        <v>0</v>
      </c>
      <c r="CF356">
        <v>0</v>
      </c>
      <c r="HH356" s="1"/>
      <c r="HJ356" s="1"/>
    </row>
    <row r="357" spans="78:218" customFormat="1">
      <c r="BZ357" s="278" t="s">
        <v>202</v>
      </c>
      <c r="CC357">
        <v>0</v>
      </c>
      <c r="CD357">
        <v>0</v>
      </c>
      <c r="CE357">
        <v>0</v>
      </c>
      <c r="CF357">
        <v>0</v>
      </c>
      <c r="HH357" s="1"/>
      <c r="HJ357" s="1"/>
    </row>
    <row r="358" spans="78:218" customFormat="1">
      <c r="BZ358" s="278" t="s">
        <v>204</v>
      </c>
      <c r="CC358">
        <v>0</v>
      </c>
      <c r="CD358">
        <v>0</v>
      </c>
      <c r="CE358">
        <v>0</v>
      </c>
      <c r="CF358">
        <v>0</v>
      </c>
      <c r="HH358" s="1"/>
      <c r="HJ358" s="1"/>
    </row>
    <row r="359" spans="78:218" customFormat="1">
      <c r="BZ359" s="26" t="s">
        <v>177</v>
      </c>
      <c r="CC359">
        <v>0</v>
      </c>
      <c r="CD359">
        <v>0</v>
      </c>
      <c r="CE359">
        <v>0</v>
      </c>
      <c r="CF359">
        <v>0</v>
      </c>
      <c r="HH359" s="1"/>
      <c r="HJ359" s="1"/>
    </row>
    <row r="360" spans="78:218" customFormat="1">
      <c r="BZ360" s="278" t="s">
        <v>34</v>
      </c>
      <c r="CC360">
        <v>0</v>
      </c>
      <c r="CD360">
        <v>0</v>
      </c>
      <c r="CE360">
        <v>0</v>
      </c>
      <c r="CF360">
        <v>0</v>
      </c>
      <c r="HH360" s="1"/>
      <c r="HJ360" s="1"/>
    </row>
    <row r="361" spans="78:218" customFormat="1">
      <c r="BZ361" s="278" t="s">
        <v>170</v>
      </c>
      <c r="CC361">
        <v>0</v>
      </c>
      <c r="CD361">
        <v>0</v>
      </c>
      <c r="CE361">
        <v>0</v>
      </c>
      <c r="CF361">
        <v>0</v>
      </c>
      <c r="HH361" s="1"/>
      <c r="HJ361" s="1"/>
    </row>
    <row r="362" spans="78:218" customFormat="1">
      <c r="BZ362" s="278" t="s">
        <v>27</v>
      </c>
      <c r="CC362">
        <v>0</v>
      </c>
      <c r="CD362">
        <v>0</v>
      </c>
      <c r="CE362">
        <v>0</v>
      </c>
      <c r="CF362">
        <v>0</v>
      </c>
      <c r="HH362" s="1"/>
      <c r="HJ362" s="1"/>
    </row>
    <row r="363" spans="78:218" customFormat="1">
      <c r="BZ363" s="278" t="s">
        <v>33</v>
      </c>
      <c r="CC363">
        <v>0</v>
      </c>
      <c r="CD363">
        <v>0</v>
      </c>
      <c r="CE363">
        <v>0</v>
      </c>
      <c r="CF363">
        <v>0</v>
      </c>
      <c r="HH363" s="1"/>
      <c r="HJ363" s="1"/>
    </row>
    <row r="364" spans="78:218" customFormat="1">
      <c r="BZ364" s="278" t="s">
        <v>171</v>
      </c>
      <c r="CC364">
        <v>0</v>
      </c>
      <c r="CD364">
        <v>0</v>
      </c>
      <c r="CE364">
        <v>0</v>
      </c>
      <c r="CF364">
        <v>0</v>
      </c>
      <c r="HH364" s="1"/>
      <c r="HJ364" s="1"/>
    </row>
    <row r="365" spans="78:218" customFormat="1">
      <c r="BZ365" s="278" t="s">
        <v>276</v>
      </c>
      <c r="CC365">
        <v>0</v>
      </c>
      <c r="CD365">
        <v>0</v>
      </c>
      <c r="CE365">
        <v>0</v>
      </c>
      <c r="CF365">
        <v>0</v>
      </c>
      <c r="HH365" s="1"/>
      <c r="HJ365" s="1"/>
    </row>
    <row r="366" spans="78:218" customFormat="1">
      <c r="BZ366" s="278" t="s">
        <v>277</v>
      </c>
      <c r="CC366">
        <v>0</v>
      </c>
      <c r="CD366">
        <v>0</v>
      </c>
      <c r="CE366">
        <v>0</v>
      </c>
      <c r="CF366">
        <v>0</v>
      </c>
      <c r="HH366" s="1"/>
      <c r="HJ366" s="1"/>
    </row>
    <row r="367" spans="78:218" customFormat="1">
      <c r="BZ367" s="278" t="s">
        <v>199</v>
      </c>
      <c r="CC367">
        <v>0</v>
      </c>
      <c r="CD367">
        <v>0</v>
      </c>
      <c r="CE367">
        <v>0</v>
      </c>
      <c r="CF367">
        <v>0</v>
      </c>
      <c r="HH367" s="1"/>
      <c r="HJ367" s="1"/>
    </row>
    <row r="368" spans="78:218" customFormat="1">
      <c r="BZ368" s="278" t="s">
        <v>196</v>
      </c>
      <c r="CC368">
        <v>0</v>
      </c>
      <c r="CD368">
        <v>0</v>
      </c>
      <c r="CE368">
        <v>0</v>
      </c>
      <c r="CF368">
        <v>0</v>
      </c>
      <c r="HH368" s="1"/>
      <c r="HJ368" s="1"/>
    </row>
    <row r="369" spans="78:218" customFormat="1">
      <c r="BZ369" s="278" t="s">
        <v>29</v>
      </c>
      <c r="CC369">
        <v>0</v>
      </c>
      <c r="CD369">
        <v>0</v>
      </c>
      <c r="CE369">
        <v>0</v>
      </c>
      <c r="CF369">
        <v>0</v>
      </c>
      <c r="HH369" s="1"/>
      <c r="HJ369" s="1"/>
    </row>
    <row r="370" spans="78:218" customFormat="1">
      <c r="BZ370" s="278" t="s">
        <v>23</v>
      </c>
      <c r="CC370">
        <v>0</v>
      </c>
      <c r="CD370">
        <v>0</v>
      </c>
      <c r="CE370">
        <v>0</v>
      </c>
      <c r="CF370">
        <v>0</v>
      </c>
      <c r="HH370" s="1"/>
      <c r="HJ370" s="1"/>
    </row>
    <row r="371" spans="78:218" customFormat="1">
      <c r="BZ371" s="278" t="s">
        <v>172</v>
      </c>
      <c r="CC371">
        <v>0</v>
      </c>
      <c r="CD371">
        <v>0</v>
      </c>
      <c r="CE371">
        <v>0</v>
      </c>
      <c r="CF371">
        <v>0</v>
      </c>
      <c r="HH371" s="1"/>
      <c r="HJ371" s="1"/>
    </row>
    <row r="372" spans="78:218" customFormat="1">
      <c r="BZ372" s="278" t="s">
        <v>205</v>
      </c>
      <c r="CC372">
        <v>0</v>
      </c>
      <c r="CD372">
        <v>0</v>
      </c>
      <c r="CE372">
        <v>0</v>
      </c>
      <c r="CF372">
        <v>0</v>
      </c>
      <c r="HH372" s="1"/>
      <c r="HJ372" s="1"/>
    </row>
    <row r="373" spans="78:218" customFormat="1">
      <c r="BZ373" s="278" t="s">
        <v>173</v>
      </c>
      <c r="CC373">
        <v>0</v>
      </c>
      <c r="CD373">
        <v>0</v>
      </c>
      <c r="CE373">
        <v>0</v>
      </c>
      <c r="CF373">
        <v>0</v>
      </c>
      <c r="HH373" s="1"/>
      <c r="HJ373" s="1"/>
    </row>
    <row r="374" spans="78:218" customFormat="1">
      <c r="BZ374" s="278" t="s">
        <v>174</v>
      </c>
      <c r="CC374">
        <v>0</v>
      </c>
      <c r="CD374">
        <v>0</v>
      </c>
      <c r="CE374">
        <v>0</v>
      </c>
      <c r="CF374">
        <v>0</v>
      </c>
      <c r="HH374" s="1"/>
      <c r="HJ374" s="1"/>
    </row>
    <row r="375" spans="78:218" customFormat="1">
      <c r="BZ375" s="278" t="s">
        <v>203</v>
      </c>
      <c r="CC375">
        <v>0</v>
      </c>
      <c r="CD375">
        <v>0</v>
      </c>
      <c r="CE375">
        <v>0</v>
      </c>
      <c r="CF375">
        <v>0</v>
      </c>
      <c r="HH375" s="1"/>
      <c r="HJ375" s="1"/>
    </row>
    <row r="376" spans="78:218" customFormat="1">
      <c r="BZ376" s="278" t="s">
        <v>175</v>
      </c>
      <c r="CC376">
        <v>0</v>
      </c>
      <c r="CD376">
        <v>0</v>
      </c>
      <c r="CE376">
        <v>0</v>
      </c>
      <c r="CF376">
        <v>0</v>
      </c>
      <c r="HH376" s="1"/>
      <c r="HJ376" s="1"/>
    </row>
    <row r="377" spans="78:218" customFormat="1">
      <c r="BZ377" s="278" t="s">
        <v>200</v>
      </c>
      <c r="CC377">
        <v>0</v>
      </c>
      <c r="CD377">
        <v>0</v>
      </c>
      <c r="CE377">
        <v>0</v>
      </c>
      <c r="CF377">
        <v>0</v>
      </c>
      <c r="HH377" s="1"/>
      <c r="HJ377" s="1"/>
    </row>
    <row r="378" spans="78:218" customFormat="1">
      <c r="BZ378" s="278" t="s">
        <v>176</v>
      </c>
      <c r="CC378">
        <v>0</v>
      </c>
      <c r="CD378">
        <v>0</v>
      </c>
      <c r="CE378">
        <v>0</v>
      </c>
      <c r="CF378">
        <v>0</v>
      </c>
      <c r="HH378" s="1"/>
      <c r="HJ378" s="1"/>
    </row>
    <row r="379" spans="78:218" customFormat="1">
      <c r="BZ379" s="278" t="s">
        <v>201</v>
      </c>
      <c r="CC379">
        <v>0</v>
      </c>
      <c r="CD379">
        <v>0</v>
      </c>
      <c r="CE379">
        <v>0</v>
      </c>
      <c r="CF379">
        <v>0</v>
      </c>
      <c r="HH379" s="1"/>
      <c r="HJ379" s="1"/>
    </row>
    <row r="380" spans="78:218" customFormat="1">
      <c r="BZ380" s="278" t="s">
        <v>178</v>
      </c>
      <c r="CC380">
        <v>0</v>
      </c>
      <c r="CD380">
        <v>0</v>
      </c>
      <c r="CE380">
        <v>0</v>
      </c>
      <c r="CF380">
        <v>0</v>
      </c>
      <c r="HH380" s="1"/>
      <c r="HJ380" s="1"/>
    </row>
    <row r="381" spans="78:218" customFormat="1">
      <c r="BZ381" s="278" t="s">
        <v>177</v>
      </c>
      <c r="CC381">
        <v>0</v>
      </c>
      <c r="CD381">
        <v>0</v>
      </c>
      <c r="CE381">
        <v>0</v>
      </c>
      <c r="CF381">
        <v>0</v>
      </c>
      <c r="HH381" s="1"/>
      <c r="HJ381" s="1"/>
    </row>
    <row r="382" spans="78:218" customFormat="1">
      <c r="BZ382" s="278" t="s">
        <v>202</v>
      </c>
      <c r="CC382">
        <v>0</v>
      </c>
      <c r="CD382">
        <v>0</v>
      </c>
      <c r="CE382">
        <v>0</v>
      </c>
      <c r="CF382">
        <v>0</v>
      </c>
      <c r="HH382" s="1"/>
      <c r="HJ382" s="1"/>
    </row>
    <row r="383" spans="78:218" customFormat="1">
      <c r="BZ383" s="278" t="s">
        <v>204</v>
      </c>
      <c r="CC383">
        <v>0</v>
      </c>
      <c r="CD383">
        <v>0</v>
      </c>
      <c r="CE383">
        <v>0</v>
      </c>
      <c r="CF383">
        <v>0</v>
      </c>
      <c r="HH383" s="1"/>
      <c r="HJ383" s="1"/>
    </row>
    <row r="384" spans="78:218" customFormat="1">
      <c r="BZ384" s="26" t="s">
        <v>178</v>
      </c>
      <c r="CC384">
        <v>0</v>
      </c>
      <c r="CD384">
        <v>0</v>
      </c>
      <c r="CE384">
        <v>0</v>
      </c>
      <c r="CF384">
        <v>0</v>
      </c>
      <c r="HH384" s="1"/>
      <c r="HJ384" s="1"/>
    </row>
    <row r="385" spans="78:218" customFormat="1">
      <c r="BZ385" s="278" t="s">
        <v>34</v>
      </c>
      <c r="CC385">
        <v>0</v>
      </c>
      <c r="CD385">
        <v>0</v>
      </c>
      <c r="CE385">
        <v>0</v>
      </c>
      <c r="CF385">
        <v>0</v>
      </c>
      <c r="HH385" s="1"/>
      <c r="HJ385" s="1"/>
    </row>
    <row r="386" spans="78:218" customFormat="1">
      <c r="BZ386" s="278" t="s">
        <v>170</v>
      </c>
      <c r="CC386">
        <v>0</v>
      </c>
      <c r="CD386">
        <v>0</v>
      </c>
      <c r="CE386">
        <v>0</v>
      </c>
      <c r="CF386">
        <v>0</v>
      </c>
      <c r="HH386" s="1"/>
      <c r="HJ386" s="1"/>
    </row>
    <row r="387" spans="78:218" customFormat="1">
      <c r="BZ387" s="278" t="s">
        <v>27</v>
      </c>
      <c r="CC387">
        <v>0</v>
      </c>
      <c r="CD387">
        <v>0</v>
      </c>
      <c r="CE387">
        <v>0</v>
      </c>
      <c r="CF387">
        <v>0</v>
      </c>
      <c r="HH387" s="1"/>
      <c r="HJ387" s="1"/>
    </row>
    <row r="388" spans="78:218" customFormat="1">
      <c r="BZ388" s="278" t="s">
        <v>33</v>
      </c>
      <c r="CC388">
        <v>0</v>
      </c>
      <c r="CD388">
        <v>0</v>
      </c>
      <c r="CE388">
        <v>0</v>
      </c>
      <c r="CF388">
        <v>0</v>
      </c>
      <c r="HH388" s="1"/>
      <c r="HJ388" s="1"/>
    </row>
    <row r="389" spans="78:218" customFormat="1">
      <c r="BZ389" s="278" t="s">
        <v>171</v>
      </c>
      <c r="CC389">
        <v>0</v>
      </c>
      <c r="CD389">
        <v>0</v>
      </c>
      <c r="CE389">
        <v>0</v>
      </c>
      <c r="CF389">
        <v>0</v>
      </c>
      <c r="HH389" s="1"/>
      <c r="HJ389" s="1"/>
    </row>
    <row r="390" spans="78:218" customFormat="1">
      <c r="BZ390" s="278" t="s">
        <v>276</v>
      </c>
      <c r="CC390">
        <v>0</v>
      </c>
      <c r="CD390">
        <v>0</v>
      </c>
      <c r="CE390">
        <v>0</v>
      </c>
      <c r="CF390">
        <v>0</v>
      </c>
      <c r="HH390" s="1"/>
      <c r="HJ390" s="1"/>
    </row>
    <row r="391" spans="78:218" customFormat="1">
      <c r="BZ391" s="278" t="s">
        <v>277</v>
      </c>
      <c r="CC391">
        <v>0</v>
      </c>
      <c r="CD391">
        <v>0</v>
      </c>
      <c r="CE391">
        <v>0</v>
      </c>
      <c r="CF391">
        <v>0</v>
      </c>
      <c r="HH391" s="1"/>
      <c r="HJ391" s="1"/>
    </row>
    <row r="392" spans="78:218" customFormat="1">
      <c r="BZ392" s="278" t="s">
        <v>199</v>
      </c>
      <c r="CC392">
        <v>0</v>
      </c>
      <c r="CD392">
        <v>0</v>
      </c>
      <c r="CE392">
        <v>0</v>
      </c>
      <c r="CF392">
        <v>0</v>
      </c>
      <c r="HH392" s="1"/>
      <c r="HJ392" s="1"/>
    </row>
    <row r="393" spans="78:218" customFormat="1">
      <c r="BZ393" s="278" t="s">
        <v>196</v>
      </c>
      <c r="CC393">
        <v>0</v>
      </c>
      <c r="CD393">
        <v>0</v>
      </c>
      <c r="CE393">
        <v>0</v>
      </c>
      <c r="CF393">
        <v>0</v>
      </c>
      <c r="HH393" s="1"/>
      <c r="HJ393" s="1"/>
    </row>
    <row r="394" spans="78:218" customFormat="1">
      <c r="BZ394" s="278" t="s">
        <v>29</v>
      </c>
      <c r="CC394">
        <v>0</v>
      </c>
      <c r="CD394">
        <v>0</v>
      </c>
      <c r="CE394">
        <v>0</v>
      </c>
      <c r="CF394">
        <v>0</v>
      </c>
      <c r="HH394" s="1"/>
      <c r="HJ394" s="1"/>
    </row>
    <row r="395" spans="78:218" customFormat="1">
      <c r="BZ395" s="278" t="s">
        <v>23</v>
      </c>
      <c r="CC395">
        <v>0</v>
      </c>
      <c r="CD395">
        <v>0</v>
      </c>
      <c r="CE395">
        <v>0</v>
      </c>
      <c r="CF395">
        <v>0</v>
      </c>
      <c r="HH395" s="1"/>
      <c r="HJ395" s="1"/>
    </row>
    <row r="396" spans="78:218" customFormat="1">
      <c r="BZ396" s="278" t="s">
        <v>172</v>
      </c>
      <c r="CC396">
        <v>0</v>
      </c>
      <c r="CD396">
        <v>0</v>
      </c>
      <c r="CE396">
        <v>0</v>
      </c>
      <c r="CF396">
        <v>0</v>
      </c>
      <c r="HH396" s="1"/>
      <c r="HJ396" s="1"/>
    </row>
    <row r="397" spans="78:218" customFormat="1">
      <c r="BZ397" s="278" t="s">
        <v>205</v>
      </c>
      <c r="CC397">
        <v>0</v>
      </c>
      <c r="CD397">
        <v>0</v>
      </c>
      <c r="CE397">
        <v>0</v>
      </c>
      <c r="CF397">
        <v>0</v>
      </c>
      <c r="HH397" s="1"/>
      <c r="HJ397" s="1"/>
    </row>
    <row r="398" spans="78:218" customFormat="1">
      <c r="BZ398" s="278" t="s">
        <v>173</v>
      </c>
      <c r="CC398">
        <v>0</v>
      </c>
      <c r="CD398">
        <v>0</v>
      </c>
      <c r="CE398">
        <v>0</v>
      </c>
      <c r="CF398">
        <v>0</v>
      </c>
      <c r="HH398" s="1"/>
      <c r="HJ398" s="1"/>
    </row>
    <row r="399" spans="78:218" customFormat="1">
      <c r="BZ399" s="278" t="s">
        <v>174</v>
      </c>
      <c r="CC399">
        <v>0</v>
      </c>
      <c r="CD399">
        <v>0</v>
      </c>
      <c r="CE399">
        <v>0</v>
      </c>
      <c r="CF399">
        <v>0</v>
      </c>
      <c r="HH399" s="1"/>
      <c r="HJ399" s="1"/>
    </row>
    <row r="400" spans="78:218" customFormat="1">
      <c r="BZ400" s="278" t="s">
        <v>203</v>
      </c>
      <c r="CC400">
        <v>0</v>
      </c>
      <c r="CD400">
        <v>0</v>
      </c>
      <c r="CE400">
        <v>0</v>
      </c>
      <c r="CF400">
        <v>0</v>
      </c>
      <c r="HH400" s="1"/>
      <c r="HJ400" s="1"/>
    </row>
    <row r="401" spans="78:218" customFormat="1">
      <c r="BZ401" s="278" t="s">
        <v>175</v>
      </c>
      <c r="CC401">
        <v>0</v>
      </c>
      <c r="CD401">
        <v>0</v>
      </c>
      <c r="CE401">
        <v>0</v>
      </c>
      <c r="CF401">
        <v>0</v>
      </c>
      <c r="HH401" s="1"/>
      <c r="HJ401" s="1"/>
    </row>
    <row r="402" spans="78:218" customFormat="1">
      <c r="BZ402" s="278" t="s">
        <v>200</v>
      </c>
      <c r="CC402">
        <v>0</v>
      </c>
      <c r="CD402">
        <v>0</v>
      </c>
      <c r="CE402">
        <v>0</v>
      </c>
      <c r="CF402">
        <v>0</v>
      </c>
      <c r="HH402" s="1"/>
      <c r="HJ402" s="1"/>
    </row>
    <row r="403" spans="78:218" customFormat="1">
      <c r="BZ403" s="278" t="s">
        <v>176</v>
      </c>
      <c r="CC403">
        <v>0</v>
      </c>
      <c r="CD403">
        <v>0</v>
      </c>
      <c r="CE403">
        <v>0</v>
      </c>
      <c r="CF403">
        <v>0</v>
      </c>
      <c r="HH403" s="1"/>
      <c r="HJ403" s="1"/>
    </row>
    <row r="404" spans="78:218" customFormat="1">
      <c r="BZ404" s="278" t="s">
        <v>201</v>
      </c>
      <c r="CC404">
        <v>0</v>
      </c>
      <c r="CD404">
        <v>0</v>
      </c>
      <c r="CE404">
        <v>0</v>
      </c>
      <c r="CF404">
        <v>0</v>
      </c>
      <c r="HH404" s="1"/>
      <c r="HJ404" s="1"/>
    </row>
    <row r="405" spans="78:218" customFormat="1">
      <c r="BZ405" s="278" t="s">
        <v>178</v>
      </c>
      <c r="CC405">
        <v>0</v>
      </c>
      <c r="CD405">
        <v>0</v>
      </c>
      <c r="CE405">
        <v>0</v>
      </c>
      <c r="CF405">
        <v>0</v>
      </c>
      <c r="HH405" s="1"/>
      <c r="HJ405" s="1"/>
    </row>
    <row r="406" spans="78:218" customFormat="1">
      <c r="BZ406" s="278" t="s">
        <v>177</v>
      </c>
      <c r="CC406">
        <v>0</v>
      </c>
      <c r="CD406">
        <v>0</v>
      </c>
      <c r="CE406">
        <v>0</v>
      </c>
      <c r="CF406">
        <v>0</v>
      </c>
      <c r="HH406" s="1"/>
      <c r="HJ406" s="1"/>
    </row>
    <row r="407" spans="78:218" customFormat="1">
      <c r="BZ407" s="278" t="s">
        <v>202</v>
      </c>
      <c r="CC407">
        <v>0</v>
      </c>
      <c r="CD407">
        <v>0</v>
      </c>
      <c r="CE407">
        <v>0</v>
      </c>
      <c r="CF407">
        <v>0</v>
      </c>
      <c r="HH407" s="1"/>
      <c r="HJ407" s="1"/>
    </row>
    <row r="408" spans="78:218" customFormat="1">
      <c r="BZ408" s="278" t="s">
        <v>204</v>
      </c>
      <c r="CC408">
        <v>0</v>
      </c>
      <c r="CD408">
        <v>0</v>
      </c>
      <c r="CE408">
        <v>0</v>
      </c>
      <c r="CF408">
        <v>0</v>
      </c>
      <c r="HH408" s="1"/>
      <c r="HJ408" s="1"/>
    </row>
    <row r="409" spans="78:218" customFormat="1">
      <c r="BZ409" s="26" t="s">
        <v>202</v>
      </c>
      <c r="CA409">
        <v>1</v>
      </c>
      <c r="CB409">
        <v>1</v>
      </c>
      <c r="CC409">
        <v>0</v>
      </c>
      <c r="CD409">
        <v>0</v>
      </c>
      <c r="CE409">
        <v>0</v>
      </c>
      <c r="CF409">
        <v>2</v>
      </c>
      <c r="HH409" s="1"/>
      <c r="HJ409" s="1"/>
    </row>
    <row r="410" spans="78:218" customFormat="1">
      <c r="BZ410" s="278" t="s">
        <v>34</v>
      </c>
      <c r="CC410">
        <v>0</v>
      </c>
      <c r="CD410">
        <v>0</v>
      </c>
      <c r="CE410">
        <v>0</v>
      </c>
      <c r="CF410">
        <v>0</v>
      </c>
      <c r="HH410" s="1"/>
      <c r="HJ410" s="1"/>
    </row>
    <row r="411" spans="78:218" customFormat="1">
      <c r="BZ411" s="278" t="s">
        <v>170</v>
      </c>
      <c r="CC411">
        <v>0</v>
      </c>
      <c r="CD411">
        <v>0</v>
      </c>
      <c r="CE411">
        <v>0</v>
      </c>
      <c r="CF411">
        <v>0</v>
      </c>
      <c r="HH411" s="1"/>
      <c r="HJ411" s="1"/>
    </row>
    <row r="412" spans="78:218" customFormat="1">
      <c r="BZ412" s="278" t="s">
        <v>27</v>
      </c>
      <c r="CC412">
        <v>0</v>
      </c>
      <c r="CD412">
        <v>0</v>
      </c>
      <c r="CE412">
        <v>0</v>
      </c>
      <c r="CF412">
        <v>0</v>
      </c>
      <c r="HH412" s="1"/>
      <c r="HJ412" s="1"/>
    </row>
    <row r="413" spans="78:218" customFormat="1">
      <c r="BZ413" s="278" t="s">
        <v>33</v>
      </c>
      <c r="CC413">
        <v>0</v>
      </c>
      <c r="CD413">
        <v>0</v>
      </c>
      <c r="CE413">
        <v>0</v>
      </c>
      <c r="CF413">
        <v>0</v>
      </c>
      <c r="HH413" s="1"/>
      <c r="HJ413" s="1"/>
    </row>
    <row r="414" spans="78:218" customFormat="1">
      <c r="BZ414" s="278" t="s">
        <v>171</v>
      </c>
      <c r="CC414">
        <v>0</v>
      </c>
      <c r="CD414">
        <v>0</v>
      </c>
      <c r="CE414">
        <v>0</v>
      </c>
      <c r="CF414">
        <v>0</v>
      </c>
      <c r="HH414" s="1"/>
      <c r="HJ414" s="1"/>
    </row>
    <row r="415" spans="78:218" customFormat="1">
      <c r="BZ415" s="278" t="s">
        <v>276</v>
      </c>
      <c r="CC415">
        <v>0</v>
      </c>
      <c r="CD415">
        <v>0</v>
      </c>
      <c r="CE415">
        <v>0</v>
      </c>
      <c r="CF415">
        <v>0</v>
      </c>
      <c r="HH415" s="1"/>
      <c r="HJ415" s="1"/>
    </row>
    <row r="416" spans="78:218" customFormat="1">
      <c r="BZ416" s="278" t="s">
        <v>277</v>
      </c>
      <c r="CC416">
        <v>0</v>
      </c>
      <c r="CD416">
        <v>0</v>
      </c>
      <c r="CE416">
        <v>0</v>
      </c>
      <c r="CF416">
        <v>0</v>
      </c>
      <c r="HH416" s="1"/>
      <c r="HJ416" s="1"/>
    </row>
    <row r="417" spans="78:218" customFormat="1">
      <c r="BZ417" s="278" t="s">
        <v>199</v>
      </c>
      <c r="CC417">
        <v>0</v>
      </c>
      <c r="CD417">
        <v>0</v>
      </c>
      <c r="CE417">
        <v>0</v>
      </c>
      <c r="CF417">
        <v>0</v>
      </c>
      <c r="HH417" s="1"/>
      <c r="HJ417" s="1"/>
    </row>
    <row r="418" spans="78:218" customFormat="1">
      <c r="BZ418" s="278" t="s">
        <v>196</v>
      </c>
      <c r="CC418">
        <v>0</v>
      </c>
      <c r="CD418">
        <v>0</v>
      </c>
      <c r="CE418">
        <v>0</v>
      </c>
      <c r="CF418">
        <v>0</v>
      </c>
      <c r="HH418" s="1"/>
      <c r="HJ418" s="1"/>
    </row>
    <row r="419" spans="78:218" customFormat="1">
      <c r="BZ419" s="278" t="s">
        <v>29</v>
      </c>
      <c r="CC419">
        <v>0</v>
      </c>
      <c r="CD419">
        <v>0</v>
      </c>
      <c r="CE419">
        <v>0</v>
      </c>
      <c r="CF419">
        <v>0</v>
      </c>
      <c r="HH419" s="1"/>
      <c r="HJ419" s="1"/>
    </row>
    <row r="420" spans="78:218" customFormat="1">
      <c r="BZ420" s="278" t="s">
        <v>23</v>
      </c>
      <c r="CC420">
        <v>0</v>
      </c>
      <c r="CD420">
        <v>0</v>
      </c>
      <c r="CE420">
        <v>0</v>
      </c>
      <c r="CF420">
        <v>0</v>
      </c>
      <c r="HH420" s="1"/>
      <c r="HJ420" s="1"/>
    </row>
    <row r="421" spans="78:218" customFormat="1">
      <c r="BZ421" s="278" t="s">
        <v>172</v>
      </c>
      <c r="CC421">
        <v>0</v>
      </c>
      <c r="CD421">
        <v>0</v>
      </c>
      <c r="CE421">
        <v>0</v>
      </c>
      <c r="CF421">
        <v>0</v>
      </c>
      <c r="HH421" s="1"/>
      <c r="HJ421" s="1"/>
    </row>
    <row r="422" spans="78:218" customFormat="1">
      <c r="BZ422" s="278" t="s">
        <v>205</v>
      </c>
      <c r="CC422">
        <v>0</v>
      </c>
      <c r="CD422">
        <v>0</v>
      </c>
      <c r="CE422">
        <v>0</v>
      </c>
      <c r="CF422">
        <v>0</v>
      </c>
      <c r="HH422" s="1"/>
      <c r="HJ422" s="1"/>
    </row>
    <row r="423" spans="78:218" customFormat="1">
      <c r="BZ423" s="278" t="s">
        <v>173</v>
      </c>
      <c r="CC423">
        <v>0</v>
      </c>
      <c r="CD423">
        <v>0</v>
      </c>
      <c r="CE423">
        <v>0</v>
      </c>
      <c r="CF423">
        <v>0</v>
      </c>
      <c r="HH423" s="1"/>
      <c r="HJ423" s="1"/>
    </row>
    <row r="424" spans="78:218" customFormat="1">
      <c r="BZ424" s="278" t="s">
        <v>174</v>
      </c>
      <c r="CC424">
        <v>0</v>
      </c>
      <c r="CD424">
        <v>0</v>
      </c>
      <c r="CE424">
        <v>0</v>
      </c>
      <c r="CF424">
        <v>0</v>
      </c>
      <c r="HH424" s="1"/>
      <c r="HJ424" s="1"/>
    </row>
    <row r="425" spans="78:218" customFormat="1">
      <c r="BZ425" s="278" t="s">
        <v>203</v>
      </c>
      <c r="CC425">
        <v>0</v>
      </c>
      <c r="CD425">
        <v>0</v>
      </c>
      <c r="CE425">
        <v>0</v>
      </c>
      <c r="CF425">
        <v>0</v>
      </c>
      <c r="HH425" s="1"/>
      <c r="HJ425" s="1"/>
    </row>
    <row r="426" spans="78:218" customFormat="1">
      <c r="BZ426" s="278" t="s">
        <v>175</v>
      </c>
      <c r="CC426">
        <v>0</v>
      </c>
      <c r="CD426">
        <v>0</v>
      </c>
      <c r="CE426">
        <v>0</v>
      </c>
      <c r="CF426">
        <v>0</v>
      </c>
      <c r="HH426" s="1"/>
      <c r="HJ426" s="1"/>
    </row>
    <row r="427" spans="78:218" customFormat="1">
      <c r="BZ427" s="278" t="s">
        <v>200</v>
      </c>
      <c r="CC427">
        <v>0</v>
      </c>
      <c r="CD427">
        <v>0</v>
      </c>
      <c r="CE427">
        <v>0</v>
      </c>
      <c r="CF427">
        <v>0</v>
      </c>
      <c r="HH427" s="1"/>
      <c r="HJ427" s="1"/>
    </row>
    <row r="428" spans="78:218" customFormat="1">
      <c r="BZ428" s="278" t="s">
        <v>176</v>
      </c>
      <c r="CC428">
        <v>0</v>
      </c>
      <c r="CD428">
        <v>0</v>
      </c>
      <c r="CE428">
        <v>0</v>
      </c>
      <c r="CF428">
        <v>0</v>
      </c>
      <c r="HH428" s="1"/>
      <c r="HJ428" s="1"/>
    </row>
    <row r="429" spans="78:218" customFormat="1">
      <c r="BZ429" s="278" t="s">
        <v>201</v>
      </c>
      <c r="CC429">
        <v>0</v>
      </c>
      <c r="CD429">
        <v>0</v>
      </c>
      <c r="CE429">
        <v>0</v>
      </c>
      <c r="CF429">
        <v>0</v>
      </c>
      <c r="HH429" s="1"/>
      <c r="HJ429" s="1"/>
    </row>
    <row r="430" spans="78:218" customFormat="1">
      <c r="BZ430" s="278" t="s">
        <v>178</v>
      </c>
      <c r="CC430">
        <v>0</v>
      </c>
      <c r="CD430">
        <v>0</v>
      </c>
      <c r="CE430">
        <v>0</v>
      </c>
      <c r="CF430">
        <v>0</v>
      </c>
      <c r="HH430" s="1"/>
      <c r="HJ430" s="1"/>
    </row>
    <row r="431" spans="78:218" customFormat="1">
      <c r="BZ431" s="278" t="s">
        <v>177</v>
      </c>
      <c r="CC431">
        <v>0</v>
      </c>
      <c r="CD431">
        <v>0</v>
      </c>
      <c r="CE431">
        <v>0</v>
      </c>
      <c r="CF431">
        <v>0</v>
      </c>
      <c r="HH431" s="1"/>
      <c r="HJ431" s="1"/>
    </row>
    <row r="432" spans="78:218" customFormat="1">
      <c r="BZ432" s="278" t="s">
        <v>202</v>
      </c>
      <c r="CA432">
        <v>1</v>
      </c>
      <c r="CB432">
        <v>1</v>
      </c>
      <c r="CC432">
        <v>0</v>
      </c>
      <c r="CD432">
        <v>0</v>
      </c>
      <c r="CE432">
        <v>0</v>
      </c>
      <c r="CF432">
        <v>2</v>
      </c>
      <c r="HH432" s="1"/>
      <c r="HJ432" s="1"/>
    </row>
    <row r="433" spans="78:218" customFormat="1">
      <c r="BZ433" s="278" t="s">
        <v>204</v>
      </c>
      <c r="CC433">
        <v>0</v>
      </c>
      <c r="CD433">
        <v>0</v>
      </c>
      <c r="CE433">
        <v>0</v>
      </c>
      <c r="CF433">
        <v>0</v>
      </c>
      <c r="HH433" s="1"/>
      <c r="HJ433" s="1"/>
    </row>
    <row r="434" spans="78:218" customFormat="1">
      <c r="BZ434" s="26" t="s">
        <v>204</v>
      </c>
      <c r="CA434">
        <v>2</v>
      </c>
      <c r="CC434">
        <v>0</v>
      </c>
      <c r="CD434">
        <v>0</v>
      </c>
      <c r="CE434">
        <v>0</v>
      </c>
      <c r="CF434">
        <v>2</v>
      </c>
      <c r="HH434" s="1"/>
      <c r="HJ434" s="1"/>
    </row>
    <row r="435" spans="78:218" customFormat="1">
      <c r="BZ435" s="278" t="s">
        <v>34</v>
      </c>
      <c r="CC435">
        <v>0</v>
      </c>
      <c r="CD435">
        <v>0</v>
      </c>
      <c r="CE435">
        <v>0</v>
      </c>
      <c r="CF435">
        <v>0</v>
      </c>
      <c r="HH435" s="1"/>
      <c r="HJ435" s="1"/>
    </row>
    <row r="436" spans="78:218" customFormat="1">
      <c r="BZ436" s="278" t="s">
        <v>170</v>
      </c>
      <c r="CC436">
        <v>0</v>
      </c>
      <c r="CD436">
        <v>0</v>
      </c>
      <c r="CE436">
        <v>0</v>
      </c>
      <c r="CF436">
        <v>0</v>
      </c>
      <c r="HH436" s="1"/>
      <c r="HJ436" s="1"/>
    </row>
    <row r="437" spans="78:218" customFormat="1">
      <c r="BZ437" s="278" t="s">
        <v>27</v>
      </c>
      <c r="CC437">
        <v>0</v>
      </c>
      <c r="CD437">
        <v>0</v>
      </c>
      <c r="CE437">
        <v>0</v>
      </c>
      <c r="CF437">
        <v>0</v>
      </c>
      <c r="HH437" s="1"/>
      <c r="HJ437" s="1"/>
    </row>
    <row r="438" spans="78:218" customFormat="1">
      <c r="BZ438" s="278" t="s">
        <v>33</v>
      </c>
      <c r="CC438">
        <v>0</v>
      </c>
      <c r="CD438">
        <v>0</v>
      </c>
      <c r="CE438">
        <v>0</v>
      </c>
      <c r="CF438">
        <v>0</v>
      </c>
      <c r="HH438" s="1"/>
      <c r="HJ438" s="1"/>
    </row>
    <row r="439" spans="78:218" customFormat="1">
      <c r="BZ439" s="278" t="s">
        <v>171</v>
      </c>
      <c r="CC439">
        <v>0</v>
      </c>
      <c r="CD439">
        <v>0</v>
      </c>
      <c r="CE439">
        <v>0</v>
      </c>
      <c r="CF439">
        <v>0</v>
      </c>
      <c r="HH439" s="1"/>
      <c r="HJ439" s="1"/>
    </row>
    <row r="440" spans="78:218" customFormat="1">
      <c r="BZ440" s="278" t="s">
        <v>276</v>
      </c>
      <c r="CC440">
        <v>0</v>
      </c>
      <c r="CD440">
        <v>0</v>
      </c>
      <c r="CE440">
        <v>0</v>
      </c>
      <c r="CF440">
        <v>0</v>
      </c>
      <c r="HH440" s="1"/>
      <c r="HJ440" s="1"/>
    </row>
    <row r="441" spans="78:218" customFormat="1">
      <c r="BZ441" s="278" t="s">
        <v>277</v>
      </c>
      <c r="CC441">
        <v>0</v>
      </c>
      <c r="CD441">
        <v>0</v>
      </c>
      <c r="CE441">
        <v>0</v>
      </c>
      <c r="CF441">
        <v>0</v>
      </c>
      <c r="HH441" s="1"/>
      <c r="HJ441" s="1"/>
    </row>
    <row r="442" spans="78:218" customFormat="1">
      <c r="BZ442" s="278" t="s">
        <v>199</v>
      </c>
      <c r="CC442">
        <v>0</v>
      </c>
      <c r="CD442">
        <v>0</v>
      </c>
      <c r="CE442">
        <v>0</v>
      </c>
      <c r="CF442">
        <v>0</v>
      </c>
      <c r="HH442" s="1"/>
      <c r="HJ442" s="1"/>
    </row>
    <row r="443" spans="78:218" customFormat="1">
      <c r="BZ443" s="278" t="s">
        <v>196</v>
      </c>
      <c r="CC443">
        <v>0</v>
      </c>
      <c r="CD443">
        <v>0</v>
      </c>
      <c r="CE443">
        <v>0</v>
      </c>
      <c r="CF443">
        <v>0</v>
      </c>
      <c r="HH443" s="1"/>
      <c r="HJ443" s="1"/>
    </row>
    <row r="444" spans="78:218" customFormat="1">
      <c r="BZ444" s="278" t="s">
        <v>29</v>
      </c>
      <c r="CC444">
        <v>0</v>
      </c>
      <c r="CD444">
        <v>0</v>
      </c>
      <c r="CE444">
        <v>0</v>
      </c>
      <c r="CF444">
        <v>0</v>
      </c>
      <c r="HH444" s="1"/>
      <c r="HJ444" s="1"/>
    </row>
    <row r="445" spans="78:218" customFormat="1">
      <c r="BZ445" s="278" t="s">
        <v>23</v>
      </c>
      <c r="CC445">
        <v>0</v>
      </c>
      <c r="CD445">
        <v>0</v>
      </c>
      <c r="CE445">
        <v>0</v>
      </c>
      <c r="CF445">
        <v>0</v>
      </c>
      <c r="HH445" s="1"/>
      <c r="HJ445" s="1"/>
    </row>
    <row r="446" spans="78:218" customFormat="1">
      <c r="BZ446" s="278" t="s">
        <v>172</v>
      </c>
      <c r="CC446">
        <v>0</v>
      </c>
      <c r="CD446">
        <v>0</v>
      </c>
      <c r="CE446">
        <v>0</v>
      </c>
      <c r="CF446">
        <v>0</v>
      </c>
      <c r="HH446" s="1"/>
      <c r="HJ446" s="1"/>
    </row>
    <row r="447" spans="78:218" customFormat="1">
      <c r="BZ447" s="278" t="s">
        <v>205</v>
      </c>
      <c r="CC447">
        <v>0</v>
      </c>
      <c r="CD447">
        <v>0</v>
      </c>
      <c r="CE447">
        <v>0</v>
      </c>
      <c r="CF447">
        <v>0</v>
      </c>
      <c r="HH447" s="1"/>
      <c r="HJ447" s="1"/>
    </row>
    <row r="448" spans="78:218" customFormat="1">
      <c r="BZ448" s="278" t="s">
        <v>173</v>
      </c>
      <c r="CC448">
        <v>0</v>
      </c>
      <c r="CD448">
        <v>0</v>
      </c>
      <c r="CE448">
        <v>0</v>
      </c>
      <c r="CF448">
        <v>0</v>
      </c>
      <c r="HH448" s="1"/>
      <c r="HJ448" s="1"/>
    </row>
    <row r="449" spans="78:218" customFormat="1">
      <c r="BZ449" s="278" t="s">
        <v>174</v>
      </c>
      <c r="CC449">
        <v>0</v>
      </c>
      <c r="CD449">
        <v>0</v>
      </c>
      <c r="CE449">
        <v>0</v>
      </c>
      <c r="CF449">
        <v>0</v>
      </c>
      <c r="HH449" s="1"/>
      <c r="HJ449" s="1"/>
    </row>
    <row r="450" spans="78:218" customFormat="1">
      <c r="BZ450" s="278" t="s">
        <v>203</v>
      </c>
      <c r="CC450">
        <v>0</v>
      </c>
      <c r="CD450">
        <v>0</v>
      </c>
      <c r="CE450">
        <v>0</v>
      </c>
      <c r="CF450">
        <v>0</v>
      </c>
      <c r="HH450" s="1"/>
      <c r="HJ450" s="1"/>
    </row>
    <row r="451" spans="78:218" customFormat="1">
      <c r="BZ451" s="278" t="s">
        <v>175</v>
      </c>
      <c r="CC451">
        <v>0</v>
      </c>
      <c r="CD451">
        <v>0</v>
      </c>
      <c r="CE451">
        <v>0</v>
      </c>
      <c r="CF451">
        <v>0</v>
      </c>
      <c r="HH451" s="1"/>
      <c r="HJ451" s="1"/>
    </row>
    <row r="452" spans="78:218" customFormat="1">
      <c r="BZ452" s="278" t="s">
        <v>200</v>
      </c>
      <c r="CC452">
        <v>0</v>
      </c>
      <c r="CD452">
        <v>0</v>
      </c>
      <c r="CE452">
        <v>0</v>
      </c>
      <c r="CF452">
        <v>0</v>
      </c>
      <c r="HH452" s="1"/>
      <c r="HJ452" s="1"/>
    </row>
    <row r="453" spans="78:218" customFormat="1">
      <c r="BZ453" s="278" t="s">
        <v>176</v>
      </c>
      <c r="CC453">
        <v>0</v>
      </c>
      <c r="CD453">
        <v>0</v>
      </c>
      <c r="CE453">
        <v>0</v>
      </c>
      <c r="CF453">
        <v>0</v>
      </c>
      <c r="HH453" s="1"/>
      <c r="HJ453" s="1"/>
    </row>
    <row r="454" spans="78:218" customFormat="1">
      <c r="BZ454" s="278" t="s">
        <v>201</v>
      </c>
      <c r="CC454">
        <v>0</v>
      </c>
      <c r="CD454">
        <v>0</v>
      </c>
      <c r="CE454">
        <v>0</v>
      </c>
      <c r="CF454">
        <v>0</v>
      </c>
      <c r="HH454" s="1"/>
      <c r="HJ454" s="1"/>
    </row>
    <row r="455" spans="78:218" customFormat="1">
      <c r="BZ455" s="278" t="s">
        <v>178</v>
      </c>
      <c r="CC455">
        <v>0</v>
      </c>
      <c r="CD455">
        <v>0</v>
      </c>
      <c r="CE455">
        <v>0</v>
      </c>
      <c r="CF455">
        <v>0</v>
      </c>
      <c r="HH455" s="1"/>
      <c r="HJ455" s="1"/>
    </row>
    <row r="456" spans="78:218" customFormat="1">
      <c r="BZ456" s="278" t="s">
        <v>177</v>
      </c>
      <c r="CC456">
        <v>0</v>
      </c>
      <c r="CD456">
        <v>0</v>
      </c>
      <c r="CE456">
        <v>0</v>
      </c>
      <c r="CF456">
        <v>0</v>
      </c>
      <c r="HH456" s="1"/>
      <c r="HJ456" s="1"/>
    </row>
    <row r="457" spans="78:218" customFormat="1">
      <c r="BZ457" s="278" t="s">
        <v>202</v>
      </c>
      <c r="CC457">
        <v>0</v>
      </c>
      <c r="CD457">
        <v>0</v>
      </c>
      <c r="CE457">
        <v>0</v>
      </c>
      <c r="CF457">
        <v>0</v>
      </c>
      <c r="HH457" s="1"/>
      <c r="HJ457" s="1"/>
    </row>
    <row r="458" spans="78:218" customFormat="1">
      <c r="BZ458" s="278" t="s">
        <v>204</v>
      </c>
      <c r="CA458">
        <v>2</v>
      </c>
      <c r="CC458">
        <v>0</v>
      </c>
      <c r="CD458">
        <v>0</v>
      </c>
      <c r="CE458">
        <v>0</v>
      </c>
      <c r="CF458">
        <v>2</v>
      </c>
      <c r="HH458" s="1"/>
      <c r="HJ458" s="1"/>
    </row>
    <row r="459" spans="78:218" customFormat="1">
      <c r="BZ459" s="11" t="s">
        <v>167</v>
      </c>
      <c r="CA459">
        <v>280</v>
      </c>
      <c r="CB459">
        <v>301</v>
      </c>
      <c r="CC459">
        <v>0</v>
      </c>
      <c r="CD459">
        <v>0</v>
      </c>
      <c r="CE459">
        <v>0</v>
      </c>
      <c r="CF459">
        <v>581</v>
      </c>
      <c r="HH459" s="1"/>
      <c r="HJ459" s="1"/>
    </row>
    <row r="460" spans="78:218" customFormat="1">
      <c r="HH460" s="1"/>
      <c r="HJ460" s="1"/>
    </row>
    <row r="461" spans="78:218" customFormat="1">
      <c r="HH461" s="1"/>
      <c r="HJ461" s="1"/>
    </row>
    <row r="462" spans="78:218" customFormat="1">
      <c r="HH462" s="1"/>
      <c r="HJ462" s="1"/>
    </row>
    <row r="463" spans="78:218" customFormat="1">
      <c r="HH463" s="1"/>
      <c r="HJ463" s="1"/>
    </row>
    <row r="464" spans="78:218" customFormat="1">
      <c r="HH464" s="1"/>
      <c r="HJ464" s="1"/>
    </row>
    <row r="465" spans="216:218" customFormat="1">
      <c r="HH465" s="1"/>
      <c r="HJ465" s="1"/>
    </row>
    <row r="466" spans="216:218" customFormat="1">
      <c r="HH466" s="1"/>
      <c r="HJ466" s="1"/>
    </row>
    <row r="467" spans="216:218" customFormat="1">
      <c r="HH467" s="1"/>
      <c r="HJ467" s="1"/>
    </row>
    <row r="468" spans="216:218" customFormat="1">
      <c r="HH468" s="1"/>
      <c r="HJ468" s="1"/>
    </row>
    <row r="469" spans="216:218" customFormat="1">
      <c r="HH469" s="1"/>
      <c r="HJ469" s="1"/>
    </row>
    <row r="470" spans="216:218" customFormat="1">
      <c r="HH470" s="1"/>
      <c r="HJ470" s="1"/>
    </row>
    <row r="471" spans="216:218" customFormat="1">
      <c r="HH471" s="1"/>
      <c r="HJ471" s="1"/>
    </row>
    <row r="472" spans="216:218" customFormat="1">
      <c r="HH472" s="1"/>
      <c r="HJ472" s="1"/>
    </row>
    <row r="473" spans="216:218" customFormat="1">
      <c r="HH473" s="1"/>
      <c r="HJ473" s="1"/>
    </row>
    <row r="474" spans="216:218" customFormat="1">
      <c r="HH474" s="1"/>
      <c r="HJ474" s="1"/>
    </row>
    <row r="475" spans="216:218" customFormat="1">
      <c r="HH475" s="1"/>
      <c r="HJ475" s="1"/>
    </row>
    <row r="476" spans="216:218" customFormat="1">
      <c r="HH476" s="1"/>
      <c r="HJ476" s="1"/>
    </row>
    <row r="477" spans="216:218" customFormat="1">
      <c r="HH477" s="1"/>
      <c r="HJ477" s="1"/>
    </row>
    <row r="478" spans="216:218" customFormat="1">
      <c r="HH478" s="1"/>
      <c r="HJ478" s="1"/>
    </row>
    <row r="479" spans="216:218" customFormat="1">
      <c r="HH479" s="1"/>
      <c r="HJ479" s="1"/>
    </row>
    <row r="480" spans="216:218" customFormat="1">
      <c r="HH480" s="1"/>
      <c r="HJ480" s="1"/>
    </row>
    <row r="481" spans="216:218" customFormat="1">
      <c r="HH481" s="1"/>
      <c r="HJ481" s="1"/>
    </row>
    <row r="482" spans="216:218" customFormat="1">
      <c r="HH482" s="1"/>
      <c r="HJ482" s="1"/>
    </row>
    <row r="483" spans="216:218" customFormat="1">
      <c r="HH483" s="1"/>
      <c r="HJ483" s="1"/>
    </row>
    <row r="484" spans="216:218" customFormat="1">
      <c r="HH484" s="1"/>
      <c r="HJ484" s="1"/>
    </row>
    <row r="485" spans="216:218" customFormat="1">
      <c r="HH485" s="1"/>
      <c r="HJ485" s="1"/>
    </row>
    <row r="486" spans="216:218" customFormat="1">
      <c r="HH486" s="1"/>
      <c r="HJ486" s="1"/>
    </row>
    <row r="487" spans="216:218" customFormat="1">
      <c r="HH487" s="1"/>
      <c r="HJ487" s="1"/>
    </row>
    <row r="488" spans="216:218" customFormat="1">
      <c r="HH488" s="1"/>
      <c r="HJ488" s="1"/>
    </row>
    <row r="489" spans="216:218" customFormat="1">
      <c r="HH489" s="1"/>
      <c r="HJ489" s="1"/>
    </row>
    <row r="490" spans="216:218" customFormat="1">
      <c r="HH490" s="1"/>
      <c r="HJ490" s="1"/>
    </row>
    <row r="491" spans="216:218" customFormat="1">
      <c r="HH491" s="1"/>
      <c r="HJ491" s="1"/>
    </row>
    <row r="492" spans="216:218" customFormat="1">
      <c r="HH492" s="1"/>
      <c r="HJ492" s="1"/>
    </row>
    <row r="493" spans="216:218" customFormat="1">
      <c r="HH493" s="1"/>
      <c r="HJ493" s="1"/>
    </row>
    <row r="494" spans="216:218" customFormat="1">
      <c r="HH494" s="1"/>
      <c r="HJ494" s="1"/>
    </row>
    <row r="495" spans="216:218" customFormat="1">
      <c r="HH495" s="1"/>
      <c r="HJ495" s="1"/>
    </row>
    <row r="496" spans="216:218" customFormat="1">
      <c r="HH496" s="1"/>
      <c r="HJ496" s="1"/>
    </row>
    <row r="497" spans="216:218" customFormat="1">
      <c r="HH497" s="1"/>
      <c r="HJ497" s="1"/>
    </row>
    <row r="498" spans="216:218" customFormat="1">
      <c r="HH498" s="1"/>
      <c r="HJ498" s="1"/>
    </row>
    <row r="499" spans="216:218" customFormat="1">
      <c r="HH499" s="1"/>
      <c r="HJ499" s="1"/>
    </row>
    <row r="500" spans="216:218" customFormat="1">
      <c r="HH500" s="1"/>
      <c r="HJ500" s="1"/>
    </row>
    <row r="501" spans="216:218" customFormat="1">
      <c r="HH501" s="1"/>
      <c r="HJ501" s="1"/>
    </row>
    <row r="502" spans="216:218" customFormat="1">
      <c r="HH502" s="1"/>
      <c r="HJ502" s="1"/>
    </row>
    <row r="503" spans="216:218" customFormat="1">
      <c r="HH503" s="1"/>
      <c r="HJ503" s="1"/>
    </row>
    <row r="504" spans="216:218" customFormat="1">
      <c r="HH504" s="1"/>
      <c r="HJ504" s="1"/>
    </row>
    <row r="505" spans="216:218" customFormat="1">
      <c r="HH505" s="1"/>
      <c r="HJ505" s="1"/>
    </row>
    <row r="506" spans="216:218" customFormat="1">
      <c r="HH506" s="1"/>
      <c r="HJ506" s="1"/>
    </row>
    <row r="507" spans="216:218" customFormat="1">
      <c r="HH507" s="1"/>
      <c r="HJ507" s="1"/>
    </row>
    <row r="508" spans="216:218" customFormat="1">
      <c r="HH508" s="1"/>
      <c r="HJ508" s="1"/>
    </row>
    <row r="509" spans="216:218" customFormat="1">
      <c r="HH509" s="1"/>
      <c r="HJ509" s="1"/>
    </row>
    <row r="510" spans="216:218" customFormat="1">
      <c r="HH510" s="1"/>
      <c r="HJ510" s="1"/>
    </row>
    <row r="511" spans="216:218" customFormat="1">
      <c r="HH511" s="1"/>
      <c r="HJ511" s="1"/>
    </row>
    <row r="512" spans="216:218" customFormat="1">
      <c r="HH512" s="1"/>
      <c r="HJ512" s="1"/>
    </row>
    <row r="513" spans="216:218" customFormat="1">
      <c r="HH513" s="1"/>
      <c r="HJ513" s="1"/>
    </row>
    <row r="514" spans="216:218" customFormat="1">
      <c r="HH514" s="1"/>
      <c r="HJ514" s="1"/>
    </row>
    <row r="515" spans="216:218" customFormat="1">
      <c r="HH515" s="1"/>
      <c r="HJ515" s="1"/>
    </row>
    <row r="516" spans="216:218" customFormat="1">
      <c r="HH516" s="1"/>
      <c r="HJ516" s="1"/>
    </row>
    <row r="517" spans="216:218" customFormat="1">
      <c r="HH517" s="1"/>
      <c r="HJ517" s="1"/>
    </row>
    <row r="518" spans="216:218" customFormat="1">
      <c r="HH518" s="1"/>
      <c r="HJ518" s="1"/>
    </row>
    <row r="519" spans="216:218" customFormat="1">
      <c r="HH519" s="1"/>
      <c r="HJ519" s="1"/>
    </row>
    <row r="520" spans="216:218" customFormat="1">
      <c r="HH520" s="1"/>
      <c r="HJ520" s="1"/>
    </row>
    <row r="521" spans="216:218" customFormat="1">
      <c r="HH521" s="1"/>
      <c r="HJ521" s="1"/>
    </row>
    <row r="522" spans="216:218" customFormat="1">
      <c r="HH522" s="1"/>
      <c r="HJ522" s="1"/>
    </row>
    <row r="523" spans="216:218" customFormat="1">
      <c r="HH523" s="1"/>
      <c r="HJ523" s="1"/>
    </row>
    <row r="524" spans="216:218" customFormat="1">
      <c r="HH524" s="1"/>
      <c r="HJ524" s="1"/>
    </row>
    <row r="525" spans="216:218" customFormat="1">
      <c r="HH525" s="1"/>
      <c r="HJ525" s="1"/>
    </row>
    <row r="526" spans="216:218" customFormat="1">
      <c r="HH526" s="1"/>
      <c r="HJ526" s="1"/>
    </row>
    <row r="527" spans="216:218" customFormat="1">
      <c r="HH527" s="1"/>
      <c r="HJ527" s="1"/>
    </row>
    <row r="528" spans="216:218" customFormat="1">
      <c r="HH528" s="1"/>
      <c r="HJ528" s="1"/>
    </row>
    <row r="529" spans="216:218" customFormat="1">
      <c r="HH529" s="1"/>
      <c r="HJ529" s="1"/>
    </row>
    <row r="530" spans="216:218" customFormat="1">
      <c r="HH530" s="1"/>
      <c r="HJ530" s="1"/>
    </row>
    <row r="531" spans="216:218" customFormat="1">
      <c r="HH531" s="1"/>
      <c r="HJ531" s="1"/>
    </row>
    <row r="532" spans="216:218" customFormat="1">
      <c r="HH532" s="1"/>
      <c r="HJ532" s="1"/>
    </row>
    <row r="533" spans="216:218" customFormat="1">
      <c r="HH533" s="1"/>
      <c r="HJ533" s="1"/>
    </row>
    <row r="534" spans="216:218" customFormat="1">
      <c r="HH534" s="1"/>
      <c r="HJ534" s="1"/>
    </row>
    <row r="535" spans="216:218" customFormat="1">
      <c r="HH535" s="1"/>
      <c r="HJ535" s="1"/>
    </row>
    <row r="536" spans="216:218" customFormat="1">
      <c r="HH536" s="1"/>
      <c r="HJ536" s="1"/>
    </row>
    <row r="537" spans="216:218" customFormat="1">
      <c r="HH537" s="1"/>
      <c r="HJ537" s="1"/>
    </row>
    <row r="538" spans="216:218" customFormat="1">
      <c r="HH538" s="1"/>
      <c r="HJ538" s="1"/>
    </row>
    <row r="539" spans="216:218" customFormat="1">
      <c r="HH539" s="1"/>
      <c r="HJ539" s="1"/>
    </row>
    <row r="540" spans="216:218" customFormat="1">
      <c r="HH540" s="1"/>
      <c r="HJ540" s="1"/>
    </row>
    <row r="541" spans="216:218" customFormat="1">
      <c r="HH541" s="1"/>
      <c r="HJ541" s="1"/>
    </row>
    <row r="542" spans="216:218" customFormat="1">
      <c r="HH542" s="1"/>
      <c r="HJ542" s="1"/>
    </row>
    <row r="543" spans="216:218" customFormat="1">
      <c r="HH543" s="1"/>
      <c r="HJ543" s="1"/>
    </row>
    <row r="544" spans="216:218" customFormat="1">
      <c r="HH544" s="1"/>
      <c r="HJ544" s="1"/>
    </row>
    <row r="545" spans="216:218" customFormat="1">
      <c r="HH545" s="1"/>
      <c r="HJ54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2C0C-7C11-C143-8A5D-FE52A6420363}">
  <dimension ref="B4:AV488"/>
  <sheetViews>
    <sheetView zoomScale="85" workbookViewId="0">
      <selection activeCell="E28" sqref="E28"/>
    </sheetView>
  </sheetViews>
  <sheetFormatPr defaultColWidth="11.42578125" defaultRowHeight="15"/>
  <cols>
    <col min="2" max="2" width="16.85546875" bestFit="1" customWidth="1"/>
    <col min="3" max="3" width="15" bestFit="1" customWidth="1"/>
    <col min="4" max="4" width="14.140625" bestFit="1" customWidth="1"/>
    <col min="5" max="5" width="23.28515625" bestFit="1" customWidth="1"/>
    <col min="6" max="6" width="24.85546875" bestFit="1" customWidth="1"/>
    <col min="7" max="7" width="22.7109375" bestFit="1" customWidth="1"/>
    <col min="8" max="8" width="24.28515625" bestFit="1" customWidth="1"/>
    <col min="9" max="9" width="13.42578125" bestFit="1" customWidth="1"/>
    <col min="10" max="10" width="21.7109375" bestFit="1" customWidth="1"/>
    <col min="11" max="11" width="18.42578125" bestFit="1" customWidth="1"/>
    <col min="12" max="12" width="14.42578125" bestFit="1" customWidth="1"/>
    <col min="13" max="13" width="12.140625" bestFit="1" customWidth="1"/>
    <col min="14" max="14" width="18" bestFit="1" customWidth="1"/>
    <col min="15" max="15" width="11.7109375" bestFit="1" customWidth="1"/>
    <col min="16" max="16" width="8.7109375" bestFit="1" customWidth="1"/>
    <col min="17" max="17" width="7.85546875" bestFit="1" customWidth="1"/>
    <col min="18" max="18" width="11.7109375" bestFit="1" customWidth="1"/>
    <col min="19" max="19" width="14.140625" bestFit="1" customWidth="1"/>
    <col min="20" max="20" width="23.28515625" bestFit="1" customWidth="1"/>
    <col min="21" max="21" width="24.85546875" bestFit="1" customWidth="1"/>
    <col min="22" max="22" width="22.7109375" bestFit="1" customWidth="1"/>
    <col min="23" max="23" width="24.28515625" bestFit="1" customWidth="1"/>
    <col min="24" max="24" width="13.42578125" bestFit="1" customWidth="1"/>
    <col min="25" max="25" width="21.7109375" bestFit="1" customWidth="1"/>
    <col min="26" max="26" width="18.42578125" bestFit="1" customWidth="1"/>
    <col min="27" max="27" width="14.42578125" bestFit="1" customWidth="1"/>
    <col min="28" max="28" width="12.140625" bestFit="1" customWidth="1"/>
    <col min="29" max="29" width="18" bestFit="1" customWidth="1"/>
    <col min="30" max="30" width="11.7109375" bestFit="1" customWidth="1"/>
    <col min="31" max="31" width="8.7109375" bestFit="1" customWidth="1"/>
    <col min="34" max="34" width="19.28515625" bestFit="1" customWidth="1"/>
    <col min="35" max="35" width="11.28515625" bestFit="1" customWidth="1"/>
    <col min="36" max="36" width="14.140625" bestFit="1" customWidth="1"/>
    <col min="37" max="37" width="23.28515625" bestFit="1" customWidth="1"/>
    <col min="38" max="38" width="24.85546875" bestFit="1" customWidth="1"/>
    <col min="39" max="39" width="22.7109375" bestFit="1" customWidth="1"/>
    <col min="40" max="40" width="24.28515625" bestFit="1" customWidth="1"/>
    <col min="41" max="41" width="13.7109375" bestFit="1" customWidth="1"/>
    <col min="42" max="42" width="21.7109375" bestFit="1" customWidth="1"/>
    <col min="43" max="43" width="18.42578125" bestFit="1" customWidth="1"/>
    <col min="44" max="44" width="14.42578125" bestFit="1" customWidth="1"/>
    <col min="45" max="45" width="12.140625" bestFit="1" customWidth="1"/>
    <col min="46" max="46" width="18" bestFit="1" customWidth="1"/>
    <col min="47" max="47" width="12.7109375" bestFit="1" customWidth="1"/>
    <col min="48" max="48" width="8.7109375" bestFit="1" customWidth="1"/>
  </cols>
  <sheetData>
    <row r="4" spans="2:48">
      <c r="E4" s="1"/>
      <c r="F4" s="1"/>
      <c r="J4" s="1"/>
      <c r="L4" s="1"/>
      <c r="P4" s="123"/>
      <c r="Q4" s="123"/>
      <c r="U4" s="1"/>
      <c r="V4" s="1"/>
      <c r="Z4" s="1"/>
      <c r="AB4" s="1"/>
      <c r="AK4" s="1"/>
      <c r="AL4" s="1"/>
      <c r="AP4" s="1"/>
      <c r="AR4" s="1"/>
    </row>
    <row r="5" spans="2:48">
      <c r="B5" s="10" t="s">
        <v>104</v>
      </c>
      <c r="C5" s="11">
        <v>2026</v>
      </c>
      <c r="D5" s="1"/>
      <c r="E5" s="1"/>
      <c r="F5" s="1"/>
      <c r="I5" s="27"/>
      <c r="J5" s="1"/>
      <c r="L5" s="1"/>
      <c r="P5" s="123"/>
      <c r="Q5" s="123"/>
      <c r="R5" s="10" t="s">
        <v>104</v>
      </c>
      <c r="S5" s="11">
        <v>2026</v>
      </c>
      <c r="T5" s="1"/>
      <c r="U5" s="1"/>
      <c r="V5" s="1"/>
      <c r="Y5" s="27"/>
      <c r="Z5" s="1"/>
      <c r="AB5" s="1"/>
      <c r="AH5" s="10" t="s">
        <v>104</v>
      </c>
      <c r="AI5" s="11">
        <v>2025</v>
      </c>
      <c r="AJ5" s="1"/>
      <c r="AK5" s="1"/>
      <c r="AL5" s="1"/>
      <c r="AO5" s="27"/>
      <c r="AP5" s="1"/>
      <c r="AR5" s="1"/>
    </row>
    <row r="6" spans="2:48">
      <c r="D6" s="1"/>
      <c r="E6" s="1"/>
      <c r="F6" s="1"/>
      <c r="I6" s="27"/>
      <c r="J6" s="1"/>
      <c r="L6" s="1"/>
      <c r="P6" s="123"/>
      <c r="Q6" s="123"/>
      <c r="T6" s="1"/>
      <c r="U6" s="1"/>
      <c r="V6" s="1"/>
      <c r="Y6" s="27"/>
      <c r="Z6" s="1"/>
      <c r="AB6" s="1"/>
      <c r="AJ6" s="1"/>
      <c r="AK6" s="1"/>
      <c r="AL6" s="1"/>
      <c r="AO6" s="27"/>
      <c r="AP6" s="1"/>
      <c r="AR6" s="1"/>
    </row>
    <row r="7" spans="2:48" s="32" customFormat="1" ht="35.25" customHeight="1">
      <c r="B7" s="31" t="s">
        <v>113</v>
      </c>
      <c r="C7" s="32" t="s">
        <v>115</v>
      </c>
      <c r="D7" s="176" t="s">
        <v>114</v>
      </c>
      <c r="E7" s="176" t="s">
        <v>116</v>
      </c>
      <c r="F7" s="342" t="s">
        <v>117</v>
      </c>
      <c r="G7" s="342" t="s">
        <v>119</v>
      </c>
      <c r="H7" s="176" t="s">
        <v>118</v>
      </c>
      <c r="I7" s="327" t="s">
        <v>120</v>
      </c>
      <c r="J7" s="328" t="s">
        <v>121</v>
      </c>
      <c r="K7" s="342" t="s">
        <v>133</v>
      </c>
      <c r="L7" s="176" t="s">
        <v>146</v>
      </c>
      <c r="M7" s="176" t="s">
        <v>147</v>
      </c>
      <c r="N7" s="328" t="s">
        <v>122</v>
      </c>
      <c r="O7" s="329" t="s">
        <v>124</v>
      </c>
      <c r="P7" s="329" t="s">
        <v>125</v>
      </c>
      <c r="R7" s="176" t="s">
        <v>113</v>
      </c>
      <c r="S7" s="176" t="s">
        <v>114</v>
      </c>
      <c r="T7" s="176" t="s">
        <v>116</v>
      </c>
      <c r="U7" s="342" t="s">
        <v>117</v>
      </c>
      <c r="V7" s="342" t="s">
        <v>119</v>
      </c>
      <c r="W7" s="176" t="s">
        <v>118</v>
      </c>
      <c r="X7" s="327" t="s">
        <v>120</v>
      </c>
      <c r="Y7" s="328" t="s">
        <v>121</v>
      </c>
      <c r="Z7" s="342" t="s">
        <v>133</v>
      </c>
      <c r="AA7" s="176" t="s">
        <v>146</v>
      </c>
      <c r="AB7" s="176" t="s">
        <v>147</v>
      </c>
      <c r="AC7" s="328" t="s">
        <v>122</v>
      </c>
      <c r="AD7" s="329" t="s">
        <v>124</v>
      </c>
      <c r="AE7" s="329" t="s">
        <v>125</v>
      </c>
      <c r="AH7" s="176" t="s">
        <v>113</v>
      </c>
      <c r="AI7" s="32" t="s">
        <v>115</v>
      </c>
      <c r="AJ7" s="176" t="s">
        <v>114</v>
      </c>
      <c r="AK7" s="176" t="s">
        <v>116</v>
      </c>
      <c r="AL7" s="342" t="s">
        <v>117</v>
      </c>
      <c r="AM7" s="342" t="s">
        <v>119</v>
      </c>
      <c r="AN7" s="176" t="s">
        <v>118</v>
      </c>
      <c r="AO7" s="327" t="s">
        <v>120</v>
      </c>
      <c r="AP7" s="328" t="s">
        <v>121</v>
      </c>
      <c r="AQ7" s="342" t="s">
        <v>133</v>
      </c>
      <c r="AR7" s="176" t="s">
        <v>146</v>
      </c>
      <c r="AS7" s="176" t="s">
        <v>147</v>
      </c>
      <c r="AT7" s="328" t="s">
        <v>122</v>
      </c>
      <c r="AU7" s="329" t="s">
        <v>124</v>
      </c>
      <c r="AV7" s="329" t="s">
        <v>125</v>
      </c>
    </row>
    <row r="8" spans="2:48">
      <c r="B8" s="11" t="s">
        <v>23</v>
      </c>
      <c r="C8">
        <v>227</v>
      </c>
      <c r="D8" s="16">
        <v>702628</v>
      </c>
      <c r="E8" s="16">
        <v>6183606000</v>
      </c>
      <c r="F8" s="16">
        <v>1605451080</v>
      </c>
      <c r="G8" s="16">
        <v>439328571.42857146</v>
      </c>
      <c r="H8" s="16">
        <v>0</v>
      </c>
      <c r="I8" s="16">
        <v>2060665365.7142859</v>
      </c>
      <c r="J8" s="12">
        <v>1320976055.7142859</v>
      </c>
      <c r="K8" s="313">
        <v>705670000</v>
      </c>
      <c r="L8" s="123">
        <v>52446428.571428567</v>
      </c>
      <c r="M8" s="123">
        <v>4346161.4898924734</v>
      </c>
      <c r="N8" s="12">
        <v>762462590.0613209</v>
      </c>
      <c r="O8" s="12">
        <v>-22773280.061321102</v>
      </c>
      <c r="P8" s="13">
        <v>-1.1051420788754427E-2</v>
      </c>
      <c r="R8" s="11" t="s">
        <v>28</v>
      </c>
      <c r="S8" s="16">
        <v>808722</v>
      </c>
      <c r="T8" s="16">
        <v>7122318000</v>
      </c>
      <c r="U8" s="16">
        <v>1845242980</v>
      </c>
      <c r="V8" s="16">
        <v>503307142.85714281</v>
      </c>
      <c r="W8" s="16">
        <v>0</v>
      </c>
      <c r="X8" s="16">
        <v>2368360837.1428571</v>
      </c>
      <c r="Y8" s="12">
        <v>1523833751.4285717</v>
      </c>
      <c r="Z8" s="313">
        <v>811685000</v>
      </c>
      <c r="AA8" s="123">
        <v>65610714.285714284</v>
      </c>
      <c r="AB8" s="123">
        <v>8514853.5651612915</v>
      </c>
      <c r="AC8" s="12">
        <v>885810567.85087574</v>
      </c>
      <c r="AD8" s="12">
        <v>-41283482.136589929</v>
      </c>
      <c r="AE8" s="13">
        <v>-1.7431246746333427E-2</v>
      </c>
      <c r="AH8" s="11" t="s">
        <v>31</v>
      </c>
      <c r="AI8">
        <v>34</v>
      </c>
      <c r="AJ8" s="16">
        <v>266235</v>
      </c>
      <c r="AK8" s="16">
        <v>2380343000</v>
      </c>
      <c r="AL8" s="16">
        <v>575913860</v>
      </c>
      <c r="AM8" s="16">
        <v>124388428.57142857</v>
      </c>
      <c r="AN8" s="16">
        <v>70038968.000000015</v>
      </c>
      <c r="AO8" s="16">
        <v>771161256.57142866</v>
      </c>
      <c r="AP8" s="12">
        <v>513503588.28571427</v>
      </c>
      <c r="AQ8" s="313">
        <v>217558442.85714287</v>
      </c>
      <c r="AR8" s="123">
        <v>8025000</v>
      </c>
      <c r="AS8" s="123">
        <v>16091880.990783408</v>
      </c>
      <c r="AT8" s="12">
        <v>242298482.34428984</v>
      </c>
      <c r="AU8" s="12">
        <v>15359185.941424459</v>
      </c>
      <c r="AV8" s="13">
        <v>1.9916957459340176E-2</v>
      </c>
    </row>
    <row r="9" spans="2:48">
      <c r="B9" s="26">
        <v>12026</v>
      </c>
      <c r="C9">
        <v>210</v>
      </c>
      <c r="D9" s="16">
        <v>35547</v>
      </c>
      <c r="E9" s="16">
        <v>311960000</v>
      </c>
      <c r="F9" s="16">
        <v>81109600</v>
      </c>
      <c r="G9" s="16">
        <v>19928571.428571429</v>
      </c>
      <c r="H9" s="16">
        <v>0</v>
      </c>
      <c r="I9" s="16">
        <v>102023885.71428572</v>
      </c>
      <c r="J9" s="12">
        <v>68024582.857142866</v>
      </c>
      <c r="K9" s="313">
        <v>30940000</v>
      </c>
      <c r="L9" s="123">
        <v>2071428.5714285714</v>
      </c>
      <c r="M9" s="123">
        <v>165341.81591397829</v>
      </c>
      <c r="N9" s="12">
        <v>33176770.38734255</v>
      </c>
      <c r="O9" s="12">
        <v>822532.46980030835</v>
      </c>
      <c r="P9" s="13">
        <v>8.0621558769461248E-3</v>
      </c>
      <c r="R9" s="26" t="s">
        <v>21</v>
      </c>
      <c r="S9" s="16">
        <v>267876</v>
      </c>
      <c r="T9" s="16">
        <v>2350265000</v>
      </c>
      <c r="U9" s="16">
        <v>608454410</v>
      </c>
      <c r="V9" s="16">
        <v>170903571.42857143</v>
      </c>
      <c r="W9" s="16">
        <v>0</v>
      </c>
      <c r="X9" s="16">
        <v>787143695.71428573</v>
      </c>
      <c r="Y9" s="12">
        <v>532847097.14285719</v>
      </c>
      <c r="Z9" s="313">
        <v>271320000</v>
      </c>
      <c r="AA9" s="123">
        <v>21228571.428571425</v>
      </c>
      <c r="AB9" s="123">
        <v>2548065.7400000002</v>
      </c>
      <c r="AC9" s="12">
        <v>295096637.16857147</v>
      </c>
      <c r="AD9" s="12">
        <v>-40800038.597142905</v>
      </c>
      <c r="AE9" s="13">
        <v>-5.1833024667903002E-2</v>
      </c>
      <c r="AH9" s="26">
        <v>1</v>
      </c>
      <c r="AI9">
        <v>19</v>
      </c>
      <c r="AJ9" s="16">
        <v>4246</v>
      </c>
      <c r="AK9" s="16">
        <v>37666000</v>
      </c>
      <c r="AL9" s="16">
        <v>8663180</v>
      </c>
      <c r="AM9" s="16">
        <v>1347428.5714285714</v>
      </c>
      <c r="AN9" s="16">
        <v>1724403.7419354839</v>
      </c>
      <c r="AO9" s="16">
        <v>11735012.313364055</v>
      </c>
      <c r="AP9" s="12">
        <v>7173714.2857142854</v>
      </c>
      <c r="AQ9" s="313">
        <v>2492742.8571428568</v>
      </c>
      <c r="AR9" s="123"/>
      <c r="AS9" s="123">
        <v>260571.42857142855</v>
      </c>
      <c r="AT9" s="12">
        <v>2753314.2857142854</v>
      </c>
      <c r="AU9" s="12">
        <v>1807983.7419354841</v>
      </c>
      <c r="AV9" s="13">
        <v>0.15406747719186609</v>
      </c>
    </row>
    <row r="10" spans="2:48">
      <c r="B10" s="26">
        <v>22026</v>
      </c>
      <c r="C10">
        <v>227</v>
      </c>
      <c r="D10" s="16">
        <v>62602</v>
      </c>
      <c r="E10" s="16">
        <v>549566000</v>
      </c>
      <c r="F10" s="16">
        <v>142887160</v>
      </c>
      <c r="G10" s="16">
        <v>34475000</v>
      </c>
      <c r="H10" s="16">
        <v>0</v>
      </c>
      <c r="I10" s="16">
        <v>179187160</v>
      </c>
      <c r="J10" s="12">
        <v>121902235</v>
      </c>
      <c r="K10" s="313">
        <v>55615000</v>
      </c>
      <c r="L10" s="123">
        <v>3450000</v>
      </c>
      <c r="M10" s="123">
        <v>289348.17784946243</v>
      </c>
      <c r="N10" s="12">
        <v>59354348.177849464</v>
      </c>
      <c r="O10" s="12">
        <v>-2069423.1778494716</v>
      </c>
      <c r="P10" s="13">
        <v>-1.1548947914847646E-2</v>
      </c>
      <c r="R10" s="26" t="s">
        <v>158</v>
      </c>
      <c r="S10" s="16">
        <v>199466</v>
      </c>
      <c r="T10" s="16">
        <v>1755267000</v>
      </c>
      <c r="U10" s="16">
        <v>452424210</v>
      </c>
      <c r="V10" s="16">
        <v>140978571.4285714</v>
      </c>
      <c r="W10" s="16">
        <v>0</v>
      </c>
      <c r="X10" s="16">
        <v>597127781.42857146</v>
      </c>
      <c r="Y10" s="12">
        <v>366655242.14285719</v>
      </c>
      <c r="Z10" s="313">
        <v>220045000</v>
      </c>
      <c r="AA10" s="123">
        <v>17442857.142857142</v>
      </c>
      <c r="AB10" s="123">
        <v>2548065.7400000002</v>
      </c>
      <c r="AC10" s="12">
        <v>240035922.88285717</v>
      </c>
      <c r="AD10" s="12">
        <v>-9563383.5971428175</v>
      </c>
      <c r="AE10" s="13">
        <v>-1.6015640026433423E-2</v>
      </c>
      <c r="AH10" s="26">
        <v>2</v>
      </c>
      <c r="AI10">
        <v>19</v>
      </c>
      <c r="AJ10" s="16">
        <v>7309</v>
      </c>
      <c r="AK10" s="16">
        <v>64489000</v>
      </c>
      <c r="AL10" s="16">
        <v>14832470</v>
      </c>
      <c r="AM10" s="16">
        <v>2358000</v>
      </c>
      <c r="AN10" s="16">
        <v>3017706.5483870967</v>
      </c>
      <c r="AO10" s="16">
        <v>20208176.548387095</v>
      </c>
      <c r="AP10" s="12">
        <v>12191500</v>
      </c>
      <c r="AQ10" s="313">
        <v>4362300</v>
      </c>
      <c r="AR10" s="123"/>
      <c r="AS10" s="123">
        <v>456000</v>
      </c>
      <c r="AT10" s="12">
        <v>4818300</v>
      </c>
      <c r="AU10" s="12">
        <v>3198376.5483870953</v>
      </c>
      <c r="AV10" s="13">
        <v>0.15827140765168998</v>
      </c>
    </row>
    <row r="11" spans="2:48">
      <c r="B11" s="26">
        <v>32026</v>
      </c>
      <c r="C11">
        <v>226</v>
      </c>
      <c r="D11" s="16">
        <v>48356</v>
      </c>
      <c r="E11" s="16">
        <v>424110000</v>
      </c>
      <c r="F11" s="16">
        <v>110268600</v>
      </c>
      <c r="G11" s="16">
        <v>35200000</v>
      </c>
      <c r="H11" s="16">
        <v>0</v>
      </c>
      <c r="I11" s="16">
        <v>147093600</v>
      </c>
      <c r="J11" s="12">
        <v>96494455</v>
      </c>
      <c r="K11" s="313">
        <v>55370000</v>
      </c>
      <c r="L11" s="123">
        <v>4425000</v>
      </c>
      <c r="M11" s="123">
        <v>289348.17784946243</v>
      </c>
      <c r="N11" s="12">
        <v>60084348.177849464</v>
      </c>
      <c r="O11" s="12">
        <v>-9485203.1778494716</v>
      </c>
      <c r="P11" s="13">
        <v>-6.4484132401746039E-2</v>
      </c>
      <c r="R11" s="26" t="s">
        <v>159</v>
      </c>
      <c r="S11" s="16">
        <v>219925</v>
      </c>
      <c r="T11" s="16">
        <v>1947778000</v>
      </c>
      <c r="U11" s="16">
        <v>506422280</v>
      </c>
      <c r="V11" s="16">
        <v>137428571.42857143</v>
      </c>
      <c r="W11" s="16">
        <v>0</v>
      </c>
      <c r="X11" s="16">
        <v>649722280</v>
      </c>
      <c r="Y11" s="12">
        <v>403333714.28571433</v>
      </c>
      <c r="Z11" s="313">
        <v>230510000</v>
      </c>
      <c r="AA11" s="123">
        <v>19482142.857142858</v>
      </c>
      <c r="AB11" s="123">
        <v>2679912.4019354843</v>
      </c>
      <c r="AC11" s="12">
        <v>252672055.25907835</v>
      </c>
      <c r="AD11" s="12">
        <v>-6283489.5447926689</v>
      </c>
      <c r="AE11" s="13">
        <v>-9.6710390550138886E-3</v>
      </c>
      <c r="AH11" s="26">
        <v>3</v>
      </c>
      <c r="AI11">
        <v>20</v>
      </c>
      <c r="AJ11" s="16">
        <v>6964</v>
      </c>
      <c r="AK11" s="16">
        <v>61752000</v>
      </c>
      <c r="AL11" s="16">
        <v>14202960</v>
      </c>
      <c r="AM11" s="16">
        <v>2466000</v>
      </c>
      <c r="AN11" s="16">
        <v>3017706.5483870967</v>
      </c>
      <c r="AO11" s="16">
        <v>19686666.548387095</v>
      </c>
      <c r="AP11" s="12">
        <v>11977000</v>
      </c>
      <c r="AQ11" s="313">
        <v>4562100</v>
      </c>
      <c r="AR11" s="123">
        <v>0</v>
      </c>
      <c r="AS11" s="123">
        <v>456000</v>
      </c>
      <c r="AT11" s="12">
        <v>5018100</v>
      </c>
      <c r="AU11" s="12">
        <v>2691566.5483870953</v>
      </c>
      <c r="AV11" s="13">
        <v>0.13672027926980926</v>
      </c>
    </row>
    <row r="12" spans="2:48">
      <c r="B12" s="26">
        <v>42026</v>
      </c>
      <c r="C12">
        <v>216</v>
      </c>
      <c r="D12" s="16">
        <v>45349</v>
      </c>
      <c r="E12" s="16">
        <v>396904000</v>
      </c>
      <c r="F12" s="16">
        <v>103195040</v>
      </c>
      <c r="G12" s="16">
        <v>33750000</v>
      </c>
      <c r="H12" s="16">
        <v>0</v>
      </c>
      <c r="I12" s="16">
        <v>138195040</v>
      </c>
      <c r="J12" s="12">
        <v>93404020</v>
      </c>
      <c r="K12" s="313">
        <v>52920000</v>
      </c>
      <c r="L12" s="123">
        <v>3825000</v>
      </c>
      <c r="M12" s="123">
        <v>289348.17784946243</v>
      </c>
      <c r="N12" s="12">
        <v>57034348.177849464</v>
      </c>
      <c r="O12" s="12">
        <v>-12243328.177849472</v>
      </c>
      <c r="P12" s="13">
        <v>-8.8594555765890523E-2</v>
      </c>
      <c r="R12" s="26" t="s">
        <v>160</v>
      </c>
      <c r="S12" s="16">
        <v>121455</v>
      </c>
      <c r="T12" s="16">
        <v>1069008000</v>
      </c>
      <c r="U12" s="16">
        <v>277942080</v>
      </c>
      <c r="V12" s="16">
        <v>53996428.571428567</v>
      </c>
      <c r="W12" s="16">
        <v>0</v>
      </c>
      <c r="X12" s="16">
        <v>334367080</v>
      </c>
      <c r="Y12" s="12">
        <v>220997697.85714287</v>
      </c>
      <c r="Z12" s="313">
        <v>89810000</v>
      </c>
      <c r="AA12" s="123">
        <v>7457142.8571428563</v>
      </c>
      <c r="AB12" s="123">
        <v>738809.68322580657</v>
      </c>
      <c r="AC12" s="12">
        <v>98005952.540368676</v>
      </c>
      <c r="AD12" s="12">
        <v>15363429.602488458</v>
      </c>
      <c r="AE12" s="13">
        <v>4.5947793671818581E-2</v>
      </c>
      <c r="AH12" s="26">
        <v>4</v>
      </c>
      <c r="AI12">
        <v>28</v>
      </c>
      <c r="AJ12" s="16">
        <v>7717</v>
      </c>
      <c r="AK12" s="16">
        <v>68118000</v>
      </c>
      <c r="AL12" s="16">
        <v>15667140</v>
      </c>
      <c r="AM12" s="16">
        <v>3096000</v>
      </c>
      <c r="AN12" s="16">
        <v>3017706.5483870967</v>
      </c>
      <c r="AO12" s="16">
        <v>21780846.548387095</v>
      </c>
      <c r="AP12" s="12">
        <v>18967000</v>
      </c>
      <c r="AQ12" s="313">
        <v>5727600</v>
      </c>
      <c r="AR12" s="123">
        <v>0</v>
      </c>
      <c r="AS12" s="123">
        <v>456000</v>
      </c>
      <c r="AT12" s="12">
        <v>6183600</v>
      </c>
      <c r="AU12" s="12">
        <v>-3369753.4516129047</v>
      </c>
      <c r="AV12" s="13">
        <v>-0.15471177596916866</v>
      </c>
    </row>
    <row r="13" spans="2:48">
      <c r="B13" s="26">
        <v>52026</v>
      </c>
      <c r="C13">
        <v>213</v>
      </c>
      <c r="D13" s="16">
        <v>51527</v>
      </c>
      <c r="E13" s="16">
        <v>450922000</v>
      </c>
      <c r="F13" s="16">
        <v>114953240</v>
      </c>
      <c r="G13" s="16">
        <v>32999999.999999996</v>
      </c>
      <c r="H13" s="16">
        <v>0</v>
      </c>
      <c r="I13" s="16">
        <v>149178240</v>
      </c>
      <c r="J13" s="12">
        <v>101070485</v>
      </c>
      <c r="K13" s="313">
        <v>52185000</v>
      </c>
      <c r="L13" s="123">
        <v>3850000</v>
      </c>
      <c r="M13" s="123">
        <v>293776.97649001546</v>
      </c>
      <c r="N13" s="12">
        <v>56328776.976490021</v>
      </c>
      <c r="O13" s="12">
        <v>-8221021.9764900282</v>
      </c>
      <c r="P13" s="13">
        <v>-5.5108720792590313E-2</v>
      </c>
      <c r="R13" s="11" t="s">
        <v>282</v>
      </c>
      <c r="S13" s="16">
        <v>18216</v>
      </c>
      <c r="T13" s="16">
        <v>166769020</v>
      </c>
      <c r="U13" s="16">
        <v>43359945.200000003</v>
      </c>
      <c r="V13" s="16">
        <v>17770000</v>
      </c>
      <c r="W13" s="16">
        <v>0</v>
      </c>
      <c r="X13" s="16">
        <v>61129945.200000003</v>
      </c>
      <c r="Y13" s="12">
        <v>35782820</v>
      </c>
      <c r="Z13" s="313">
        <v>23380000</v>
      </c>
      <c r="AA13" s="123">
        <v>0</v>
      </c>
      <c r="AB13" s="123">
        <v>0</v>
      </c>
      <c r="AC13" s="12">
        <v>23380000</v>
      </c>
      <c r="AD13" s="12">
        <v>1967125.2000000002</v>
      </c>
      <c r="AE13" s="13">
        <v>3.2179403949473849E-2</v>
      </c>
      <c r="AH13" s="26">
        <v>5</v>
      </c>
      <c r="AI13">
        <v>31</v>
      </c>
      <c r="AJ13" s="16">
        <v>8805</v>
      </c>
      <c r="AK13" s="16">
        <v>77846000</v>
      </c>
      <c r="AL13" s="16">
        <v>17904580</v>
      </c>
      <c r="AM13" s="16">
        <v>3582000</v>
      </c>
      <c r="AN13" s="16">
        <v>3152707.0057603684</v>
      </c>
      <c r="AO13" s="16">
        <v>24639287.005760368</v>
      </c>
      <c r="AP13" s="12">
        <v>15355000</v>
      </c>
      <c r="AQ13" s="313">
        <v>6626699.9999999991</v>
      </c>
      <c r="AR13" s="123">
        <v>0</v>
      </c>
      <c r="AS13" s="123">
        <v>456000</v>
      </c>
      <c r="AT13" s="12">
        <v>7082699.9999999991</v>
      </c>
      <c r="AU13" s="12">
        <v>2201587.0057603689</v>
      </c>
      <c r="AV13" s="13">
        <v>8.9352707537586798E-2</v>
      </c>
    </row>
    <row r="14" spans="2:48">
      <c r="B14" s="26">
        <v>62026</v>
      </c>
      <c r="C14">
        <v>201</v>
      </c>
      <c r="D14" s="16">
        <v>53186</v>
      </c>
      <c r="E14" s="16">
        <v>466800000</v>
      </c>
      <c r="F14" s="16">
        <v>121368000</v>
      </c>
      <c r="G14" s="16">
        <v>31875000</v>
      </c>
      <c r="H14" s="16">
        <v>0</v>
      </c>
      <c r="I14" s="16">
        <v>154068000</v>
      </c>
      <c r="J14" s="12">
        <v>105090650</v>
      </c>
      <c r="K14" s="313">
        <v>49245000</v>
      </c>
      <c r="L14" s="123">
        <v>3450000</v>
      </c>
      <c r="M14" s="123">
        <v>320349.76833333337</v>
      </c>
      <c r="N14" s="12">
        <v>53015349.768333331</v>
      </c>
      <c r="O14" s="12">
        <v>-4037999.7683333158</v>
      </c>
      <c r="P14" s="13">
        <v>-2.6209204820814937E-2</v>
      </c>
      <c r="R14" s="26" t="s">
        <v>21</v>
      </c>
      <c r="S14" s="16">
        <v>8444</v>
      </c>
      <c r="T14" s="16">
        <v>77424000</v>
      </c>
      <c r="U14" s="16">
        <v>20130240</v>
      </c>
      <c r="V14" s="16">
        <v>7415000</v>
      </c>
      <c r="W14" s="16">
        <v>0</v>
      </c>
      <c r="X14" s="16">
        <v>27545240</v>
      </c>
      <c r="Y14" s="12">
        <v>16137960</v>
      </c>
      <c r="Z14" s="313">
        <v>10325000</v>
      </c>
      <c r="AA14" s="123">
        <v>0</v>
      </c>
      <c r="AB14" s="123">
        <v>0</v>
      </c>
      <c r="AC14" s="12">
        <v>10325000</v>
      </c>
      <c r="AD14" s="12">
        <v>1082280</v>
      </c>
      <c r="AE14" s="13">
        <v>3.9290999098210801E-2</v>
      </c>
      <c r="AH14" s="26">
        <v>6</v>
      </c>
      <c r="AI14">
        <v>32</v>
      </c>
      <c r="AJ14" s="16">
        <v>9742</v>
      </c>
      <c r="AK14" s="16">
        <v>86493000</v>
      </c>
      <c r="AL14" s="16">
        <v>20099470</v>
      </c>
      <c r="AM14" s="16">
        <v>3834000</v>
      </c>
      <c r="AN14" s="16">
        <v>3962709.75</v>
      </c>
      <c r="AO14" s="16">
        <v>27896179.75</v>
      </c>
      <c r="AP14" s="12">
        <v>16764500</v>
      </c>
      <c r="AQ14" s="313">
        <v>7840000</v>
      </c>
      <c r="AR14" s="123">
        <v>0</v>
      </c>
      <c r="AS14" s="123">
        <v>456000</v>
      </c>
      <c r="AT14" s="12">
        <v>8296000</v>
      </c>
      <c r="AU14" s="12">
        <v>2835679.75</v>
      </c>
      <c r="AV14" s="13">
        <v>0.10165118576854595</v>
      </c>
    </row>
    <row r="15" spans="2:48">
      <c r="B15" s="26">
        <v>72026</v>
      </c>
      <c r="C15">
        <v>197</v>
      </c>
      <c r="D15" s="16">
        <v>53593</v>
      </c>
      <c r="E15" s="16">
        <v>471142000</v>
      </c>
      <c r="F15" s="16">
        <v>122496920</v>
      </c>
      <c r="G15" s="16">
        <v>31725000</v>
      </c>
      <c r="H15" s="16">
        <v>0</v>
      </c>
      <c r="I15" s="16">
        <v>154946920</v>
      </c>
      <c r="J15" s="12">
        <v>96920410</v>
      </c>
      <c r="K15" s="313">
        <v>48265000</v>
      </c>
      <c r="L15" s="123">
        <v>3150000</v>
      </c>
      <c r="M15" s="123">
        <v>320349.76833333337</v>
      </c>
      <c r="N15" s="12">
        <v>51735349.768333331</v>
      </c>
      <c r="O15" s="12">
        <v>6291160.2316666842</v>
      </c>
      <c r="P15" s="13">
        <v>4.0602034759172262E-2</v>
      </c>
      <c r="R15" s="26" t="s">
        <v>158</v>
      </c>
      <c r="S15" s="16">
        <v>4983</v>
      </c>
      <c r="T15" s="16">
        <v>46067020</v>
      </c>
      <c r="U15" s="16">
        <v>11977425.199999999</v>
      </c>
      <c r="V15" s="16">
        <v>5530000</v>
      </c>
      <c r="W15" s="16">
        <v>0</v>
      </c>
      <c r="X15" s="16">
        <v>17507425.199999999</v>
      </c>
      <c r="Y15" s="12">
        <v>9796600</v>
      </c>
      <c r="Z15" s="313">
        <v>7105000</v>
      </c>
      <c r="AA15" s="123">
        <v>0</v>
      </c>
      <c r="AB15" s="123">
        <v>0</v>
      </c>
      <c r="AC15" s="12">
        <v>7105000</v>
      </c>
      <c r="AD15" s="12">
        <v>605825.20000000019</v>
      </c>
      <c r="AE15" s="13">
        <v>3.4603900521020088E-2</v>
      </c>
      <c r="AH15" s="26">
        <v>7</v>
      </c>
      <c r="AI15">
        <v>31</v>
      </c>
      <c r="AJ15" s="16">
        <v>10578</v>
      </c>
      <c r="AK15" s="16">
        <v>93263000</v>
      </c>
      <c r="AL15" s="16">
        <v>21450490</v>
      </c>
      <c r="AM15" s="16">
        <v>3852000</v>
      </c>
      <c r="AN15" s="16">
        <v>3962709.75</v>
      </c>
      <c r="AO15" s="16">
        <v>29265199.75</v>
      </c>
      <c r="AP15" s="12">
        <v>18738500</v>
      </c>
      <c r="AQ15" s="313">
        <v>7490000</v>
      </c>
      <c r="AR15" s="123">
        <v>0</v>
      </c>
      <c r="AS15" s="123">
        <v>456000</v>
      </c>
      <c r="AT15" s="12">
        <v>7946000</v>
      </c>
      <c r="AU15" s="12">
        <v>2580699.75</v>
      </c>
      <c r="AV15" s="13">
        <v>8.8183226905874781E-2</v>
      </c>
    </row>
    <row r="16" spans="2:48">
      <c r="B16" s="26">
        <v>82026</v>
      </c>
      <c r="C16">
        <v>193</v>
      </c>
      <c r="D16" s="16">
        <v>34756</v>
      </c>
      <c r="E16" s="16">
        <v>305800000</v>
      </c>
      <c r="F16" s="16">
        <v>79508000</v>
      </c>
      <c r="G16" s="16">
        <v>32000000</v>
      </c>
      <c r="H16" s="16">
        <v>0</v>
      </c>
      <c r="I16" s="16">
        <v>112283000</v>
      </c>
      <c r="J16" s="12">
        <v>59604400</v>
      </c>
      <c r="K16" s="313">
        <v>47285000</v>
      </c>
      <c r="L16" s="123">
        <v>3450000</v>
      </c>
      <c r="M16" s="123">
        <v>320349.76833333337</v>
      </c>
      <c r="N16" s="12">
        <v>51055349.768333331</v>
      </c>
      <c r="O16" s="12">
        <v>1623250.2316666692</v>
      </c>
      <c r="P16" s="13">
        <v>1.4456776463638034E-2</v>
      </c>
      <c r="R16" s="26" t="s">
        <v>159</v>
      </c>
      <c r="S16" s="16">
        <v>2855</v>
      </c>
      <c r="T16" s="16">
        <v>25972000</v>
      </c>
      <c r="U16" s="16">
        <v>6752720</v>
      </c>
      <c r="V16" s="16">
        <v>3490000</v>
      </c>
      <c r="W16" s="16">
        <v>0</v>
      </c>
      <c r="X16" s="16">
        <v>10242720</v>
      </c>
      <c r="Y16" s="12">
        <v>5872700</v>
      </c>
      <c r="Z16" s="313">
        <v>4025000</v>
      </c>
      <c r="AA16" s="123">
        <v>0</v>
      </c>
      <c r="AB16" s="123">
        <v>0</v>
      </c>
      <c r="AC16" s="12">
        <v>4025000</v>
      </c>
      <c r="AD16" s="12">
        <v>345020</v>
      </c>
      <c r="AE16" s="13">
        <v>3.3684411953074964E-2</v>
      </c>
      <c r="AH16" s="26">
        <v>8</v>
      </c>
      <c r="AI16">
        <v>34</v>
      </c>
      <c r="AJ16" s="16">
        <v>9954</v>
      </c>
      <c r="AK16" s="16">
        <v>87608000</v>
      </c>
      <c r="AL16" s="16">
        <v>20149840</v>
      </c>
      <c r="AM16" s="16">
        <v>4014000</v>
      </c>
      <c r="AN16" s="16">
        <v>3962709.75</v>
      </c>
      <c r="AO16" s="16">
        <v>28126549.75</v>
      </c>
      <c r="AP16" s="12">
        <v>25552000</v>
      </c>
      <c r="AQ16" s="313">
        <v>7805000</v>
      </c>
      <c r="AR16" s="123"/>
      <c r="AS16" s="123">
        <v>456000</v>
      </c>
      <c r="AT16" s="12">
        <v>8261000</v>
      </c>
      <c r="AU16" s="12">
        <v>-5686450.25</v>
      </c>
      <c r="AV16" s="13">
        <v>-0.20217375755446151</v>
      </c>
    </row>
    <row r="17" spans="2:48">
      <c r="B17" s="26">
        <v>92026</v>
      </c>
      <c r="C17">
        <v>186</v>
      </c>
      <c r="D17" s="16">
        <v>26209</v>
      </c>
      <c r="E17" s="16">
        <v>231480000</v>
      </c>
      <c r="F17" s="16">
        <v>60184800</v>
      </c>
      <c r="G17" s="16">
        <v>27025000</v>
      </c>
      <c r="H17" s="16">
        <v>0</v>
      </c>
      <c r="I17" s="16">
        <v>87559800</v>
      </c>
      <c r="J17" s="12">
        <v>46620092.857142851</v>
      </c>
      <c r="K17" s="313">
        <v>45570000</v>
      </c>
      <c r="L17" s="123">
        <v>3750000</v>
      </c>
      <c r="M17" s="123">
        <v>315920.96969278035</v>
      </c>
      <c r="N17" s="12">
        <v>49635920.969692782</v>
      </c>
      <c r="O17" s="12">
        <v>-8696213.8268356379</v>
      </c>
      <c r="P17" s="13">
        <v>-9.9317424512568989E-2</v>
      </c>
      <c r="R17" s="26" t="s">
        <v>160</v>
      </c>
      <c r="S17" s="16">
        <v>1934</v>
      </c>
      <c r="T17" s="16">
        <v>17306000</v>
      </c>
      <c r="U17" s="16">
        <v>4499560</v>
      </c>
      <c r="V17" s="16">
        <v>1335000</v>
      </c>
      <c r="W17" s="16">
        <v>0</v>
      </c>
      <c r="X17" s="16">
        <v>5834560</v>
      </c>
      <c r="Y17" s="12">
        <v>3975560</v>
      </c>
      <c r="Z17" s="313">
        <v>1925000</v>
      </c>
      <c r="AA17" s="123">
        <v>0</v>
      </c>
      <c r="AB17" s="123">
        <v>0</v>
      </c>
      <c r="AC17" s="12">
        <v>1925000</v>
      </c>
      <c r="AD17" s="12">
        <v>-66000</v>
      </c>
      <c r="AE17" s="13">
        <v>-1.1311906981846103E-2</v>
      </c>
      <c r="AH17" s="26">
        <v>9</v>
      </c>
      <c r="AI17">
        <v>33</v>
      </c>
      <c r="AJ17" s="16">
        <v>8576</v>
      </c>
      <c r="AK17" s="16">
        <v>75713000</v>
      </c>
      <c r="AL17" s="16">
        <v>17413990</v>
      </c>
      <c r="AM17" s="16">
        <v>4158000</v>
      </c>
      <c r="AN17" s="16">
        <v>3815272.2603686634</v>
      </c>
      <c r="AO17" s="16">
        <v>25387262.260368664</v>
      </c>
      <c r="AP17" s="12">
        <v>15175500</v>
      </c>
      <c r="AQ17" s="313">
        <v>4752000</v>
      </c>
      <c r="AR17" s="123">
        <v>0</v>
      </c>
      <c r="AS17" s="123">
        <v>456000</v>
      </c>
      <c r="AT17" s="12">
        <v>5208000</v>
      </c>
      <c r="AU17" s="12">
        <v>5003762.2603686638</v>
      </c>
      <c r="AV17" s="13">
        <v>0.19709735571526732</v>
      </c>
    </row>
    <row r="18" spans="2:48">
      <c r="B18" s="26">
        <v>102026</v>
      </c>
      <c r="C18">
        <v>188</v>
      </c>
      <c r="D18" s="16">
        <v>26578</v>
      </c>
      <c r="E18" s="16">
        <v>234908000</v>
      </c>
      <c r="F18" s="16">
        <v>61076080</v>
      </c>
      <c r="G18" s="16">
        <v>26950000</v>
      </c>
      <c r="H18" s="16">
        <v>0</v>
      </c>
      <c r="I18" s="16">
        <v>88926080</v>
      </c>
      <c r="J18" s="12">
        <v>46901230</v>
      </c>
      <c r="K18" s="313">
        <v>46060000</v>
      </c>
      <c r="L18" s="123">
        <v>3450000</v>
      </c>
      <c r="M18" s="123">
        <v>289348.17784946243</v>
      </c>
      <c r="N18" s="12">
        <v>49799348.177849464</v>
      </c>
      <c r="O18" s="12">
        <v>-7774498.1778494716</v>
      </c>
      <c r="P18" s="13">
        <v>-8.7426525242645034E-2</v>
      </c>
      <c r="R18" s="11" t="s">
        <v>24</v>
      </c>
      <c r="S18" s="16">
        <v>50137</v>
      </c>
      <c r="T18" s="16">
        <v>320399859</v>
      </c>
      <c r="U18" s="16">
        <v>75117670.900000006</v>
      </c>
      <c r="V18" s="16">
        <v>28195000</v>
      </c>
      <c r="W18" s="16">
        <v>0</v>
      </c>
      <c r="X18" s="16">
        <v>103312670.90000001</v>
      </c>
      <c r="Y18" s="12">
        <v>64326880</v>
      </c>
      <c r="Z18" s="313">
        <v>39235000</v>
      </c>
      <c r="AA18" s="123">
        <v>12300000</v>
      </c>
      <c r="AB18" s="123">
        <v>0</v>
      </c>
      <c r="AC18" s="12">
        <v>51535000</v>
      </c>
      <c r="AD18" s="12">
        <v>-12549209.1</v>
      </c>
      <c r="AE18" s="13">
        <v>-0.12146824770551931</v>
      </c>
      <c r="AH18" s="346">
        <v>10</v>
      </c>
      <c r="AI18" s="389">
        <v>29</v>
      </c>
      <c r="AJ18" s="303">
        <v>3550</v>
      </c>
      <c r="AK18" s="303">
        <v>31404000</v>
      </c>
      <c r="AL18" s="303">
        <v>7222920</v>
      </c>
      <c r="AM18" s="303">
        <v>3312000</v>
      </c>
      <c r="AN18" s="303">
        <v>2930647.3225806449</v>
      </c>
      <c r="AO18" s="303">
        <v>13465567.322580645</v>
      </c>
      <c r="AP18" s="302">
        <v>7200000</v>
      </c>
      <c r="AQ18" s="347">
        <v>6440000</v>
      </c>
      <c r="AR18" s="348">
        <v>0</v>
      </c>
      <c r="AS18" s="348">
        <v>411871</v>
      </c>
      <c r="AT18" s="302">
        <v>6851871</v>
      </c>
      <c r="AU18" s="302">
        <v>-586303.67741935514</v>
      </c>
      <c r="AV18" s="304">
        <v>-4.3540956231095607E-2</v>
      </c>
    </row>
    <row r="19" spans="2:48">
      <c r="B19" s="26">
        <v>112026</v>
      </c>
      <c r="C19">
        <v>189</v>
      </c>
      <c r="D19" s="16">
        <v>37478</v>
      </c>
      <c r="E19" s="16">
        <v>332090000</v>
      </c>
      <c r="F19" s="16">
        <v>86343400</v>
      </c>
      <c r="G19" s="16">
        <v>27925000</v>
      </c>
      <c r="H19" s="16">
        <v>0</v>
      </c>
      <c r="I19" s="16">
        <v>115343400</v>
      </c>
      <c r="J19" s="12">
        <v>68127945</v>
      </c>
      <c r="K19" s="313">
        <v>46305000</v>
      </c>
      <c r="L19" s="123">
        <v>4350000</v>
      </c>
      <c r="M19" s="123">
        <v>289348.17784946243</v>
      </c>
      <c r="N19" s="12">
        <v>50944348.177849464</v>
      </c>
      <c r="O19" s="12">
        <v>-3728893.1778494716</v>
      </c>
      <c r="P19" s="13">
        <v>-3.2328621991804224E-2</v>
      </c>
      <c r="R19" s="26" t="s">
        <v>21</v>
      </c>
      <c r="S19" s="16">
        <v>18733</v>
      </c>
      <c r="T19" s="16">
        <v>125720379</v>
      </c>
      <c r="U19" s="16">
        <v>29879413.899999999</v>
      </c>
      <c r="V19" s="16">
        <v>11340000</v>
      </c>
      <c r="W19" s="16">
        <v>0</v>
      </c>
      <c r="X19" s="16">
        <v>41219413.899999999</v>
      </c>
      <c r="Y19" s="12">
        <v>25386820</v>
      </c>
      <c r="Z19" s="313">
        <v>15470000</v>
      </c>
      <c r="AA19" s="123">
        <v>5764285.7142857146</v>
      </c>
      <c r="AB19" s="123">
        <v>0</v>
      </c>
      <c r="AC19" s="12">
        <v>21234285.714285716</v>
      </c>
      <c r="AD19" s="12">
        <v>-5401691.8142857142</v>
      </c>
      <c r="AE19" s="13">
        <v>-0.13104727368007807</v>
      </c>
      <c r="AH19" s="346">
        <v>11</v>
      </c>
      <c r="AI19" s="389">
        <v>21</v>
      </c>
      <c r="AJ19" s="303">
        <v>3569</v>
      </c>
      <c r="AK19" s="303">
        <v>31796000</v>
      </c>
      <c r="AL19" s="303">
        <v>7313080</v>
      </c>
      <c r="AM19" s="303">
        <v>2250000</v>
      </c>
      <c r="AN19" s="303">
        <v>2930647.3225806449</v>
      </c>
      <c r="AO19" s="303">
        <v>12493727.322580645</v>
      </c>
      <c r="AP19" s="302">
        <v>6769000</v>
      </c>
      <c r="AQ19" s="347">
        <v>4375000</v>
      </c>
      <c r="AR19" s="348">
        <v>0</v>
      </c>
      <c r="AS19" s="348">
        <v>411871</v>
      </c>
      <c r="AT19" s="302">
        <v>4786871</v>
      </c>
      <c r="AU19" s="302">
        <v>937856.32258064486</v>
      </c>
      <c r="AV19" s="304">
        <v>7.5066175078561406E-2</v>
      </c>
    </row>
    <row r="20" spans="2:48">
      <c r="B20" s="26">
        <v>122026</v>
      </c>
      <c r="C20">
        <v>174</v>
      </c>
      <c r="D20" s="16">
        <v>47318</v>
      </c>
      <c r="E20" s="16">
        <v>420036000</v>
      </c>
      <c r="F20" s="16">
        <v>109209360</v>
      </c>
      <c r="G20" s="16">
        <v>25575000</v>
      </c>
      <c r="H20" s="16">
        <v>0</v>
      </c>
      <c r="I20" s="16">
        <v>135634360</v>
      </c>
      <c r="J20" s="12">
        <v>84607135</v>
      </c>
      <c r="K20" s="313">
        <v>42630000</v>
      </c>
      <c r="L20" s="123">
        <v>2875000</v>
      </c>
      <c r="M20" s="123">
        <v>289348.17784946243</v>
      </c>
      <c r="N20" s="12">
        <v>45794348.177849464</v>
      </c>
      <c r="O20" s="12">
        <v>5232876.8221505284</v>
      </c>
      <c r="P20" s="13">
        <v>3.858076096757878E-2</v>
      </c>
      <c r="R20" s="26" t="s">
        <v>158</v>
      </c>
      <c r="S20" s="16">
        <v>13431</v>
      </c>
      <c r="T20" s="16">
        <v>84810880</v>
      </c>
      <c r="U20" s="16">
        <v>20082655</v>
      </c>
      <c r="V20" s="16">
        <v>8600000</v>
      </c>
      <c r="W20" s="16">
        <v>0</v>
      </c>
      <c r="X20" s="16">
        <v>28682655</v>
      </c>
      <c r="Y20" s="12">
        <v>17903300</v>
      </c>
      <c r="Z20" s="313">
        <v>11760000</v>
      </c>
      <c r="AA20" s="123">
        <v>2735714.2857142859</v>
      </c>
      <c r="AB20" s="123">
        <v>0</v>
      </c>
      <c r="AC20" s="12">
        <v>14495714.285714285</v>
      </c>
      <c r="AD20" s="12">
        <v>-3716359.2857142854</v>
      </c>
      <c r="AE20" s="13">
        <v>-0.129568175809188</v>
      </c>
      <c r="AH20" s="346">
        <v>12</v>
      </c>
      <c r="AI20" s="389">
        <v>20</v>
      </c>
      <c r="AJ20" s="303">
        <v>5156</v>
      </c>
      <c r="AK20" s="303">
        <v>46314000</v>
      </c>
      <c r="AL20" s="303">
        <v>10652220</v>
      </c>
      <c r="AM20" s="303">
        <v>2376000</v>
      </c>
      <c r="AN20" s="303">
        <v>2930647.3225806449</v>
      </c>
      <c r="AO20" s="303">
        <v>15958867.322580645</v>
      </c>
      <c r="AP20" s="302">
        <v>9306000</v>
      </c>
      <c r="AQ20" s="347">
        <v>4620000</v>
      </c>
      <c r="AR20" s="348">
        <v>0</v>
      </c>
      <c r="AS20" s="348">
        <v>411871</v>
      </c>
      <c r="AT20" s="302">
        <v>5031871</v>
      </c>
      <c r="AU20" s="302">
        <v>1620996.3225806449</v>
      </c>
      <c r="AV20" s="304">
        <v>0.10157339426508372</v>
      </c>
    </row>
    <row r="21" spans="2:48">
      <c r="B21" s="26">
        <v>132026</v>
      </c>
      <c r="C21">
        <v>177</v>
      </c>
      <c r="D21" s="16">
        <v>59517</v>
      </c>
      <c r="E21" s="16">
        <v>526664000</v>
      </c>
      <c r="F21" s="16">
        <v>136932640</v>
      </c>
      <c r="G21" s="16">
        <v>25850000</v>
      </c>
      <c r="H21" s="16">
        <v>0</v>
      </c>
      <c r="I21" s="16">
        <v>164007640</v>
      </c>
      <c r="J21" s="12">
        <v>109609225</v>
      </c>
      <c r="K21" s="313">
        <v>43365000</v>
      </c>
      <c r="L21" s="123">
        <v>3450000</v>
      </c>
      <c r="M21" s="123">
        <v>289348.17784946243</v>
      </c>
      <c r="N21" s="12">
        <v>47104348.177849464</v>
      </c>
      <c r="O21" s="12">
        <v>7294066.8221505284</v>
      </c>
      <c r="P21" s="13">
        <v>4.4473945373218762E-2</v>
      </c>
      <c r="R21" s="26" t="s">
        <v>159</v>
      </c>
      <c r="S21" s="16">
        <v>11662</v>
      </c>
      <c r="T21" s="16">
        <v>73265580</v>
      </c>
      <c r="U21" s="16">
        <v>16583310.6</v>
      </c>
      <c r="V21" s="16">
        <v>6025000</v>
      </c>
      <c r="W21" s="16">
        <v>0</v>
      </c>
      <c r="X21" s="16">
        <v>22608310.600000001</v>
      </c>
      <c r="Y21" s="12">
        <v>14210920</v>
      </c>
      <c r="Z21" s="313">
        <v>8890000</v>
      </c>
      <c r="AA21" s="123">
        <v>2800000</v>
      </c>
      <c r="AB21" s="123">
        <v>0</v>
      </c>
      <c r="AC21" s="12">
        <v>11690000</v>
      </c>
      <c r="AD21" s="12">
        <v>-3292609.4</v>
      </c>
      <c r="AE21" s="13">
        <v>-0.14563712690677558</v>
      </c>
      <c r="AH21" s="346">
        <v>13</v>
      </c>
      <c r="AI21" s="389">
        <v>20</v>
      </c>
      <c r="AJ21" s="303">
        <v>2303</v>
      </c>
      <c r="AK21" s="303">
        <v>20926000</v>
      </c>
      <c r="AL21" s="303">
        <v>4812980</v>
      </c>
      <c r="AM21" s="303">
        <v>1080000</v>
      </c>
      <c r="AN21" s="303">
        <v>1255991.7096774194</v>
      </c>
      <c r="AO21" s="303">
        <v>7148971.7096774196</v>
      </c>
      <c r="AP21" s="302">
        <v>6978000</v>
      </c>
      <c r="AQ21" s="347">
        <v>2100000</v>
      </c>
      <c r="AR21" s="348">
        <v>0</v>
      </c>
      <c r="AS21" s="348">
        <v>176516.14285714284</v>
      </c>
      <c r="AT21" s="302">
        <v>2276516.1428571427</v>
      </c>
      <c r="AU21" s="302">
        <v>-2105544.4331797222</v>
      </c>
      <c r="AV21" s="304">
        <v>-0.29452409642767069</v>
      </c>
    </row>
    <row r="22" spans="2:48">
      <c r="B22" s="26">
        <v>142026</v>
      </c>
      <c r="C22">
        <v>181</v>
      </c>
      <c r="D22" s="16">
        <v>59889</v>
      </c>
      <c r="E22" s="16">
        <v>527506000</v>
      </c>
      <c r="F22" s="16">
        <v>137151560</v>
      </c>
      <c r="G22" s="16">
        <v>27175000</v>
      </c>
      <c r="H22" s="16">
        <v>0</v>
      </c>
      <c r="I22" s="16">
        <v>165501560</v>
      </c>
      <c r="J22" s="12">
        <v>110814365</v>
      </c>
      <c r="K22" s="313">
        <v>45080000</v>
      </c>
      <c r="L22" s="123">
        <v>3450000</v>
      </c>
      <c r="M22" s="123">
        <v>295287</v>
      </c>
      <c r="N22" s="12">
        <v>48825287</v>
      </c>
      <c r="O22" s="12">
        <v>5861907.9999999925</v>
      </c>
      <c r="P22" s="13">
        <v>3.5419049826478935E-2</v>
      </c>
      <c r="R22" s="26" t="s">
        <v>160</v>
      </c>
      <c r="S22" s="16">
        <v>6311</v>
      </c>
      <c r="T22" s="16">
        <v>36603020</v>
      </c>
      <c r="U22" s="16">
        <v>8572291.4000000004</v>
      </c>
      <c r="V22" s="16">
        <v>2230000</v>
      </c>
      <c r="W22" s="16">
        <v>0</v>
      </c>
      <c r="X22" s="16">
        <v>10802291.4</v>
      </c>
      <c r="Y22" s="12">
        <v>6825840</v>
      </c>
      <c r="Z22" s="313">
        <v>3115000</v>
      </c>
      <c r="AA22" s="123">
        <v>1000000</v>
      </c>
      <c r="AB22" s="123">
        <v>0</v>
      </c>
      <c r="AC22" s="12">
        <v>4115000</v>
      </c>
      <c r="AD22" s="12">
        <v>-138548.59999999995</v>
      </c>
      <c r="AE22" s="13">
        <v>-1.2825852855626534E-2</v>
      </c>
      <c r="AH22" s="26">
        <v>14</v>
      </c>
      <c r="AI22">
        <v>19</v>
      </c>
      <c r="AJ22" s="16">
        <v>4780</v>
      </c>
      <c r="AK22" s="16">
        <v>77472000</v>
      </c>
      <c r="AL22" s="16">
        <v>17818560</v>
      </c>
      <c r="AM22" s="16">
        <v>3941999.9999999995</v>
      </c>
      <c r="AN22" s="16">
        <v>4372886.5860215053</v>
      </c>
      <c r="AO22" s="16">
        <v>26133446.586021505</v>
      </c>
      <c r="AP22" s="12">
        <v>14175000</v>
      </c>
      <c r="AQ22" s="313">
        <v>7105000</v>
      </c>
      <c r="AR22" s="123">
        <v>0</v>
      </c>
      <c r="AS22" s="123">
        <v>411871</v>
      </c>
      <c r="AT22" s="12">
        <v>7516871</v>
      </c>
      <c r="AU22" s="12">
        <v>4441575.5860215053</v>
      </c>
      <c r="AV22" s="13">
        <v>0.16995751292893971</v>
      </c>
    </row>
    <row r="23" spans="2:48">
      <c r="B23" s="26">
        <v>152026</v>
      </c>
      <c r="C23">
        <v>183</v>
      </c>
      <c r="D23" s="16">
        <v>60723</v>
      </c>
      <c r="E23" s="16">
        <v>533718000</v>
      </c>
      <c r="F23" s="16">
        <v>138766680</v>
      </c>
      <c r="G23" s="16">
        <v>26875000</v>
      </c>
      <c r="H23" s="16">
        <v>0</v>
      </c>
      <c r="I23" s="16">
        <v>166716680</v>
      </c>
      <c r="J23" s="12">
        <v>111784825</v>
      </c>
      <c r="K23" s="313">
        <v>44835000</v>
      </c>
      <c r="L23" s="123">
        <v>3450000</v>
      </c>
      <c r="M23" s="123">
        <v>289348.17784946243</v>
      </c>
      <c r="N23" s="12">
        <v>48574348.177849464</v>
      </c>
      <c r="O23" s="12">
        <v>6357506.8221505284</v>
      </c>
      <c r="P23" s="13">
        <v>3.8133597802874487E-2</v>
      </c>
      <c r="R23" s="11" t="s">
        <v>167</v>
      </c>
      <c r="S23" s="16">
        <v>877075</v>
      </c>
      <c r="T23" s="16">
        <v>7609486879</v>
      </c>
      <c r="U23" s="16">
        <v>1963720596.1000001</v>
      </c>
      <c r="V23" s="16">
        <v>549272142.85714281</v>
      </c>
      <c r="W23" s="16">
        <v>0</v>
      </c>
      <c r="X23" s="16">
        <v>2532803453.242857</v>
      </c>
      <c r="Y23" s="12">
        <v>1623943451.4285717</v>
      </c>
      <c r="Z23" s="313">
        <v>874300000</v>
      </c>
      <c r="AA23" s="123">
        <v>77910714.285714284</v>
      </c>
      <c r="AB23" s="123">
        <v>8514853.5651612915</v>
      </c>
      <c r="AC23" s="12">
        <v>960725567.85087574</v>
      </c>
      <c r="AD23" s="12">
        <v>-51865566.036589921</v>
      </c>
      <c r="AE23" s="13">
        <v>-2.0477532897463568E-2</v>
      </c>
      <c r="AH23" s="26">
        <v>40</v>
      </c>
      <c r="AI23">
        <v>24</v>
      </c>
      <c r="AJ23" s="16">
        <v>6436</v>
      </c>
      <c r="AK23" s="16">
        <v>56264000</v>
      </c>
      <c r="AL23" s="16">
        <v>14628640</v>
      </c>
      <c r="AM23" s="16">
        <v>3775000</v>
      </c>
      <c r="AN23" s="16">
        <v>0</v>
      </c>
      <c r="AO23" s="16">
        <v>18628640</v>
      </c>
      <c r="AP23" s="12">
        <v>12335090</v>
      </c>
      <c r="AQ23" s="313">
        <v>5880000</v>
      </c>
      <c r="AR23" s="123">
        <v>375000</v>
      </c>
      <c r="AS23" s="123">
        <v>415793.54838709679</v>
      </c>
      <c r="AT23" s="12">
        <v>6795793.5483870972</v>
      </c>
      <c r="AU23" s="12">
        <v>-502243.54838709719</v>
      </c>
      <c r="AV23" s="13">
        <v>-2.6960827434911898E-2</v>
      </c>
    </row>
    <row r="24" spans="2:48">
      <c r="B24" s="278" t="s">
        <v>23</v>
      </c>
      <c r="C24">
        <v>183</v>
      </c>
      <c r="D24" s="16">
        <v>60723</v>
      </c>
      <c r="E24" s="16">
        <v>533718000</v>
      </c>
      <c r="F24" s="16">
        <v>138766680</v>
      </c>
      <c r="G24" s="16">
        <v>26875000</v>
      </c>
      <c r="H24" s="16">
        <v>0</v>
      </c>
      <c r="I24" s="16">
        <v>166716680</v>
      </c>
      <c r="J24" s="35">
        <v>111784825</v>
      </c>
      <c r="K24" s="313">
        <v>44835000</v>
      </c>
      <c r="L24" s="123">
        <v>3450000</v>
      </c>
      <c r="M24" s="123">
        <v>289348.17784946243</v>
      </c>
      <c r="N24" s="35">
        <v>48574348.177849464</v>
      </c>
      <c r="O24" s="35">
        <v>6357506.8221505284</v>
      </c>
      <c r="P24" s="13">
        <v>3.8133597802874487E-2</v>
      </c>
      <c r="R24" s="10" t="s">
        <v>104</v>
      </c>
      <c r="S24" s="11">
        <v>2026</v>
      </c>
      <c r="AH24" s="26">
        <v>39</v>
      </c>
      <c r="AI24">
        <v>27</v>
      </c>
      <c r="AJ24" s="16">
        <v>7415</v>
      </c>
      <c r="AK24" s="16">
        <v>65040000</v>
      </c>
      <c r="AL24" s="16">
        <v>16910400</v>
      </c>
      <c r="AM24" s="16">
        <v>4075000</v>
      </c>
      <c r="AN24" s="16">
        <v>0</v>
      </c>
      <c r="AO24" s="16">
        <v>21210400</v>
      </c>
      <c r="AP24" s="12">
        <v>15442175</v>
      </c>
      <c r="AQ24" s="313">
        <v>6615000</v>
      </c>
      <c r="AR24" s="123">
        <v>475000</v>
      </c>
      <c r="AS24" s="123">
        <v>425600</v>
      </c>
      <c r="AT24" s="12">
        <v>7515600</v>
      </c>
      <c r="AU24" s="12">
        <v>-1747375</v>
      </c>
      <c r="AV24" s="13">
        <v>-8.2382934786708412E-2</v>
      </c>
    </row>
    <row r="25" spans="2:48">
      <c r="B25" s="11" t="s">
        <v>172</v>
      </c>
      <c r="C25">
        <v>34</v>
      </c>
      <c r="D25" s="16">
        <v>103920</v>
      </c>
      <c r="E25" s="16">
        <v>917602000</v>
      </c>
      <c r="F25" s="16">
        <v>238259000</v>
      </c>
      <c r="G25" s="16">
        <v>63978571.428571425</v>
      </c>
      <c r="H25" s="16">
        <v>0</v>
      </c>
      <c r="I25" s="16">
        <v>306162571.42857146</v>
      </c>
      <c r="J25" s="12">
        <v>202857695.7142857</v>
      </c>
      <c r="K25" s="313">
        <v>106015000</v>
      </c>
      <c r="L25" s="123">
        <v>13164285.714285715</v>
      </c>
      <c r="M25" s="123">
        <v>4168692.0752688162</v>
      </c>
      <c r="N25" s="12">
        <v>123347977.78955451</v>
      </c>
      <c r="O25" s="12">
        <v>-20043102.075268831</v>
      </c>
      <c r="P25" s="13">
        <v>-6.546555309405265E-2</v>
      </c>
      <c r="R25" s="10" t="s">
        <v>106</v>
      </c>
      <c r="S25" t="s">
        <v>24</v>
      </c>
      <c r="T25" s="1"/>
      <c r="U25" s="1"/>
      <c r="V25" s="1"/>
      <c r="Y25" s="27"/>
      <c r="Z25" s="1"/>
      <c r="AB25" s="1"/>
      <c r="AH25" s="26">
        <v>38</v>
      </c>
      <c r="AI25">
        <v>24</v>
      </c>
      <c r="AJ25" s="16">
        <v>6410</v>
      </c>
      <c r="AK25" s="16">
        <v>56260000</v>
      </c>
      <c r="AL25" s="16">
        <v>14627600</v>
      </c>
      <c r="AM25" s="16">
        <v>3575000</v>
      </c>
      <c r="AN25" s="16">
        <v>0</v>
      </c>
      <c r="AO25" s="16">
        <v>18352600</v>
      </c>
      <c r="AP25" s="12">
        <v>13398155</v>
      </c>
      <c r="AQ25" s="313">
        <v>5880000</v>
      </c>
      <c r="AR25" s="123">
        <v>375000</v>
      </c>
      <c r="AS25" s="123">
        <v>425600</v>
      </c>
      <c r="AT25" s="12">
        <v>6680600</v>
      </c>
      <c r="AU25" s="12">
        <v>-1726155</v>
      </c>
      <c r="AV25" s="13">
        <v>-9.405506576724823E-2</v>
      </c>
    </row>
    <row r="26" spans="2:48">
      <c r="B26" s="26">
        <v>12026</v>
      </c>
      <c r="C26">
        <v>23</v>
      </c>
      <c r="D26" s="16">
        <v>4269</v>
      </c>
      <c r="E26" s="16">
        <v>37748000</v>
      </c>
      <c r="F26" s="16">
        <v>9814480</v>
      </c>
      <c r="G26" s="16">
        <v>2028571.4285714286</v>
      </c>
      <c r="H26" s="16">
        <v>0</v>
      </c>
      <c r="I26" s="16">
        <v>11943051.428571429</v>
      </c>
      <c r="J26" s="12">
        <v>8358308.5714285709</v>
      </c>
      <c r="K26" s="313">
        <v>3360000</v>
      </c>
      <c r="L26" s="123">
        <v>514285.71428571426</v>
      </c>
      <c r="M26" s="123">
        <v>163440.86021505372</v>
      </c>
      <c r="N26" s="12">
        <v>4037726.574500768</v>
      </c>
      <c r="O26" s="12">
        <v>-452983.71735790931</v>
      </c>
      <c r="P26" s="13">
        <v>-3.792864160948297E-2</v>
      </c>
      <c r="T26" s="1"/>
      <c r="U26" s="1"/>
      <c r="V26" s="1"/>
      <c r="Y26" s="27"/>
      <c r="Z26" s="1"/>
      <c r="AB26" s="1"/>
      <c r="AH26" s="26">
        <v>37</v>
      </c>
      <c r="AI26">
        <v>24</v>
      </c>
      <c r="AJ26" s="16">
        <v>5991</v>
      </c>
      <c r="AK26" s="16">
        <v>52524000</v>
      </c>
      <c r="AL26" s="16">
        <v>13656240</v>
      </c>
      <c r="AM26" s="16">
        <v>3800000</v>
      </c>
      <c r="AN26" s="16">
        <v>0</v>
      </c>
      <c r="AO26" s="16">
        <v>17556240</v>
      </c>
      <c r="AP26" s="12">
        <v>11402020</v>
      </c>
      <c r="AQ26" s="313">
        <v>5880000</v>
      </c>
      <c r="AR26" s="123">
        <v>375000</v>
      </c>
      <c r="AS26" s="123">
        <v>425600</v>
      </c>
      <c r="AT26" s="12">
        <v>6680600</v>
      </c>
      <c r="AU26" s="12">
        <v>-526380</v>
      </c>
      <c r="AV26" s="13">
        <v>-2.9982501948025316E-2</v>
      </c>
    </row>
    <row r="27" spans="2:48">
      <c r="B27" s="26">
        <v>22026</v>
      </c>
      <c r="C27">
        <v>27</v>
      </c>
      <c r="D27" s="16">
        <v>7382</v>
      </c>
      <c r="E27" s="16">
        <v>65004000</v>
      </c>
      <c r="F27" s="16">
        <v>16901040</v>
      </c>
      <c r="G27" s="16">
        <v>3975000</v>
      </c>
      <c r="H27" s="16">
        <v>0</v>
      </c>
      <c r="I27" s="16">
        <v>21126040</v>
      </c>
      <c r="J27" s="12">
        <v>14858340</v>
      </c>
      <c r="K27" s="313">
        <v>6615000</v>
      </c>
      <c r="L27" s="123">
        <v>900000</v>
      </c>
      <c r="M27" s="123">
        <v>286021.50537634408</v>
      </c>
      <c r="N27" s="12">
        <v>7801021.5053763445</v>
      </c>
      <c r="O27" s="12">
        <v>-1533321.5053763464</v>
      </c>
      <c r="P27" s="13">
        <v>-7.2579693372555695E-2</v>
      </c>
      <c r="R27" s="178" t="s">
        <v>113</v>
      </c>
      <c r="S27" s="176" t="s">
        <v>114</v>
      </c>
      <c r="T27" s="176" t="s">
        <v>116</v>
      </c>
      <c r="U27" s="342" t="s">
        <v>117</v>
      </c>
      <c r="V27" s="342" t="s">
        <v>119</v>
      </c>
      <c r="W27" s="176" t="s">
        <v>118</v>
      </c>
      <c r="X27" s="327" t="s">
        <v>120</v>
      </c>
      <c r="Y27" s="328" t="s">
        <v>121</v>
      </c>
      <c r="Z27" s="342" t="s">
        <v>133</v>
      </c>
      <c r="AA27" s="176" t="s">
        <v>146</v>
      </c>
      <c r="AB27" s="176" t="s">
        <v>147</v>
      </c>
      <c r="AC27" s="328" t="s">
        <v>122</v>
      </c>
      <c r="AD27" s="329" t="s">
        <v>124</v>
      </c>
      <c r="AE27" s="329" t="s">
        <v>125</v>
      </c>
      <c r="AH27" s="26">
        <v>36</v>
      </c>
      <c r="AI27">
        <v>25</v>
      </c>
      <c r="AJ27" s="16">
        <v>7086</v>
      </c>
      <c r="AK27" s="16">
        <v>62068000</v>
      </c>
      <c r="AL27" s="16">
        <v>16137680</v>
      </c>
      <c r="AM27" s="16">
        <v>3875000</v>
      </c>
      <c r="AN27" s="16">
        <v>0</v>
      </c>
      <c r="AO27" s="16">
        <v>20132680</v>
      </c>
      <c r="AP27" s="12">
        <v>13809650</v>
      </c>
      <c r="AQ27" s="313">
        <v>6125000</v>
      </c>
      <c r="AR27" s="123">
        <v>375000</v>
      </c>
      <c r="AS27" s="123">
        <v>425600</v>
      </c>
      <c r="AT27" s="12">
        <v>6925600</v>
      </c>
      <c r="AU27" s="12">
        <v>-602570</v>
      </c>
      <c r="AV27" s="13">
        <v>-2.992994474655138E-2</v>
      </c>
    </row>
    <row r="28" spans="2:48">
      <c r="B28" s="26">
        <v>32026</v>
      </c>
      <c r="C28">
        <v>30</v>
      </c>
      <c r="D28" s="16">
        <v>8023</v>
      </c>
      <c r="E28" s="16">
        <v>70496000</v>
      </c>
      <c r="F28" s="16">
        <v>18328960</v>
      </c>
      <c r="G28" s="16">
        <v>4525000</v>
      </c>
      <c r="H28" s="16">
        <v>0</v>
      </c>
      <c r="I28" s="16">
        <v>23103960</v>
      </c>
      <c r="J28" s="12">
        <v>16518000</v>
      </c>
      <c r="K28" s="313">
        <v>7350000</v>
      </c>
      <c r="L28" s="123">
        <v>900000</v>
      </c>
      <c r="M28" s="123">
        <v>286021.50537634408</v>
      </c>
      <c r="N28" s="12">
        <v>8536021.5053763445</v>
      </c>
      <c r="O28" s="12">
        <v>-1950061.5053763464</v>
      </c>
      <c r="P28" s="13">
        <v>-8.4403777766943258E-2</v>
      </c>
      <c r="R28" s="11" t="s">
        <v>21</v>
      </c>
      <c r="S28" s="16">
        <v>27177</v>
      </c>
      <c r="T28" s="16">
        <v>203144379</v>
      </c>
      <c r="U28" s="16">
        <v>50009653.899999999</v>
      </c>
      <c r="V28" s="16">
        <v>18755000</v>
      </c>
      <c r="W28" s="16">
        <v>0</v>
      </c>
      <c r="X28" s="16">
        <v>68764653.900000006</v>
      </c>
      <c r="Y28" s="12">
        <v>41524780</v>
      </c>
      <c r="Z28" s="313">
        <v>25795000</v>
      </c>
      <c r="AA28" s="123">
        <v>5764285.7142857146</v>
      </c>
      <c r="AB28" s="123">
        <v>0</v>
      </c>
      <c r="AC28" s="12">
        <v>31559285.714285716</v>
      </c>
      <c r="AD28" s="12">
        <v>-4319411.8142857142</v>
      </c>
      <c r="AE28" s="13">
        <v>-6.2814419462754165E-2</v>
      </c>
      <c r="AH28" s="26">
        <v>35</v>
      </c>
      <c r="AI28">
        <v>26</v>
      </c>
      <c r="AJ28" s="16">
        <v>5821</v>
      </c>
      <c r="AK28" s="16">
        <v>50988000</v>
      </c>
      <c r="AL28" s="16">
        <v>13256880</v>
      </c>
      <c r="AM28" s="16">
        <v>3900000</v>
      </c>
      <c r="AN28" s="16">
        <v>0</v>
      </c>
      <c r="AO28" s="16">
        <v>17156880</v>
      </c>
      <c r="AP28" s="12">
        <v>12630605</v>
      </c>
      <c r="AQ28" s="313">
        <v>6370000</v>
      </c>
      <c r="AR28" s="123">
        <v>375000</v>
      </c>
      <c r="AS28" s="123">
        <v>425600</v>
      </c>
      <c r="AT28" s="12">
        <v>7243158.4963635597</v>
      </c>
      <c r="AU28" s="12">
        <v>-2716883.4963635579</v>
      </c>
      <c r="AV28" s="13">
        <v>-0.1583553359563952</v>
      </c>
    </row>
    <row r="29" spans="2:48">
      <c r="B29" s="26">
        <v>42026</v>
      </c>
      <c r="C29">
        <v>34</v>
      </c>
      <c r="D29" s="16">
        <v>6162</v>
      </c>
      <c r="E29" s="16">
        <v>54248000</v>
      </c>
      <c r="F29" s="16">
        <v>14104480</v>
      </c>
      <c r="G29" s="16">
        <v>5050000</v>
      </c>
      <c r="H29" s="16">
        <v>0</v>
      </c>
      <c r="I29" s="16">
        <v>19454480</v>
      </c>
      <c r="J29" s="12">
        <v>14110460</v>
      </c>
      <c r="K29" s="313">
        <v>8330000</v>
      </c>
      <c r="L29" s="123">
        <v>900000</v>
      </c>
      <c r="M29" s="123">
        <v>286021.50537634408</v>
      </c>
      <c r="N29" s="12">
        <v>9516021.5053763445</v>
      </c>
      <c r="O29" s="12">
        <v>-4172001.5053763464</v>
      </c>
      <c r="P29" s="13">
        <v>-0.21444939702198909</v>
      </c>
      <c r="R29" s="26" t="s">
        <v>23</v>
      </c>
      <c r="S29" s="16">
        <v>26731</v>
      </c>
      <c r="T29" s="16">
        <v>198916379</v>
      </c>
      <c r="U29" s="16">
        <v>49586853.899999999</v>
      </c>
      <c r="V29" s="16">
        <v>18755000</v>
      </c>
      <c r="W29" s="16">
        <v>0</v>
      </c>
      <c r="X29" s="16">
        <v>68341853.900000006</v>
      </c>
      <c r="Y29" s="35">
        <v>41524780</v>
      </c>
      <c r="Z29" s="313">
        <v>25795000</v>
      </c>
      <c r="AA29" s="123">
        <v>4164285.7142857146</v>
      </c>
      <c r="AB29" s="123">
        <v>0</v>
      </c>
      <c r="AC29" s="35">
        <v>29959285.714285716</v>
      </c>
      <c r="AD29" s="35">
        <v>-3142211.8142857142</v>
      </c>
      <c r="AE29" s="13">
        <v>-4.5977854491385313E-2</v>
      </c>
      <c r="AH29" s="26">
        <v>34</v>
      </c>
      <c r="AI29">
        <v>24</v>
      </c>
      <c r="AJ29" s="16">
        <v>5951</v>
      </c>
      <c r="AK29" s="16">
        <v>51990000</v>
      </c>
      <c r="AL29" s="16">
        <v>13517400</v>
      </c>
      <c r="AM29" s="16">
        <v>3635000</v>
      </c>
      <c r="AN29" s="16">
        <v>0</v>
      </c>
      <c r="AO29" s="16">
        <v>17152400</v>
      </c>
      <c r="AP29" s="12">
        <v>10820660</v>
      </c>
      <c r="AQ29" s="313">
        <v>5880000</v>
      </c>
      <c r="AR29" s="123">
        <v>450000</v>
      </c>
      <c r="AS29" s="123">
        <v>425600</v>
      </c>
      <c r="AT29" s="12">
        <v>6755600</v>
      </c>
      <c r="AU29" s="12">
        <v>-423860</v>
      </c>
      <c r="AV29" s="13">
        <v>-2.4711410648072574E-2</v>
      </c>
    </row>
    <row r="30" spans="2:48">
      <c r="B30" s="26">
        <v>52026</v>
      </c>
      <c r="C30">
        <v>29</v>
      </c>
      <c r="D30" s="16">
        <v>7076</v>
      </c>
      <c r="E30" s="16">
        <v>62056000</v>
      </c>
      <c r="F30" s="16">
        <v>15817040</v>
      </c>
      <c r="G30" s="16">
        <v>4300000</v>
      </c>
      <c r="H30" s="16">
        <v>0</v>
      </c>
      <c r="I30" s="16">
        <v>20292039.999999996</v>
      </c>
      <c r="J30" s="12">
        <v>14635660</v>
      </c>
      <c r="K30" s="313">
        <v>7105000</v>
      </c>
      <c r="L30" s="123">
        <v>1100000</v>
      </c>
      <c r="M30" s="123">
        <v>290399.38556067582</v>
      </c>
      <c r="N30" s="12">
        <v>8495399.3855606746</v>
      </c>
      <c r="O30" s="12">
        <v>-2839019.3855606797</v>
      </c>
      <c r="P30" s="13">
        <v>-0.1399080321919669</v>
      </c>
      <c r="R30" s="26" t="s">
        <v>202</v>
      </c>
      <c r="S30" s="16">
        <v>446</v>
      </c>
      <c r="T30" s="16">
        <v>4228000</v>
      </c>
      <c r="U30" s="16">
        <v>422800</v>
      </c>
      <c r="V30" s="16">
        <v>0</v>
      </c>
      <c r="W30" s="16">
        <v>0</v>
      </c>
      <c r="X30" s="16">
        <v>422800</v>
      </c>
      <c r="Y30" s="35">
        <v>0</v>
      </c>
      <c r="Z30" s="313">
        <v>0</v>
      </c>
      <c r="AA30" s="123">
        <v>1600000</v>
      </c>
      <c r="AB30" s="123">
        <v>0</v>
      </c>
      <c r="AC30" s="35">
        <v>1600000</v>
      </c>
      <c r="AD30" s="35">
        <v>-1177200</v>
      </c>
      <c r="AE30" s="13">
        <v>-2.7842951750236518</v>
      </c>
      <c r="AH30" s="26">
        <v>33</v>
      </c>
      <c r="AI30">
        <v>21</v>
      </c>
      <c r="AJ30" s="16">
        <v>5809</v>
      </c>
      <c r="AK30" s="16">
        <v>50728000</v>
      </c>
      <c r="AL30" s="16">
        <v>13189280</v>
      </c>
      <c r="AM30" s="16">
        <v>3050000</v>
      </c>
      <c r="AN30" s="16">
        <v>0</v>
      </c>
      <c r="AO30" s="16">
        <v>16239280</v>
      </c>
      <c r="AP30" s="12">
        <v>11037710</v>
      </c>
      <c r="AQ30" s="313">
        <v>5145000</v>
      </c>
      <c r="AR30" s="123">
        <v>450000</v>
      </c>
      <c r="AS30" s="123">
        <v>425600</v>
      </c>
      <c r="AT30" s="12">
        <v>6020600</v>
      </c>
      <c r="AU30" s="12">
        <v>-819030</v>
      </c>
      <c r="AV30" s="13">
        <v>-5.0435117813105015E-2</v>
      </c>
    </row>
    <row r="31" spans="2:48">
      <c r="B31" s="26">
        <v>62026</v>
      </c>
      <c r="C31">
        <v>31</v>
      </c>
      <c r="D31" s="16">
        <v>8276</v>
      </c>
      <c r="E31" s="16">
        <v>72686000</v>
      </c>
      <c r="F31" s="16">
        <v>18898360</v>
      </c>
      <c r="G31" s="16">
        <v>4800000</v>
      </c>
      <c r="H31" s="16">
        <v>0</v>
      </c>
      <c r="I31" s="16">
        <v>23973360</v>
      </c>
      <c r="J31" s="12">
        <v>17304560</v>
      </c>
      <c r="K31" s="313">
        <v>7595000</v>
      </c>
      <c r="L31" s="123">
        <v>900000</v>
      </c>
      <c r="M31" s="123">
        <v>316666.66666666663</v>
      </c>
      <c r="N31" s="12">
        <v>8811666.666666666</v>
      </c>
      <c r="O31" s="12">
        <v>-2142866.6666666642</v>
      </c>
      <c r="P31" s="13">
        <v>-8.9385328826107988E-2</v>
      </c>
      <c r="R31" s="11" t="s">
        <v>158</v>
      </c>
      <c r="S31" s="16">
        <v>18414</v>
      </c>
      <c r="T31" s="16">
        <v>130877900</v>
      </c>
      <c r="U31" s="16">
        <v>32060080.199999999</v>
      </c>
      <c r="V31" s="16">
        <v>14130000</v>
      </c>
      <c r="W31" s="16">
        <v>0</v>
      </c>
      <c r="X31" s="16">
        <v>46190080.200000003</v>
      </c>
      <c r="Y31" s="12">
        <v>27699900</v>
      </c>
      <c r="Z31" s="313">
        <v>18865000</v>
      </c>
      <c r="AA31" s="123">
        <v>2735714.2857142859</v>
      </c>
      <c r="AB31" s="123">
        <v>0</v>
      </c>
      <c r="AC31" s="12">
        <v>21600714.285714287</v>
      </c>
      <c r="AD31" s="12">
        <v>-3110534.0857142853</v>
      </c>
      <c r="AE31" s="13">
        <v>-6.7342036910217035E-2</v>
      </c>
      <c r="AH31" s="26">
        <v>32</v>
      </c>
      <c r="AI31">
        <v>21</v>
      </c>
      <c r="AJ31" s="16">
        <v>5642</v>
      </c>
      <c r="AK31" s="16">
        <v>49392000</v>
      </c>
      <c r="AL31" s="16">
        <v>12841920</v>
      </c>
      <c r="AM31" s="16">
        <v>2850000</v>
      </c>
      <c r="AN31" s="16">
        <v>0</v>
      </c>
      <c r="AO31" s="16">
        <v>15691920</v>
      </c>
      <c r="AP31" s="12">
        <v>10388580</v>
      </c>
      <c r="AQ31" s="313">
        <v>5145000</v>
      </c>
      <c r="AR31" s="123">
        <v>375000</v>
      </c>
      <c r="AS31" s="123">
        <v>425600</v>
      </c>
      <c r="AT31" s="12">
        <v>5945600</v>
      </c>
      <c r="AU31" s="12">
        <v>-642260</v>
      </c>
      <c r="AV31" s="13">
        <v>-4.0929344528904045E-2</v>
      </c>
    </row>
    <row r="32" spans="2:48">
      <c r="B32" s="26">
        <v>72026</v>
      </c>
      <c r="C32">
        <v>29</v>
      </c>
      <c r="D32" s="16">
        <v>7616</v>
      </c>
      <c r="E32" s="16">
        <v>67116000</v>
      </c>
      <c r="F32" s="16">
        <v>17450160</v>
      </c>
      <c r="G32" s="16">
        <v>4550000</v>
      </c>
      <c r="H32" s="16">
        <v>0</v>
      </c>
      <c r="I32" s="16">
        <v>22225160</v>
      </c>
      <c r="J32" s="12">
        <v>14158970</v>
      </c>
      <c r="K32" s="313">
        <v>7105000</v>
      </c>
      <c r="L32" s="123">
        <v>900000</v>
      </c>
      <c r="M32" s="123">
        <v>316666.66666666663</v>
      </c>
      <c r="N32" s="12">
        <v>8321666.666666667</v>
      </c>
      <c r="O32" s="12">
        <v>-255476.66666666791</v>
      </c>
      <c r="P32" s="13">
        <v>-1.1494930370205115E-2</v>
      </c>
      <c r="R32" s="26" t="s">
        <v>23</v>
      </c>
      <c r="S32" s="16">
        <v>18348</v>
      </c>
      <c r="T32" s="16">
        <v>130250900</v>
      </c>
      <c r="U32" s="16">
        <v>31997380.199999999</v>
      </c>
      <c r="V32" s="16">
        <v>14130000</v>
      </c>
      <c r="W32" s="16">
        <v>0</v>
      </c>
      <c r="X32" s="16">
        <v>46127380.200000003</v>
      </c>
      <c r="Y32" s="35">
        <v>27699900</v>
      </c>
      <c r="Z32" s="313">
        <v>18865000</v>
      </c>
      <c r="AA32" s="123">
        <v>2735714.2857142859</v>
      </c>
      <c r="AB32" s="123">
        <v>0</v>
      </c>
      <c r="AC32" s="35">
        <v>21600714.285714287</v>
      </c>
      <c r="AD32" s="35">
        <v>-3173234.0857142853</v>
      </c>
      <c r="AE32" s="13">
        <v>-6.8792853007383345E-2</v>
      </c>
      <c r="AH32" s="26">
        <v>15</v>
      </c>
      <c r="AI32">
        <v>21</v>
      </c>
      <c r="AJ32" s="16">
        <v>5793</v>
      </c>
      <c r="AK32" s="16">
        <v>51112000</v>
      </c>
      <c r="AL32" s="16">
        <v>11755760</v>
      </c>
      <c r="AM32" s="16">
        <v>2178000</v>
      </c>
      <c r="AN32" s="16">
        <v>2605264.4333333336</v>
      </c>
      <c r="AO32" s="16">
        <v>16539024.433333334</v>
      </c>
      <c r="AP32" s="12">
        <v>10118000</v>
      </c>
      <c r="AQ32" s="313">
        <v>4235000</v>
      </c>
      <c r="AR32" s="123">
        <v>0</v>
      </c>
      <c r="AS32" s="123">
        <v>411871</v>
      </c>
      <c r="AT32" s="12">
        <v>4646871</v>
      </c>
      <c r="AU32" s="12">
        <v>1774153.4333333336</v>
      </c>
      <c r="AV32" s="13">
        <v>0.10727074262963432</v>
      </c>
    </row>
    <row r="33" spans="2:48">
      <c r="B33" s="26">
        <v>82026</v>
      </c>
      <c r="C33">
        <v>30</v>
      </c>
      <c r="D33" s="16">
        <v>5682</v>
      </c>
      <c r="E33" s="16">
        <v>50198000</v>
      </c>
      <c r="F33" s="16">
        <v>13051480</v>
      </c>
      <c r="G33" s="16">
        <v>4150000</v>
      </c>
      <c r="H33" s="16">
        <v>0</v>
      </c>
      <c r="I33" s="16">
        <v>17451480</v>
      </c>
      <c r="J33" s="12">
        <v>10784900</v>
      </c>
      <c r="K33" s="313">
        <v>7350000</v>
      </c>
      <c r="L33" s="123">
        <v>900000</v>
      </c>
      <c r="M33" s="123">
        <v>316666.66666666663</v>
      </c>
      <c r="N33" s="12">
        <v>8566666.666666666</v>
      </c>
      <c r="O33" s="12">
        <v>-1900086.6666666642</v>
      </c>
      <c r="P33" s="13">
        <v>-0.10887825368774821</v>
      </c>
      <c r="R33" s="26" t="s">
        <v>202</v>
      </c>
      <c r="S33" s="16">
        <v>66</v>
      </c>
      <c r="T33" s="16">
        <v>627000</v>
      </c>
      <c r="U33" s="16">
        <v>62700</v>
      </c>
      <c r="V33" s="16">
        <v>0</v>
      </c>
      <c r="W33" s="16">
        <v>0</v>
      </c>
      <c r="X33" s="16">
        <v>62700</v>
      </c>
      <c r="Y33" s="35">
        <v>0</v>
      </c>
      <c r="Z33" s="313">
        <v>0</v>
      </c>
      <c r="AA33" s="123">
        <v>0</v>
      </c>
      <c r="AB33" s="123">
        <v>0</v>
      </c>
      <c r="AC33" s="35">
        <v>0</v>
      </c>
      <c r="AD33" s="35">
        <v>62700</v>
      </c>
      <c r="AE33" s="13">
        <v>1</v>
      </c>
      <c r="AH33" s="26">
        <v>16</v>
      </c>
      <c r="AI33">
        <v>21</v>
      </c>
      <c r="AJ33" s="16">
        <v>6367</v>
      </c>
      <c r="AK33" s="16">
        <v>56210000</v>
      </c>
      <c r="AL33" s="16">
        <v>12928300</v>
      </c>
      <c r="AM33" s="16">
        <v>2502000</v>
      </c>
      <c r="AN33" s="16">
        <v>2605264.4333333336</v>
      </c>
      <c r="AO33" s="16">
        <v>18035564.433333334</v>
      </c>
      <c r="AP33" s="12">
        <v>11092000</v>
      </c>
      <c r="AQ33" s="313">
        <v>4865000</v>
      </c>
      <c r="AR33" s="123">
        <v>0</v>
      </c>
      <c r="AS33" s="123">
        <v>411871</v>
      </c>
      <c r="AT33" s="12">
        <v>5276871</v>
      </c>
      <c r="AU33" s="12">
        <v>1666693.4333333336</v>
      </c>
      <c r="AV33" s="13">
        <v>9.2411492830961839E-2</v>
      </c>
    </row>
    <row r="34" spans="2:48">
      <c r="B34" s="26">
        <v>92026</v>
      </c>
      <c r="C34">
        <v>27</v>
      </c>
      <c r="D34" s="16">
        <v>4335</v>
      </c>
      <c r="E34" s="16">
        <v>38474000</v>
      </c>
      <c r="F34" s="16">
        <v>10003240</v>
      </c>
      <c r="G34" s="16">
        <v>3949999.9999999995</v>
      </c>
      <c r="H34" s="16">
        <v>0</v>
      </c>
      <c r="I34" s="16">
        <v>14128240</v>
      </c>
      <c r="J34" s="12">
        <v>7352127.1428571418</v>
      </c>
      <c r="K34" s="313">
        <v>6615000</v>
      </c>
      <c r="L34" s="123">
        <v>899999.99999999988</v>
      </c>
      <c r="M34" s="123">
        <v>312288.78648233478</v>
      </c>
      <c r="N34" s="12">
        <v>7827288.7864823341</v>
      </c>
      <c r="O34" s="12">
        <v>-1051175.9293394764</v>
      </c>
      <c r="P34" s="13">
        <v>-7.4402468342799691E-2</v>
      </c>
      <c r="R34" s="11" t="s">
        <v>159</v>
      </c>
      <c r="S34" s="16">
        <v>14517</v>
      </c>
      <c r="T34" s="16">
        <v>99237580</v>
      </c>
      <c r="U34" s="16">
        <v>23336030.600000001</v>
      </c>
      <c r="V34" s="16">
        <v>9515000</v>
      </c>
      <c r="W34" s="16">
        <v>0</v>
      </c>
      <c r="X34" s="16">
        <v>32851030.600000001</v>
      </c>
      <c r="Y34" s="12">
        <v>20083620</v>
      </c>
      <c r="Z34" s="313">
        <v>12915000</v>
      </c>
      <c r="AA34" s="123">
        <v>2800000</v>
      </c>
      <c r="AB34" s="123">
        <v>0</v>
      </c>
      <c r="AC34" s="12">
        <v>15715000</v>
      </c>
      <c r="AD34" s="12">
        <v>-2947589.4</v>
      </c>
      <c r="AE34" s="13">
        <v>-8.9725933895054108E-2</v>
      </c>
      <c r="AH34" s="26">
        <v>17</v>
      </c>
      <c r="AI34">
        <v>25</v>
      </c>
      <c r="AJ34" s="16">
        <v>7428</v>
      </c>
      <c r="AK34" s="16">
        <v>65582000</v>
      </c>
      <c r="AL34" s="16">
        <v>15083860</v>
      </c>
      <c r="AM34" s="16">
        <v>3498000</v>
      </c>
      <c r="AN34" s="16">
        <v>2605264.4333333336</v>
      </c>
      <c r="AO34" s="16">
        <v>21187124.433333334</v>
      </c>
      <c r="AP34" s="12">
        <v>16672000</v>
      </c>
      <c r="AQ34" s="313">
        <v>5495000</v>
      </c>
      <c r="AR34" s="123">
        <v>0</v>
      </c>
      <c r="AS34" s="123">
        <v>411871</v>
      </c>
      <c r="AT34" s="12">
        <v>5906871</v>
      </c>
      <c r="AU34" s="12">
        <v>-1391746.5666666664</v>
      </c>
      <c r="AV34" s="13">
        <v>-6.5688317970939741E-2</v>
      </c>
    </row>
    <row r="35" spans="2:48">
      <c r="B35" s="26">
        <v>102026</v>
      </c>
      <c r="C35">
        <v>30</v>
      </c>
      <c r="D35" s="16">
        <v>4403</v>
      </c>
      <c r="E35" s="16">
        <v>38970000</v>
      </c>
      <c r="F35" s="16">
        <v>10132200</v>
      </c>
      <c r="G35" s="16">
        <v>4275000</v>
      </c>
      <c r="H35" s="16">
        <v>0</v>
      </c>
      <c r="I35" s="16">
        <v>14732200</v>
      </c>
      <c r="J35" s="12">
        <v>7526145</v>
      </c>
      <c r="K35" s="313">
        <v>7350000</v>
      </c>
      <c r="L35" s="123">
        <v>900000</v>
      </c>
      <c r="M35" s="123">
        <v>286021.50537634408</v>
      </c>
      <c r="N35" s="12">
        <v>8536021.5053763445</v>
      </c>
      <c r="O35" s="12">
        <v>-1329966.5053763445</v>
      </c>
      <c r="P35" s="13">
        <v>-9.0276164142242474E-2</v>
      </c>
      <c r="R35" s="26" t="s">
        <v>23</v>
      </c>
      <c r="S35" s="16">
        <v>14517</v>
      </c>
      <c r="T35" s="16">
        <v>99237580</v>
      </c>
      <c r="U35" s="16">
        <v>23336030.600000001</v>
      </c>
      <c r="V35" s="16">
        <v>9515000</v>
      </c>
      <c r="W35" s="16">
        <v>0</v>
      </c>
      <c r="X35" s="16">
        <v>32851030.600000001</v>
      </c>
      <c r="Y35" s="35">
        <v>20083620</v>
      </c>
      <c r="Z35" s="313">
        <v>12915000</v>
      </c>
      <c r="AA35" s="123">
        <v>2800000</v>
      </c>
      <c r="AB35" s="123">
        <v>0</v>
      </c>
      <c r="AC35" s="35">
        <v>15715000</v>
      </c>
      <c r="AD35" s="35">
        <v>-2947589.4</v>
      </c>
      <c r="AE35" s="13">
        <v>-8.9725933895054108E-2</v>
      </c>
      <c r="AH35" s="26">
        <v>18</v>
      </c>
      <c r="AI35">
        <v>23</v>
      </c>
      <c r="AJ35" s="16">
        <v>9886</v>
      </c>
      <c r="AK35" s="16">
        <v>87409000</v>
      </c>
      <c r="AL35" s="16">
        <v>20104070</v>
      </c>
      <c r="AM35" s="16">
        <v>2952000</v>
      </c>
      <c r="AN35" s="16">
        <v>3180888.4688172042</v>
      </c>
      <c r="AO35" s="16">
        <v>26236958.468817204</v>
      </c>
      <c r="AP35" s="12">
        <v>13976500</v>
      </c>
      <c r="AQ35" s="313">
        <v>5740000</v>
      </c>
      <c r="AR35" s="123">
        <v>0</v>
      </c>
      <c r="AS35" s="123">
        <v>411871</v>
      </c>
      <c r="AT35" s="12">
        <v>6151871</v>
      </c>
      <c r="AU35" s="12">
        <v>6108587.4688172042</v>
      </c>
      <c r="AV35" s="13">
        <v>0.23282376560824686</v>
      </c>
    </row>
    <row r="36" spans="2:48">
      <c r="B36" s="26">
        <v>112026</v>
      </c>
      <c r="C36">
        <v>30</v>
      </c>
      <c r="D36" s="16">
        <v>5314</v>
      </c>
      <c r="E36" s="16">
        <v>47190000</v>
      </c>
      <c r="F36" s="16">
        <v>12269400</v>
      </c>
      <c r="G36" s="16">
        <v>4400000</v>
      </c>
      <c r="H36" s="16">
        <v>0</v>
      </c>
      <c r="I36" s="16">
        <v>17019400</v>
      </c>
      <c r="J36" s="12">
        <v>9838360</v>
      </c>
      <c r="K36" s="313">
        <v>7350000</v>
      </c>
      <c r="L36" s="123">
        <v>900000</v>
      </c>
      <c r="M36" s="123">
        <v>286021.50537634408</v>
      </c>
      <c r="N36" s="12">
        <v>8536021.5053763445</v>
      </c>
      <c r="O36" s="12">
        <v>-1354981.5053763464</v>
      </c>
      <c r="P36" s="13">
        <v>-7.961394087784214E-2</v>
      </c>
      <c r="R36" s="11" t="s">
        <v>160</v>
      </c>
      <c r="S36" s="16">
        <v>8245</v>
      </c>
      <c r="T36" s="16">
        <v>53909020</v>
      </c>
      <c r="U36" s="16">
        <v>13071851.4</v>
      </c>
      <c r="V36" s="16">
        <v>3565000</v>
      </c>
      <c r="W36" s="16">
        <v>0</v>
      </c>
      <c r="X36" s="16">
        <v>16636851.4</v>
      </c>
      <c r="Y36" s="12">
        <v>10801400</v>
      </c>
      <c r="Z36" s="313">
        <v>5040000</v>
      </c>
      <c r="AA36" s="123">
        <v>1000000</v>
      </c>
      <c r="AB36" s="123">
        <v>0</v>
      </c>
      <c r="AC36" s="12">
        <v>6040000</v>
      </c>
      <c r="AD36" s="12">
        <v>-204548.59999999995</v>
      </c>
      <c r="AE36" s="13">
        <v>-1.2294910562223326E-2</v>
      </c>
      <c r="AH36" s="26">
        <v>19</v>
      </c>
      <c r="AI36">
        <v>25</v>
      </c>
      <c r="AJ36" s="16">
        <v>7783</v>
      </c>
      <c r="AK36" s="16">
        <v>68422000</v>
      </c>
      <c r="AL36" s="16">
        <v>15737060</v>
      </c>
      <c r="AM36" s="16">
        <v>2862000</v>
      </c>
      <c r="AN36" s="16">
        <v>2961290.3870967743</v>
      </c>
      <c r="AO36" s="16">
        <v>21560350.387096774</v>
      </c>
      <c r="AP36" s="12">
        <v>13003000</v>
      </c>
      <c r="AQ36" s="313">
        <v>5565000</v>
      </c>
      <c r="AR36" s="123">
        <v>575000</v>
      </c>
      <c r="AS36" s="123">
        <v>411871</v>
      </c>
      <c r="AT36" s="12">
        <v>6551871</v>
      </c>
      <c r="AU36" s="12">
        <v>2005479.3870967738</v>
      </c>
      <c r="AV36" s="13">
        <v>9.3017012761397108E-2</v>
      </c>
    </row>
    <row r="37" spans="2:48">
      <c r="B37" s="26">
        <v>122026</v>
      </c>
      <c r="C37">
        <v>30</v>
      </c>
      <c r="D37" s="16">
        <v>6992</v>
      </c>
      <c r="E37" s="16">
        <v>62418000</v>
      </c>
      <c r="F37" s="16">
        <v>16228680</v>
      </c>
      <c r="G37" s="16">
        <v>4450000</v>
      </c>
      <c r="H37" s="16">
        <v>0</v>
      </c>
      <c r="I37" s="16">
        <v>20953680</v>
      </c>
      <c r="J37" s="12">
        <v>12683575</v>
      </c>
      <c r="K37" s="313">
        <v>7350000</v>
      </c>
      <c r="L37" s="123">
        <v>750000</v>
      </c>
      <c r="M37" s="123">
        <v>286021.50537634408</v>
      </c>
      <c r="N37" s="12">
        <v>8386021.5053763445</v>
      </c>
      <c r="O37" s="12">
        <v>-115916.50537634641</v>
      </c>
      <c r="P37" s="13">
        <v>-5.5320356794771328E-3</v>
      </c>
      <c r="R37" s="26" t="s">
        <v>23</v>
      </c>
      <c r="S37" s="16">
        <v>8245</v>
      </c>
      <c r="T37" s="16">
        <v>53909020</v>
      </c>
      <c r="U37" s="16">
        <v>13071851.4</v>
      </c>
      <c r="V37" s="16">
        <v>3565000</v>
      </c>
      <c r="W37" s="16">
        <v>0</v>
      </c>
      <c r="X37" s="16">
        <v>16636851.4</v>
      </c>
      <c r="Y37" s="35">
        <v>10801400</v>
      </c>
      <c r="Z37" s="313">
        <v>5040000</v>
      </c>
      <c r="AA37" s="123">
        <v>1000000</v>
      </c>
      <c r="AB37" s="123">
        <v>0</v>
      </c>
      <c r="AC37" s="35">
        <v>6040000</v>
      </c>
      <c r="AD37" s="35">
        <v>-204548.59999999995</v>
      </c>
      <c r="AE37" s="13">
        <v>-1.2294910562223326E-2</v>
      </c>
      <c r="AH37" s="26">
        <v>20</v>
      </c>
      <c r="AI37">
        <v>22</v>
      </c>
      <c r="AJ37" s="16">
        <v>6838</v>
      </c>
      <c r="AK37" s="16">
        <v>60105000</v>
      </c>
      <c r="AL37" s="16">
        <v>13824150</v>
      </c>
      <c r="AM37" s="16">
        <v>2610000</v>
      </c>
      <c r="AN37" s="16">
        <v>2961290.3870967743</v>
      </c>
      <c r="AO37" s="16">
        <v>19395440.387096774</v>
      </c>
      <c r="AP37" s="12">
        <v>12035500</v>
      </c>
      <c r="AQ37" s="313">
        <v>5075000</v>
      </c>
      <c r="AR37" s="123">
        <v>300000</v>
      </c>
      <c r="AS37" s="123">
        <v>411871</v>
      </c>
      <c r="AT37" s="12">
        <v>5786871</v>
      </c>
      <c r="AU37" s="12">
        <v>1573069.3870967738</v>
      </c>
      <c r="AV37" s="13">
        <v>8.1105113145215901E-2</v>
      </c>
    </row>
    <row r="38" spans="2:48">
      <c r="B38" s="26">
        <v>132026</v>
      </c>
      <c r="C38">
        <v>31</v>
      </c>
      <c r="D38" s="16">
        <v>10208</v>
      </c>
      <c r="E38" s="16">
        <v>90598000</v>
      </c>
      <c r="F38" s="16">
        <v>23555480</v>
      </c>
      <c r="G38" s="16">
        <v>4500000</v>
      </c>
      <c r="H38" s="16">
        <v>0</v>
      </c>
      <c r="I38" s="16">
        <v>28430480</v>
      </c>
      <c r="J38" s="12">
        <v>19612695</v>
      </c>
      <c r="K38" s="313">
        <v>7595000</v>
      </c>
      <c r="L38" s="123">
        <v>900000</v>
      </c>
      <c r="M38" s="123">
        <v>286021.50537634408</v>
      </c>
      <c r="N38" s="12">
        <v>8781021.5053763445</v>
      </c>
      <c r="O38" s="12">
        <v>36763.494623653591</v>
      </c>
      <c r="P38" s="13">
        <v>1.2931014398509485E-3</v>
      </c>
      <c r="R38" s="11" t="s">
        <v>167</v>
      </c>
      <c r="S38" s="16">
        <v>68353</v>
      </c>
      <c r="T38" s="16">
        <v>487168879</v>
      </c>
      <c r="U38" s="16">
        <v>118477616.09999999</v>
      </c>
      <c r="V38" s="16">
        <v>45965000</v>
      </c>
      <c r="W38" s="16">
        <v>0</v>
      </c>
      <c r="X38" s="16">
        <v>164442616.10000002</v>
      </c>
      <c r="Y38" s="12">
        <v>100109700</v>
      </c>
      <c r="Z38" s="313">
        <v>62615000</v>
      </c>
      <c r="AA38" s="123">
        <v>12300000</v>
      </c>
      <c r="AB38" s="123">
        <v>0</v>
      </c>
      <c r="AC38" s="12">
        <v>74915000</v>
      </c>
      <c r="AD38" s="12">
        <v>-10582083.899999999</v>
      </c>
      <c r="AE38" s="13">
        <v>-6.435122567963085E-2</v>
      </c>
      <c r="AH38" s="26">
        <v>21</v>
      </c>
      <c r="AI38">
        <v>21</v>
      </c>
      <c r="AJ38" s="16">
        <v>6454</v>
      </c>
      <c r="AK38" s="16">
        <v>56899000</v>
      </c>
      <c r="AL38" s="16">
        <v>13086770</v>
      </c>
      <c r="AM38" s="16">
        <v>3198000</v>
      </c>
      <c r="AN38" s="16">
        <v>2961290.3870967743</v>
      </c>
      <c r="AO38" s="16">
        <v>19246060.387096774</v>
      </c>
      <c r="AP38" s="12">
        <v>16304500</v>
      </c>
      <c r="AQ38" s="313">
        <v>5145000</v>
      </c>
      <c r="AR38" s="123">
        <v>450000</v>
      </c>
      <c r="AS38" s="123">
        <v>411870.96774193551</v>
      </c>
      <c r="AT38" s="12">
        <v>6006870.9677419355</v>
      </c>
      <c r="AU38" s="12">
        <v>-3065310.5806451626</v>
      </c>
      <c r="AV38" s="13">
        <v>-0.15926950861591668</v>
      </c>
    </row>
    <row r="39" spans="2:48">
      <c r="B39" s="26">
        <v>142026</v>
      </c>
      <c r="C39">
        <v>31</v>
      </c>
      <c r="D39" s="16">
        <v>9139</v>
      </c>
      <c r="E39" s="16">
        <v>80786000</v>
      </c>
      <c r="F39" s="16">
        <v>21004360</v>
      </c>
      <c r="G39" s="16">
        <v>4600000</v>
      </c>
      <c r="H39" s="16">
        <v>0</v>
      </c>
      <c r="I39" s="16">
        <v>25904360</v>
      </c>
      <c r="J39" s="12">
        <v>17695440</v>
      </c>
      <c r="K39" s="313">
        <v>7595000</v>
      </c>
      <c r="L39" s="123">
        <v>900000</v>
      </c>
      <c r="M39" s="123">
        <v>164391</v>
      </c>
      <c r="N39" s="12">
        <v>8659391</v>
      </c>
      <c r="O39" s="12">
        <v>-450470.99999999907</v>
      </c>
      <c r="P39" s="13">
        <v>-1.7389775311955173E-2</v>
      </c>
      <c r="AH39" s="26">
        <v>22</v>
      </c>
      <c r="AI39">
        <v>22</v>
      </c>
      <c r="AJ39" s="16">
        <v>7382</v>
      </c>
      <c r="AK39" s="16">
        <v>65155000</v>
      </c>
      <c r="AL39" s="16">
        <v>14985650</v>
      </c>
      <c r="AM39" s="16">
        <v>2591999.9999999995</v>
      </c>
      <c r="AN39" s="16">
        <v>2983963.1532258065</v>
      </c>
      <c r="AO39" s="16">
        <v>20561613.153225806</v>
      </c>
      <c r="AP39" s="12">
        <v>13305499.999999998</v>
      </c>
      <c r="AQ39" s="313">
        <v>5040000</v>
      </c>
      <c r="AR39" s="123">
        <v>375000</v>
      </c>
      <c r="AS39" s="123">
        <v>411870.96774193598</v>
      </c>
      <c r="AT39" s="12">
        <v>5826870.9677419364</v>
      </c>
      <c r="AU39" s="12">
        <v>1429242.1854838729</v>
      </c>
      <c r="AV39" s="13">
        <v>6.9510216675759531E-2</v>
      </c>
    </row>
    <row r="40" spans="2:48">
      <c r="B40" s="26">
        <v>152026</v>
      </c>
      <c r="C40">
        <v>30</v>
      </c>
      <c r="D40" s="16">
        <v>9043</v>
      </c>
      <c r="E40" s="16">
        <v>79614000</v>
      </c>
      <c r="F40" s="16">
        <v>20699640</v>
      </c>
      <c r="G40" s="16">
        <v>4425000</v>
      </c>
      <c r="H40" s="16">
        <v>0</v>
      </c>
      <c r="I40" s="16">
        <v>25424640</v>
      </c>
      <c r="J40" s="12">
        <v>17420155</v>
      </c>
      <c r="K40" s="313">
        <v>7350000</v>
      </c>
      <c r="L40" s="123">
        <v>900000</v>
      </c>
      <c r="M40" s="123">
        <v>286021.50537634408</v>
      </c>
      <c r="N40" s="12">
        <v>8536021.5053763445</v>
      </c>
      <c r="O40" s="12">
        <v>-531536.50537634641</v>
      </c>
      <c r="P40" s="13">
        <v>-2.090635326110208E-2</v>
      </c>
      <c r="AH40" s="26">
        <v>23</v>
      </c>
      <c r="AI40">
        <v>23</v>
      </c>
      <c r="AJ40" s="16">
        <v>7686</v>
      </c>
      <c r="AK40" s="16">
        <v>67626000</v>
      </c>
      <c r="AL40" s="16">
        <v>15553980</v>
      </c>
      <c r="AM40" s="16">
        <v>2844000</v>
      </c>
      <c r="AN40" s="16">
        <v>3119999.75</v>
      </c>
      <c r="AO40" s="16">
        <v>21517979.75</v>
      </c>
      <c r="AP40" s="12">
        <v>13010000</v>
      </c>
      <c r="AQ40" s="313">
        <v>5530000</v>
      </c>
      <c r="AR40" s="123">
        <v>225000</v>
      </c>
      <c r="AS40" s="123">
        <v>411870.96774193551</v>
      </c>
      <c r="AT40" s="12">
        <v>6166870.9677419355</v>
      </c>
      <c r="AU40" s="12">
        <v>2341108.7822580636</v>
      </c>
      <c r="AV40" s="13">
        <v>0.1087977965151707</v>
      </c>
    </row>
    <row r="41" spans="2:48">
      <c r="B41" s="278" t="s">
        <v>23</v>
      </c>
      <c r="C41">
        <v>30</v>
      </c>
      <c r="D41" s="16">
        <v>9043</v>
      </c>
      <c r="E41" s="16">
        <v>79614000</v>
      </c>
      <c r="F41" s="16">
        <v>20699640</v>
      </c>
      <c r="G41" s="16">
        <v>4425000</v>
      </c>
      <c r="H41" s="16">
        <v>0</v>
      </c>
      <c r="I41" s="16">
        <v>25424640</v>
      </c>
      <c r="J41" s="35">
        <v>17420155</v>
      </c>
      <c r="K41" s="313">
        <v>7350000</v>
      </c>
      <c r="L41" s="123">
        <v>900000</v>
      </c>
      <c r="M41" s="123">
        <v>286021.50537634408</v>
      </c>
      <c r="N41" s="35">
        <v>8536021.5053763445</v>
      </c>
      <c r="O41" s="35">
        <v>-531536.50537634641</v>
      </c>
      <c r="P41" s="13">
        <v>-2.090635326110208E-2</v>
      </c>
      <c r="AH41" s="26">
        <v>24</v>
      </c>
      <c r="AI41">
        <v>23</v>
      </c>
      <c r="AJ41" s="16">
        <v>8082</v>
      </c>
      <c r="AK41" s="16">
        <v>70808000</v>
      </c>
      <c r="AL41" s="16">
        <v>18410080</v>
      </c>
      <c r="AM41" s="16">
        <v>4025000</v>
      </c>
      <c r="AN41" s="16">
        <v>0</v>
      </c>
      <c r="AO41" s="16">
        <v>22435080</v>
      </c>
      <c r="AP41" s="12">
        <v>14788954</v>
      </c>
      <c r="AQ41" s="313">
        <v>5635000</v>
      </c>
      <c r="AR41" s="123">
        <v>450000</v>
      </c>
      <c r="AS41" s="123">
        <v>411870.96774193551</v>
      </c>
      <c r="AT41" s="12">
        <v>6496870.9677419355</v>
      </c>
      <c r="AU41" s="12">
        <v>1149255.0322580636</v>
      </c>
      <c r="AV41" s="13">
        <v>5.1225804956258836E-2</v>
      </c>
    </row>
    <row r="42" spans="2:48">
      <c r="B42" s="11" t="s">
        <v>205</v>
      </c>
      <c r="C42">
        <v>11</v>
      </c>
      <c r="D42" s="16">
        <v>20219</v>
      </c>
      <c r="E42" s="16">
        <v>41136859</v>
      </c>
      <c r="F42" s="16">
        <v>3286090.9</v>
      </c>
      <c r="G42" s="16">
        <v>0</v>
      </c>
      <c r="H42" s="16">
        <v>0</v>
      </c>
      <c r="I42" s="16">
        <v>3286090.9</v>
      </c>
      <c r="J42" s="12">
        <v>0</v>
      </c>
      <c r="K42" s="313">
        <v>0</v>
      </c>
      <c r="L42" s="123">
        <v>4000000</v>
      </c>
      <c r="M42" s="123">
        <v>0</v>
      </c>
      <c r="N42" s="12">
        <v>4000000</v>
      </c>
      <c r="O42" s="12">
        <v>-713909.09999999986</v>
      </c>
      <c r="P42" s="13">
        <v>-0.21725178083174751</v>
      </c>
      <c r="AH42" s="26">
        <v>25</v>
      </c>
      <c r="AI42">
        <v>22</v>
      </c>
      <c r="AJ42" s="16">
        <v>6354</v>
      </c>
      <c r="AK42" s="16">
        <v>56013000</v>
      </c>
      <c r="AL42" s="16">
        <v>14563380</v>
      </c>
      <c r="AM42" s="16">
        <v>2700000</v>
      </c>
      <c r="AN42" s="16">
        <v>0</v>
      </c>
      <c r="AO42" s="16">
        <v>17263380</v>
      </c>
      <c r="AP42" s="12">
        <v>11406490</v>
      </c>
      <c r="AQ42" s="313">
        <v>5390000</v>
      </c>
      <c r="AR42" s="123">
        <v>0</v>
      </c>
      <c r="AS42" s="123">
        <v>425600</v>
      </c>
      <c r="AT42" s="12">
        <v>5815600</v>
      </c>
      <c r="AU42" s="12">
        <v>41290</v>
      </c>
      <c r="AV42" s="13">
        <v>2.3917680083506243E-3</v>
      </c>
    </row>
    <row r="43" spans="2:48">
      <c r="B43" s="26">
        <v>12026</v>
      </c>
      <c r="C43">
        <v>5</v>
      </c>
      <c r="D43" s="16">
        <v>654</v>
      </c>
      <c r="E43" s="16">
        <v>1196900</v>
      </c>
      <c r="F43" s="16">
        <v>119690</v>
      </c>
      <c r="G43" s="16">
        <v>0</v>
      </c>
      <c r="H43" s="16">
        <v>0</v>
      </c>
      <c r="I43" s="16">
        <v>119690</v>
      </c>
      <c r="J43" s="12">
        <v>0</v>
      </c>
      <c r="K43" s="313">
        <v>0</v>
      </c>
      <c r="L43" s="123">
        <v>100000</v>
      </c>
      <c r="M43" s="123">
        <v>0</v>
      </c>
      <c r="N43" s="12">
        <v>100000</v>
      </c>
      <c r="O43" s="12">
        <v>19690</v>
      </c>
      <c r="P43" s="13">
        <v>0.16450831314228423</v>
      </c>
      <c r="AH43" s="26">
        <v>26</v>
      </c>
      <c r="AI43">
        <v>20</v>
      </c>
      <c r="AJ43" s="16">
        <v>6188</v>
      </c>
      <c r="AK43" s="16">
        <v>54026000</v>
      </c>
      <c r="AL43" s="16">
        <v>14046760</v>
      </c>
      <c r="AM43" s="16">
        <v>2975000</v>
      </c>
      <c r="AN43" s="16">
        <v>0</v>
      </c>
      <c r="AO43" s="16">
        <v>17021760</v>
      </c>
      <c r="AP43" s="12">
        <v>14117800</v>
      </c>
      <c r="AQ43" s="313">
        <v>4900000</v>
      </c>
      <c r="AR43" s="123">
        <v>375000</v>
      </c>
      <c r="AS43" s="123">
        <v>425600</v>
      </c>
      <c r="AT43" s="12">
        <v>5700600</v>
      </c>
      <c r="AU43" s="12">
        <v>-2796640</v>
      </c>
      <c r="AV43" s="13">
        <v>-0.16429793393867614</v>
      </c>
    </row>
    <row r="44" spans="2:48">
      <c r="B44" s="26">
        <v>22026</v>
      </c>
      <c r="C44">
        <v>9</v>
      </c>
      <c r="D44" s="16">
        <v>1535</v>
      </c>
      <c r="E44" s="16">
        <v>2898320</v>
      </c>
      <c r="F44" s="16">
        <v>289832</v>
      </c>
      <c r="G44" s="16">
        <v>0</v>
      </c>
      <c r="H44" s="16">
        <v>0</v>
      </c>
      <c r="I44" s="16">
        <v>289832</v>
      </c>
      <c r="J44" s="12">
        <v>0</v>
      </c>
      <c r="K44" s="313">
        <v>0</v>
      </c>
      <c r="L44" s="123">
        <v>175000</v>
      </c>
      <c r="M44" s="123">
        <v>0</v>
      </c>
      <c r="N44" s="12">
        <v>175000</v>
      </c>
      <c r="O44" s="12">
        <v>114832</v>
      </c>
      <c r="P44" s="13">
        <v>0.39620193767423889</v>
      </c>
      <c r="AH44" s="26">
        <v>27</v>
      </c>
      <c r="AI44">
        <v>20</v>
      </c>
      <c r="AJ44" s="16">
        <v>5188</v>
      </c>
      <c r="AK44" s="16">
        <v>45648000</v>
      </c>
      <c r="AL44" s="16">
        <v>11868480</v>
      </c>
      <c r="AM44" s="16">
        <v>2924999.9999999995</v>
      </c>
      <c r="AN44" s="16">
        <v>0</v>
      </c>
      <c r="AO44" s="16">
        <v>14793480</v>
      </c>
      <c r="AP44" s="12">
        <v>9335600</v>
      </c>
      <c r="AQ44" s="313">
        <v>4900000</v>
      </c>
      <c r="AR44" s="123">
        <v>150000</v>
      </c>
      <c r="AS44" s="123">
        <v>425600</v>
      </c>
      <c r="AT44" s="12">
        <v>5475600</v>
      </c>
      <c r="AU44" s="12">
        <v>-17719.999999998603</v>
      </c>
      <c r="AV44" s="13">
        <v>-1.1978249877647859E-3</v>
      </c>
    </row>
    <row r="45" spans="2:48">
      <c r="B45" s="26">
        <v>32026</v>
      </c>
      <c r="C45">
        <v>8</v>
      </c>
      <c r="D45" s="16">
        <v>1542</v>
      </c>
      <c r="E45" s="16">
        <v>3060320</v>
      </c>
      <c r="F45" s="16">
        <v>306032</v>
      </c>
      <c r="G45" s="16">
        <v>0</v>
      </c>
      <c r="H45" s="16">
        <v>0</v>
      </c>
      <c r="I45" s="16">
        <v>306032</v>
      </c>
      <c r="J45" s="12">
        <v>0</v>
      </c>
      <c r="K45" s="313">
        <v>0</v>
      </c>
      <c r="L45" s="123">
        <v>175000</v>
      </c>
      <c r="M45" s="123">
        <v>0</v>
      </c>
      <c r="N45" s="12">
        <v>175000</v>
      </c>
      <c r="O45" s="12">
        <v>131032</v>
      </c>
      <c r="P45" s="13">
        <v>0.42816437496732368</v>
      </c>
      <c r="AH45" s="26">
        <v>28</v>
      </c>
      <c r="AI45">
        <v>19</v>
      </c>
      <c r="AJ45" s="16">
        <v>6268</v>
      </c>
      <c r="AK45" s="16">
        <v>55138000</v>
      </c>
      <c r="AL45" s="16">
        <v>14335880</v>
      </c>
      <c r="AM45" s="16">
        <v>2850000</v>
      </c>
      <c r="AN45" s="16">
        <v>0</v>
      </c>
      <c r="AO45" s="16">
        <v>17185880</v>
      </c>
      <c r="AP45" s="12">
        <v>11479085</v>
      </c>
      <c r="AQ45" s="313">
        <v>4655000</v>
      </c>
      <c r="AR45" s="123">
        <v>150000</v>
      </c>
      <c r="AS45" s="123">
        <v>425600</v>
      </c>
      <c r="AT45" s="12">
        <v>5230600</v>
      </c>
      <c r="AU45" s="12">
        <v>476195</v>
      </c>
      <c r="AV45" s="13">
        <v>2.7708502561405061E-2</v>
      </c>
    </row>
    <row r="46" spans="2:48">
      <c r="B46" s="26">
        <v>42026</v>
      </c>
      <c r="C46">
        <v>11</v>
      </c>
      <c r="D46" s="16">
        <v>1594</v>
      </c>
      <c r="E46" s="16">
        <v>3044800</v>
      </c>
      <c r="F46" s="16">
        <v>213136.00000000003</v>
      </c>
      <c r="G46" s="16">
        <v>0</v>
      </c>
      <c r="H46" s="16">
        <v>0</v>
      </c>
      <c r="I46" s="16">
        <v>213136.00000000003</v>
      </c>
      <c r="J46" s="12">
        <v>0</v>
      </c>
      <c r="K46" s="313">
        <v>0</v>
      </c>
      <c r="L46" s="123">
        <v>175000</v>
      </c>
      <c r="M46" s="123">
        <v>0</v>
      </c>
      <c r="N46" s="12">
        <v>175000</v>
      </c>
      <c r="O46" s="12">
        <v>38136.000000000029</v>
      </c>
      <c r="P46" s="13">
        <v>0.17892800840777731</v>
      </c>
      <c r="AH46" s="26">
        <v>29</v>
      </c>
      <c r="AI46">
        <v>21</v>
      </c>
      <c r="AJ46" s="16">
        <v>6688</v>
      </c>
      <c r="AK46" s="16">
        <v>58632000</v>
      </c>
      <c r="AL46" s="16">
        <v>15244320</v>
      </c>
      <c r="AM46" s="16">
        <v>3025000</v>
      </c>
      <c r="AN46" s="16">
        <v>0</v>
      </c>
      <c r="AO46" s="16">
        <v>18269320</v>
      </c>
      <c r="AP46" s="12">
        <v>12290105</v>
      </c>
      <c r="AQ46" s="313">
        <v>5145000</v>
      </c>
      <c r="AR46" s="123">
        <v>450000</v>
      </c>
      <c r="AS46" s="123">
        <v>425600</v>
      </c>
      <c r="AT46" s="12">
        <v>6020600</v>
      </c>
      <c r="AU46" s="12">
        <v>-41385</v>
      </c>
      <c r="AV46" s="13">
        <v>-2.265273146455369E-3</v>
      </c>
    </row>
    <row r="47" spans="2:48">
      <c r="B47" s="26">
        <v>52026</v>
      </c>
      <c r="C47">
        <v>9</v>
      </c>
      <c r="D47" s="16">
        <v>1902</v>
      </c>
      <c r="E47" s="16">
        <v>3135099</v>
      </c>
      <c r="F47" s="16">
        <v>313509.90000000002</v>
      </c>
      <c r="G47" s="16">
        <v>0</v>
      </c>
      <c r="H47" s="16">
        <v>0</v>
      </c>
      <c r="I47" s="16">
        <v>313509.90000000002</v>
      </c>
      <c r="J47" s="12">
        <v>0</v>
      </c>
      <c r="K47" s="313">
        <v>0</v>
      </c>
      <c r="L47" s="123">
        <v>175000</v>
      </c>
      <c r="M47" s="123">
        <v>0</v>
      </c>
      <c r="N47" s="12">
        <v>175000</v>
      </c>
      <c r="O47" s="12">
        <v>138509.90000000002</v>
      </c>
      <c r="P47" s="13">
        <v>0.44180391113645856</v>
      </c>
      <c r="AH47" s="26">
        <v>30</v>
      </c>
      <c r="AI47">
        <v>23</v>
      </c>
      <c r="AJ47" s="16">
        <v>6385</v>
      </c>
      <c r="AK47" s="16">
        <v>55938000</v>
      </c>
      <c r="AL47" s="16">
        <v>14543880</v>
      </c>
      <c r="AM47" s="16">
        <v>3325000</v>
      </c>
      <c r="AN47" s="16">
        <v>0</v>
      </c>
      <c r="AO47" s="16">
        <v>17868880</v>
      </c>
      <c r="AP47" s="12">
        <v>12411790</v>
      </c>
      <c r="AQ47" s="313">
        <v>5635000</v>
      </c>
      <c r="AR47" s="123">
        <v>375000</v>
      </c>
      <c r="AS47" s="123">
        <v>292006</v>
      </c>
      <c r="AT47" s="12">
        <v>6302006</v>
      </c>
      <c r="AU47" s="12">
        <v>-844916</v>
      </c>
      <c r="AV47" s="13">
        <v>-4.7284217029830634E-2</v>
      </c>
    </row>
    <row r="48" spans="2:48">
      <c r="B48" s="26">
        <v>62026</v>
      </c>
      <c r="C48">
        <v>9</v>
      </c>
      <c r="D48" s="16">
        <v>1852</v>
      </c>
      <c r="E48" s="16">
        <v>3259720</v>
      </c>
      <c r="F48" s="16">
        <v>325972</v>
      </c>
      <c r="G48" s="16">
        <v>0</v>
      </c>
      <c r="H48" s="16">
        <v>0</v>
      </c>
      <c r="I48" s="16">
        <v>325972</v>
      </c>
      <c r="J48" s="12">
        <v>0</v>
      </c>
      <c r="K48" s="313">
        <v>0</v>
      </c>
      <c r="L48" s="123">
        <v>300000</v>
      </c>
      <c r="M48" s="123">
        <v>0</v>
      </c>
      <c r="N48" s="12">
        <v>300000</v>
      </c>
      <c r="O48" s="12">
        <v>25972</v>
      </c>
      <c r="P48" s="13">
        <v>7.9675554955640368E-2</v>
      </c>
      <c r="AH48" s="26">
        <v>31</v>
      </c>
      <c r="AI48">
        <v>22</v>
      </c>
      <c r="AJ48" s="16">
        <v>5655</v>
      </c>
      <c r="AK48" s="16">
        <v>49506000</v>
      </c>
      <c r="AL48" s="16">
        <v>12871560</v>
      </c>
      <c r="AM48" s="16">
        <v>3125000</v>
      </c>
      <c r="AN48" s="16">
        <v>0</v>
      </c>
      <c r="AO48" s="16">
        <v>15996560</v>
      </c>
      <c r="AP48" s="12">
        <v>10569405</v>
      </c>
      <c r="AQ48" s="313">
        <v>5390000</v>
      </c>
      <c r="AR48" s="123">
        <v>525000</v>
      </c>
      <c r="AS48" s="123">
        <v>0</v>
      </c>
      <c r="AT48" s="12">
        <v>6340600</v>
      </c>
      <c r="AU48" s="12">
        <v>-913444.99999999907</v>
      </c>
      <c r="AV48" s="13">
        <v>-5.7102589556754645E-2</v>
      </c>
    </row>
    <row r="49" spans="2:48">
      <c r="B49" s="26">
        <v>72026</v>
      </c>
      <c r="C49">
        <v>9</v>
      </c>
      <c r="D49" s="16">
        <v>1469</v>
      </c>
      <c r="E49" s="16">
        <v>2650700</v>
      </c>
      <c r="F49" s="16">
        <v>185549.00000000003</v>
      </c>
      <c r="G49" s="16">
        <v>0</v>
      </c>
      <c r="H49" s="16">
        <v>0</v>
      </c>
      <c r="I49" s="16">
        <v>185549.00000000003</v>
      </c>
      <c r="J49" s="12">
        <v>0</v>
      </c>
      <c r="K49" s="313">
        <v>0</v>
      </c>
      <c r="L49" s="123">
        <v>350000</v>
      </c>
      <c r="M49" s="123">
        <v>0</v>
      </c>
      <c r="N49" s="12">
        <v>350000</v>
      </c>
      <c r="O49" s="12">
        <v>-164450.99999999997</v>
      </c>
      <c r="P49" s="13">
        <v>-0.88629418644131708</v>
      </c>
      <c r="AH49" s="26" t="s">
        <v>181</v>
      </c>
      <c r="AI49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2">
        <v>0</v>
      </c>
      <c r="AQ49" s="313">
        <v>0</v>
      </c>
      <c r="AR49" s="123">
        <v>0</v>
      </c>
      <c r="AS49" s="123">
        <v>0</v>
      </c>
      <c r="AT49" s="12">
        <v>0</v>
      </c>
      <c r="AU49" s="12">
        <v>0</v>
      </c>
      <c r="AV49" s="13">
        <v>0</v>
      </c>
    </row>
    <row r="50" spans="2:48">
      <c r="B50" s="26">
        <v>82026</v>
      </c>
      <c r="C50">
        <v>9</v>
      </c>
      <c r="D50" s="16">
        <v>1195</v>
      </c>
      <c r="E50" s="16">
        <v>2492400</v>
      </c>
      <c r="F50" s="16">
        <v>174468.00000000003</v>
      </c>
      <c r="G50" s="16">
        <v>0</v>
      </c>
      <c r="H50" s="16">
        <v>0</v>
      </c>
      <c r="I50" s="16">
        <v>174468.00000000003</v>
      </c>
      <c r="J50" s="12">
        <v>0</v>
      </c>
      <c r="K50" s="313">
        <v>0</v>
      </c>
      <c r="L50" s="123">
        <v>350000</v>
      </c>
      <c r="M50" s="123">
        <v>0</v>
      </c>
      <c r="N50" s="12">
        <v>350000</v>
      </c>
      <c r="O50" s="12">
        <v>-175531.99999999997</v>
      </c>
      <c r="P50" s="13">
        <v>-1.0060985395602629</v>
      </c>
      <c r="AH50" s="278" t="s">
        <v>178</v>
      </c>
      <c r="AI50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35">
        <v>0</v>
      </c>
      <c r="AQ50" s="313">
        <v>0</v>
      </c>
      <c r="AR50" s="123">
        <v>0</v>
      </c>
      <c r="AS50" s="123">
        <v>0</v>
      </c>
      <c r="AT50" s="35">
        <v>0</v>
      </c>
      <c r="AU50" s="35">
        <v>0</v>
      </c>
      <c r="AV50" s="13">
        <v>0</v>
      </c>
    </row>
    <row r="51" spans="2:48">
      <c r="B51" s="26">
        <v>92026</v>
      </c>
      <c r="C51">
        <v>8</v>
      </c>
      <c r="D51" s="16">
        <v>564</v>
      </c>
      <c r="E51" s="16">
        <v>1800000</v>
      </c>
      <c r="F51" s="16">
        <v>126000.00000000001</v>
      </c>
      <c r="G51" s="16">
        <v>0</v>
      </c>
      <c r="H51" s="16">
        <v>0</v>
      </c>
      <c r="I51" s="16">
        <v>126000.00000000001</v>
      </c>
      <c r="J51" s="12">
        <v>0</v>
      </c>
      <c r="K51" s="313">
        <v>0</v>
      </c>
      <c r="L51" s="123">
        <v>350000</v>
      </c>
      <c r="M51" s="123">
        <v>0</v>
      </c>
      <c r="N51" s="12">
        <v>350000</v>
      </c>
      <c r="O51" s="12">
        <v>-224000</v>
      </c>
      <c r="P51" s="13">
        <v>-1.7777777777777777</v>
      </c>
      <c r="AH51" s="278" t="s">
        <v>196</v>
      </c>
      <c r="AI51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35">
        <v>0</v>
      </c>
      <c r="AQ51" s="313">
        <v>0</v>
      </c>
      <c r="AR51" s="123">
        <v>0</v>
      </c>
      <c r="AS51" s="123">
        <v>0</v>
      </c>
      <c r="AT51" s="35">
        <v>0</v>
      </c>
      <c r="AU51" s="35">
        <v>0</v>
      </c>
      <c r="AV51" s="13">
        <v>0</v>
      </c>
    </row>
    <row r="52" spans="2:48">
      <c r="B52" s="26">
        <v>102026</v>
      </c>
      <c r="C52">
        <v>9</v>
      </c>
      <c r="D52" s="16">
        <v>880</v>
      </c>
      <c r="E52" s="16">
        <v>2580880</v>
      </c>
      <c r="F52" s="16">
        <v>180661.6</v>
      </c>
      <c r="G52" s="16">
        <v>0</v>
      </c>
      <c r="H52" s="16">
        <v>0</v>
      </c>
      <c r="I52" s="16">
        <v>180661.6</v>
      </c>
      <c r="J52" s="12">
        <v>0</v>
      </c>
      <c r="K52" s="313">
        <v>0</v>
      </c>
      <c r="L52" s="123">
        <v>350000</v>
      </c>
      <c r="M52" s="123">
        <v>0</v>
      </c>
      <c r="N52" s="12">
        <v>350000</v>
      </c>
      <c r="O52" s="12">
        <v>-169338.4</v>
      </c>
      <c r="P52" s="13">
        <v>-0.93732370354297756</v>
      </c>
      <c r="AH52" s="278" t="s">
        <v>170</v>
      </c>
      <c r="AI52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35">
        <v>0</v>
      </c>
      <c r="AQ52" s="313">
        <v>0</v>
      </c>
      <c r="AR52" s="123">
        <v>0</v>
      </c>
      <c r="AS52" s="123">
        <v>0</v>
      </c>
      <c r="AT52" s="35">
        <v>0</v>
      </c>
      <c r="AU52" s="35">
        <v>0</v>
      </c>
      <c r="AV52" s="13">
        <v>0</v>
      </c>
    </row>
    <row r="53" spans="2:48">
      <c r="B53" s="26">
        <v>112026</v>
      </c>
      <c r="C53">
        <v>8</v>
      </c>
      <c r="D53" s="16">
        <v>953</v>
      </c>
      <c r="E53" s="16">
        <v>2599200</v>
      </c>
      <c r="F53" s="16">
        <v>181944.00000000003</v>
      </c>
      <c r="G53" s="16">
        <v>0</v>
      </c>
      <c r="H53" s="16">
        <v>0</v>
      </c>
      <c r="I53" s="16">
        <v>181944.00000000003</v>
      </c>
      <c r="J53" s="12">
        <v>0</v>
      </c>
      <c r="K53" s="313">
        <v>0</v>
      </c>
      <c r="L53" s="123">
        <v>350000</v>
      </c>
      <c r="M53" s="123">
        <v>0</v>
      </c>
      <c r="N53" s="12">
        <v>350000</v>
      </c>
      <c r="O53" s="12">
        <v>-168055.99999999997</v>
      </c>
      <c r="P53" s="13">
        <v>-0.92366882117574611</v>
      </c>
      <c r="AH53" s="278" t="s">
        <v>27</v>
      </c>
      <c r="AI53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35">
        <v>0</v>
      </c>
      <c r="AQ53" s="313">
        <v>0</v>
      </c>
      <c r="AR53" s="123">
        <v>0</v>
      </c>
      <c r="AS53" s="123">
        <v>0</v>
      </c>
      <c r="AT53" s="35">
        <v>0</v>
      </c>
      <c r="AU53" s="35">
        <v>0</v>
      </c>
      <c r="AV53" s="13">
        <v>0</v>
      </c>
    </row>
    <row r="54" spans="2:48">
      <c r="B54" s="26">
        <v>122026</v>
      </c>
      <c r="C54">
        <v>11</v>
      </c>
      <c r="D54" s="16">
        <v>1567</v>
      </c>
      <c r="E54" s="16">
        <v>4244120</v>
      </c>
      <c r="F54" s="16">
        <v>297088.40000000002</v>
      </c>
      <c r="G54" s="16">
        <v>0</v>
      </c>
      <c r="H54" s="16">
        <v>0</v>
      </c>
      <c r="I54" s="16">
        <v>297088.40000000002</v>
      </c>
      <c r="J54" s="12">
        <v>0</v>
      </c>
      <c r="K54" s="313">
        <v>0</v>
      </c>
      <c r="L54" s="123">
        <v>200000</v>
      </c>
      <c r="M54" s="123">
        <v>0</v>
      </c>
      <c r="N54" s="12">
        <v>200000</v>
      </c>
      <c r="O54" s="12">
        <v>97088.400000000023</v>
      </c>
      <c r="P54" s="13">
        <v>0.32679970002194636</v>
      </c>
      <c r="AH54" s="278" t="s">
        <v>203</v>
      </c>
      <c r="AI54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35">
        <v>0</v>
      </c>
      <c r="AQ54" s="313">
        <v>0</v>
      </c>
      <c r="AR54" s="123">
        <v>0</v>
      </c>
      <c r="AS54" s="123">
        <v>0</v>
      </c>
      <c r="AT54" s="35">
        <v>0</v>
      </c>
      <c r="AU54" s="35">
        <v>0</v>
      </c>
      <c r="AV54" s="13">
        <v>0</v>
      </c>
    </row>
    <row r="55" spans="2:48">
      <c r="B55" s="26">
        <v>132026</v>
      </c>
      <c r="C55">
        <v>6</v>
      </c>
      <c r="D55" s="16">
        <v>1142</v>
      </c>
      <c r="E55" s="16">
        <v>2228360</v>
      </c>
      <c r="F55" s="16">
        <v>155985.20000000001</v>
      </c>
      <c r="G55" s="16">
        <v>0</v>
      </c>
      <c r="H55" s="16">
        <v>0</v>
      </c>
      <c r="I55" s="16">
        <v>155985.20000000001</v>
      </c>
      <c r="J55" s="12">
        <v>0</v>
      </c>
      <c r="K55" s="313">
        <v>0</v>
      </c>
      <c r="L55" s="123">
        <v>350000</v>
      </c>
      <c r="M55" s="123">
        <v>0</v>
      </c>
      <c r="N55" s="12">
        <v>350000</v>
      </c>
      <c r="O55" s="12">
        <v>-194014.8</v>
      </c>
      <c r="P55" s="13">
        <v>-1.2438026171713725</v>
      </c>
      <c r="AH55" s="278" t="s">
        <v>33</v>
      </c>
      <c r="AI55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35">
        <v>0</v>
      </c>
      <c r="AQ55" s="313">
        <v>0</v>
      </c>
      <c r="AR55" s="123">
        <v>0</v>
      </c>
      <c r="AS55" s="123">
        <v>0</v>
      </c>
      <c r="AT55" s="35">
        <v>0</v>
      </c>
      <c r="AU55" s="35">
        <v>0</v>
      </c>
      <c r="AV55" s="13">
        <v>0</v>
      </c>
    </row>
    <row r="56" spans="2:48">
      <c r="B56" s="26">
        <v>142026</v>
      </c>
      <c r="C56">
        <v>9</v>
      </c>
      <c r="D56" s="16">
        <v>1980</v>
      </c>
      <c r="E56" s="16">
        <v>3544440</v>
      </c>
      <c r="F56" s="16">
        <v>248110.80000000005</v>
      </c>
      <c r="G56" s="16">
        <v>0</v>
      </c>
      <c r="H56" s="16">
        <v>0</v>
      </c>
      <c r="I56" s="16">
        <v>248110.80000000005</v>
      </c>
      <c r="J56" s="12">
        <v>0</v>
      </c>
      <c r="K56" s="313">
        <v>0</v>
      </c>
      <c r="L56" s="123">
        <v>250000</v>
      </c>
      <c r="M56" s="123">
        <v>0</v>
      </c>
      <c r="N56" s="12">
        <v>250000</v>
      </c>
      <c r="O56" s="12">
        <v>-1889.199999999968</v>
      </c>
      <c r="P56" s="13">
        <v>-7.6143400448507991E-3</v>
      </c>
      <c r="AH56" s="278" t="s">
        <v>204</v>
      </c>
      <c r="AI5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35">
        <v>0</v>
      </c>
      <c r="AQ56" s="313">
        <v>0</v>
      </c>
      <c r="AR56" s="123">
        <v>0</v>
      </c>
      <c r="AS56" s="123">
        <v>0</v>
      </c>
      <c r="AT56" s="35">
        <v>0</v>
      </c>
      <c r="AU56" s="35">
        <v>0</v>
      </c>
      <c r="AV56" s="13">
        <v>0</v>
      </c>
    </row>
    <row r="57" spans="2:48">
      <c r="B57" s="26">
        <v>152026</v>
      </c>
      <c r="C57">
        <v>9</v>
      </c>
      <c r="D57" s="16">
        <v>1390</v>
      </c>
      <c r="E57" s="16">
        <v>2401600</v>
      </c>
      <c r="F57" s="16">
        <v>168112.00000000003</v>
      </c>
      <c r="G57" s="16">
        <v>0</v>
      </c>
      <c r="H57" s="16">
        <v>0</v>
      </c>
      <c r="I57" s="16">
        <v>168112.00000000003</v>
      </c>
      <c r="J57" s="12">
        <v>0</v>
      </c>
      <c r="K57" s="313">
        <v>0</v>
      </c>
      <c r="L57" s="123">
        <v>350000</v>
      </c>
      <c r="M57" s="123">
        <v>0</v>
      </c>
      <c r="N57" s="12">
        <v>350000</v>
      </c>
      <c r="O57" s="12">
        <v>-181887.99999999997</v>
      </c>
      <c r="P57" s="13">
        <v>-1.0819453697534973</v>
      </c>
      <c r="AH57" s="278" t="s">
        <v>171</v>
      </c>
      <c r="AI57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35">
        <v>0</v>
      </c>
      <c r="AQ57" s="313">
        <v>0</v>
      </c>
      <c r="AR57" s="123">
        <v>0</v>
      </c>
      <c r="AS57" s="123">
        <v>0</v>
      </c>
      <c r="AT57" s="35">
        <v>0</v>
      </c>
      <c r="AU57" s="35">
        <v>0</v>
      </c>
      <c r="AV57" s="13">
        <v>0</v>
      </c>
    </row>
    <row r="58" spans="2:48">
      <c r="B58" s="278" t="s">
        <v>23</v>
      </c>
      <c r="C58">
        <v>9</v>
      </c>
      <c r="D58" s="16">
        <v>1390</v>
      </c>
      <c r="E58" s="16">
        <v>2401600</v>
      </c>
      <c r="F58" s="16">
        <v>168112.00000000003</v>
      </c>
      <c r="G58" s="16">
        <v>0</v>
      </c>
      <c r="H58" s="16">
        <v>0</v>
      </c>
      <c r="I58" s="16">
        <v>168112.00000000003</v>
      </c>
      <c r="J58" s="35">
        <v>0</v>
      </c>
      <c r="K58" s="313">
        <v>0</v>
      </c>
      <c r="L58" s="123">
        <v>350000</v>
      </c>
      <c r="M58" s="123">
        <v>0</v>
      </c>
      <c r="N58" s="35">
        <v>350000</v>
      </c>
      <c r="O58" s="35">
        <v>-181887.99999999997</v>
      </c>
      <c r="P58" s="13">
        <v>-1.0819453697534973</v>
      </c>
      <c r="AH58" s="278" t="s">
        <v>175</v>
      </c>
      <c r="AI58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35">
        <v>0</v>
      </c>
      <c r="AQ58" s="313">
        <v>0</v>
      </c>
      <c r="AR58" s="123">
        <v>0</v>
      </c>
      <c r="AS58" s="123">
        <v>0</v>
      </c>
      <c r="AT58" s="35">
        <v>0</v>
      </c>
      <c r="AU58" s="35">
        <v>0</v>
      </c>
      <c r="AV58" s="13">
        <v>0</v>
      </c>
    </row>
    <row r="59" spans="2:48">
      <c r="B59" s="11" t="s">
        <v>173</v>
      </c>
      <c r="C59">
        <v>15</v>
      </c>
      <c r="D59" s="16">
        <v>18216</v>
      </c>
      <c r="E59" s="16">
        <v>166769020</v>
      </c>
      <c r="F59" s="16">
        <v>43359945.200000003</v>
      </c>
      <c r="G59" s="16">
        <v>17770000</v>
      </c>
      <c r="H59" s="16">
        <v>0</v>
      </c>
      <c r="I59" s="16">
        <v>61129945.200000003</v>
      </c>
      <c r="J59" s="12">
        <v>35782820</v>
      </c>
      <c r="K59" s="313">
        <v>23380000</v>
      </c>
      <c r="L59" s="123">
        <v>0</v>
      </c>
      <c r="M59" s="123">
        <v>0</v>
      </c>
      <c r="N59" s="12">
        <v>23380000</v>
      </c>
      <c r="O59" s="12">
        <v>1967125.2000000002</v>
      </c>
      <c r="P59" s="13">
        <v>3.2179403949473849E-2</v>
      </c>
      <c r="AH59" s="278" t="s">
        <v>199</v>
      </c>
      <c r="AI59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35">
        <v>0</v>
      </c>
      <c r="AQ59" s="313">
        <v>0</v>
      </c>
      <c r="AR59" s="123">
        <v>0</v>
      </c>
      <c r="AS59" s="123">
        <v>0</v>
      </c>
      <c r="AT59" s="35">
        <v>0</v>
      </c>
      <c r="AU59" s="35">
        <v>0</v>
      </c>
      <c r="AV59" s="13">
        <v>0</v>
      </c>
    </row>
    <row r="60" spans="2:48">
      <c r="B60" s="26">
        <v>12026</v>
      </c>
      <c r="C60">
        <v>11</v>
      </c>
      <c r="D60" s="16">
        <v>1307</v>
      </c>
      <c r="E60" s="16">
        <v>11654000</v>
      </c>
      <c r="F60" s="16">
        <v>3030040</v>
      </c>
      <c r="G60" s="16">
        <v>1225000</v>
      </c>
      <c r="H60" s="16">
        <v>0</v>
      </c>
      <c r="I60" s="16">
        <v>4255040</v>
      </c>
      <c r="J60" s="12">
        <v>2373400</v>
      </c>
      <c r="K60" s="313">
        <v>1295000</v>
      </c>
      <c r="L60" s="123">
        <v>0</v>
      </c>
      <c r="M60" s="123">
        <v>0</v>
      </c>
      <c r="N60" s="12">
        <v>1295000</v>
      </c>
      <c r="O60" s="12">
        <v>586640</v>
      </c>
      <c r="P60" s="13">
        <v>0.13786944423554184</v>
      </c>
      <c r="AH60" s="278" t="s">
        <v>176</v>
      </c>
      <c r="AI60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35">
        <v>0</v>
      </c>
      <c r="AQ60" s="313">
        <v>0</v>
      </c>
      <c r="AR60" s="123">
        <v>0</v>
      </c>
      <c r="AS60" s="123">
        <v>0</v>
      </c>
      <c r="AT60" s="35">
        <v>0</v>
      </c>
      <c r="AU60" s="35">
        <v>0</v>
      </c>
      <c r="AV60" s="13">
        <v>0</v>
      </c>
    </row>
    <row r="61" spans="2:48">
      <c r="B61" s="26">
        <v>22026</v>
      </c>
      <c r="C61">
        <v>11</v>
      </c>
      <c r="D61" s="16">
        <v>1879</v>
      </c>
      <c r="E61" s="16">
        <v>17048000</v>
      </c>
      <c r="F61" s="16">
        <v>4432480</v>
      </c>
      <c r="G61" s="16">
        <v>1660000</v>
      </c>
      <c r="H61" s="16">
        <v>0</v>
      </c>
      <c r="I61" s="16">
        <v>6092480</v>
      </c>
      <c r="J61" s="12">
        <v>3308200</v>
      </c>
      <c r="K61" s="313">
        <v>2030000</v>
      </c>
      <c r="L61" s="123">
        <v>0</v>
      </c>
      <c r="M61" s="123">
        <v>0</v>
      </c>
      <c r="N61" s="12">
        <v>2030000</v>
      </c>
      <c r="O61" s="12">
        <v>754280</v>
      </c>
      <c r="P61" s="13">
        <v>0.12380508430064605</v>
      </c>
      <c r="AH61" s="278" t="s">
        <v>29</v>
      </c>
      <c r="AI61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35">
        <v>0</v>
      </c>
      <c r="AQ61" s="313">
        <v>0</v>
      </c>
      <c r="AR61" s="123">
        <v>0</v>
      </c>
      <c r="AS61" s="123">
        <v>0</v>
      </c>
      <c r="AT61" s="35">
        <v>0</v>
      </c>
      <c r="AU61" s="35">
        <v>0</v>
      </c>
      <c r="AV61" s="13">
        <v>0</v>
      </c>
    </row>
    <row r="62" spans="2:48">
      <c r="B62" s="26">
        <v>32026</v>
      </c>
      <c r="C62">
        <v>15</v>
      </c>
      <c r="D62" s="16">
        <v>1851</v>
      </c>
      <c r="E62" s="16">
        <v>18076000</v>
      </c>
      <c r="F62" s="16">
        <v>4699760</v>
      </c>
      <c r="G62" s="16">
        <v>1450000</v>
      </c>
      <c r="H62" s="16">
        <v>0</v>
      </c>
      <c r="I62" s="16">
        <v>6149760</v>
      </c>
      <c r="J62" s="12">
        <v>3895720</v>
      </c>
      <c r="K62" s="313">
        <v>2450000</v>
      </c>
      <c r="L62" s="123">
        <v>0</v>
      </c>
      <c r="M62" s="123">
        <v>0</v>
      </c>
      <c r="N62" s="12">
        <v>2450000</v>
      </c>
      <c r="O62" s="12">
        <v>-195960</v>
      </c>
      <c r="P62" s="13">
        <v>-3.1864658133000309E-2</v>
      </c>
      <c r="AH62" s="278" t="s">
        <v>177</v>
      </c>
      <c r="AI62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35">
        <v>0</v>
      </c>
      <c r="AQ62" s="313">
        <v>0</v>
      </c>
      <c r="AR62" s="123">
        <v>0</v>
      </c>
      <c r="AS62" s="123">
        <v>0</v>
      </c>
      <c r="AT62" s="35">
        <v>0</v>
      </c>
      <c r="AU62" s="35">
        <v>0</v>
      </c>
      <c r="AV62" s="13">
        <v>0</v>
      </c>
    </row>
    <row r="63" spans="2:48">
      <c r="B63" s="26">
        <v>42026</v>
      </c>
      <c r="C63">
        <v>14</v>
      </c>
      <c r="D63" s="16">
        <v>1946</v>
      </c>
      <c r="E63" s="16">
        <v>17466000</v>
      </c>
      <c r="F63" s="16">
        <v>4541160</v>
      </c>
      <c r="G63" s="16">
        <v>1640000</v>
      </c>
      <c r="H63" s="16">
        <v>0</v>
      </c>
      <c r="I63" s="16">
        <v>6181160</v>
      </c>
      <c r="J63" s="12">
        <v>3690000</v>
      </c>
      <c r="K63" s="313">
        <v>2450000</v>
      </c>
      <c r="L63" s="123">
        <v>0</v>
      </c>
      <c r="M63" s="123">
        <v>0</v>
      </c>
      <c r="N63" s="12">
        <v>2450000</v>
      </c>
      <c r="O63" s="12">
        <v>41160</v>
      </c>
      <c r="P63" s="13">
        <v>6.6589442758317212E-3</v>
      </c>
      <c r="AH63" s="278" t="s">
        <v>23</v>
      </c>
      <c r="AI63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35">
        <v>0</v>
      </c>
      <c r="AQ63" s="313">
        <v>0</v>
      </c>
      <c r="AR63" s="123">
        <v>0</v>
      </c>
      <c r="AS63" s="123">
        <v>0</v>
      </c>
      <c r="AT63" s="35">
        <v>0</v>
      </c>
      <c r="AU63" s="35">
        <v>0</v>
      </c>
      <c r="AV63" s="13">
        <v>0</v>
      </c>
    </row>
    <row r="64" spans="2:48">
      <c r="B64" s="26">
        <v>52026</v>
      </c>
      <c r="C64">
        <v>11</v>
      </c>
      <c r="D64" s="16">
        <v>1735</v>
      </c>
      <c r="E64" s="16">
        <v>16649020</v>
      </c>
      <c r="F64" s="16">
        <v>4328745.2</v>
      </c>
      <c r="G64" s="16">
        <v>1680000</v>
      </c>
      <c r="H64" s="16">
        <v>0</v>
      </c>
      <c r="I64" s="16">
        <v>6008745.2000000002</v>
      </c>
      <c r="J64" s="12">
        <v>3413520</v>
      </c>
      <c r="K64" s="313">
        <v>2450000</v>
      </c>
      <c r="L64" s="123">
        <v>0</v>
      </c>
      <c r="M64" s="123">
        <v>0</v>
      </c>
      <c r="N64" s="12">
        <v>2450000</v>
      </c>
      <c r="O64" s="12">
        <v>145225.20000000019</v>
      </c>
      <c r="P64" s="13">
        <v>2.416897291634203E-2</v>
      </c>
      <c r="AH64" s="278" t="s">
        <v>202</v>
      </c>
      <c r="AI64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35">
        <v>0</v>
      </c>
      <c r="AQ64" s="313">
        <v>0</v>
      </c>
      <c r="AR64" s="123">
        <v>0</v>
      </c>
      <c r="AS64" s="123">
        <v>0</v>
      </c>
      <c r="AT64" s="35">
        <v>0</v>
      </c>
      <c r="AU64" s="35">
        <v>0</v>
      </c>
      <c r="AV64" s="13">
        <v>0</v>
      </c>
    </row>
    <row r="65" spans="2:48">
      <c r="B65" s="26">
        <v>62026</v>
      </c>
      <c r="C65">
        <v>11</v>
      </c>
      <c r="D65" s="16">
        <v>1511</v>
      </c>
      <c r="E65" s="16">
        <v>13644000</v>
      </c>
      <c r="F65" s="16">
        <v>3547440</v>
      </c>
      <c r="G65" s="16">
        <v>1725000</v>
      </c>
      <c r="H65" s="16">
        <v>0</v>
      </c>
      <c r="I65" s="16">
        <v>5272440</v>
      </c>
      <c r="J65" s="12">
        <v>2842960</v>
      </c>
      <c r="K65" s="313">
        <v>2030000</v>
      </c>
      <c r="L65" s="123">
        <v>0</v>
      </c>
      <c r="M65" s="123">
        <v>0</v>
      </c>
      <c r="N65" s="12">
        <v>2030000</v>
      </c>
      <c r="O65" s="12">
        <v>399480</v>
      </c>
      <c r="P65" s="13">
        <v>7.5767576302433026E-2</v>
      </c>
      <c r="AH65" s="278" t="s">
        <v>200</v>
      </c>
      <c r="AI65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35">
        <v>0</v>
      </c>
      <c r="AQ65" s="313">
        <v>0</v>
      </c>
      <c r="AR65" s="123">
        <v>0</v>
      </c>
      <c r="AS65" s="123">
        <v>0</v>
      </c>
      <c r="AT65" s="35">
        <v>0</v>
      </c>
      <c r="AU65" s="35">
        <v>0</v>
      </c>
      <c r="AV65" s="13">
        <v>0</v>
      </c>
    </row>
    <row r="66" spans="2:48">
      <c r="B66" s="26">
        <v>72026</v>
      </c>
      <c r="C66">
        <v>12</v>
      </c>
      <c r="D66" s="16">
        <v>1759</v>
      </c>
      <c r="E66" s="16">
        <v>15924000</v>
      </c>
      <c r="F66" s="16">
        <v>4140240</v>
      </c>
      <c r="G66" s="16">
        <v>1605000</v>
      </c>
      <c r="H66" s="16">
        <v>0</v>
      </c>
      <c r="I66" s="16">
        <v>5745240</v>
      </c>
      <c r="J66" s="12">
        <v>3365720</v>
      </c>
      <c r="K66" s="313">
        <v>2135000</v>
      </c>
      <c r="L66" s="123">
        <v>0</v>
      </c>
      <c r="M66" s="123">
        <v>0</v>
      </c>
      <c r="N66" s="12">
        <v>2135000</v>
      </c>
      <c r="O66" s="12">
        <v>244520</v>
      </c>
      <c r="P66" s="13">
        <v>4.2560450042121827E-2</v>
      </c>
      <c r="AH66" s="278" t="s">
        <v>34</v>
      </c>
      <c r="AI6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35">
        <v>0</v>
      </c>
      <c r="AQ66" s="313">
        <v>0</v>
      </c>
      <c r="AR66" s="123">
        <v>0</v>
      </c>
      <c r="AS66" s="123">
        <v>0</v>
      </c>
      <c r="AT66" s="35">
        <v>0</v>
      </c>
      <c r="AU66" s="35">
        <v>0</v>
      </c>
      <c r="AV66" s="13">
        <v>0</v>
      </c>
    </row>
    <row r="67" spans="2:48">
      <c r="B67" s="26">
        <v>82026</v>
      </c>
      <c r="C67">
        <v>11</v>
      </c>
      <c r="D67" s="16">
        <v>898</v>
      </c>
      <c r="E67" s="16">
        <v>8102000</v>
      </c>
      <c r="F67" s="16">
        <v>2106520</v>
      </c>
      <c r="G67" s="16">
        <v>1140000</v>
      </c>
      <c r="H67" s="16">
        <v>0</v>
      </c>
      <c r="I67" s="16">
        <v>3246520</v>
      </c>
      <c r="J67" s="12">
        <v>1759240</v>
      </c>
      <c r="K67" s="313">
        <v>1400000</v>
      </c>
      <c r="L67" s="123">
        <v>0</v>
      </c>
      <c r="M67" s="123">
        <v>0</v>
      </c>
      <c r="N67" s="12">
        <v>1400000</v>
      </c>
      <c r="O67" s="12">
        <v>87280</v>
      </c>
      <c r="P67" s="13">
        <v>2.6884171358870421E-2</v>
      </c>
      <c r="AH67" s="278" t="s">
        <v>201</v>
      </c>
      <c r="AI67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35">
        <v>0</v>
      </c>
      <c r="AQ67" s="313">
        <v>0</v>
      </c>
      <c r="AR67" s="123">
        <v>0</v>
      </c>
      <c r="AS67" s="123">
        <v>0</v>
      </c>
      <c r="AT67" s="35">
        <v>0</v>
      </c>
      <c r="AU67" s="35">
        <v>0</v>
      </c>
      <c r="AV67" s="13">
        <v>0</v>
      </c>
    </row>
    <row r="68" spans="2:48">
      <c r="B68" s="26">
        <v>92026</v>
      </c>
      <c r="C68">
        <v>8</v>
      </c>
      <c r="D68" s="16">
        <v>664</v>
      </c>
      <c r="E68" s="16">
        <v>6050000</v>
      </c>
      <c r="F68" s="16">
        <v>1573000</v>
      </c>
      <c r="G68" s="16">
        <v>1095000</v>
      </c>
      <c r="H68" s="16">
        <v>0</v>
      </c>
      <c r="I68" s="16">
        <v>2668000</v>
      </c>
      <c r="J68" s="12">
        <v>1533140</v>
      </c>
      <c r="K68" s="313">
        <v>1400000</v>
      </c>
      <c r="L68" s="123">
        <v>0</v>
      </c>
      <c r="M68" s="123">
        <v>0</v>
      </c>
      <c r="N68" s="12">
        <v>1400000</v>
      </c>
      <c r="O68" s="12">
        <v>-265140</v>
      </c>
      <c r="P68" s="13">
        <v>-9.9377811094452775E-2</v>
      </c>
      <c r="AH68" s="26" t="s">
        <v>182</v>
      </c>
      <c r="AI68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2">
        <v>0</v>
      </c>
      <c r="AQ68" s="313">
        <v>0</v>
      </c>
      <c r="AR68" s="123">
        <v>0</v>
      </c>
      <c r="AS68" s="123">
        <v>0</v>
      </c>
      <c r="AT68" s="12">
        <v>0</v>
      </c>
      <c r="AU68" s="12">
        <v>0</v>
      </c>
      <c r="AV68" s="13">
        <v>0</v>
      </c>
    </row>
    <row r="69" spans="2:48">
      <c r="B69" s="26">
        <v>102026</v>
      </c>
      <c r="C69">
        <v>7</v>
      </c>
      <c r="D69" s="16">
        <v>775</v>
      </c>
      <c r="E69" s="16">
        <v>7110000</v>
      </c>
      <c r="F69" s="16">
        <v>1848600</v>
      </c>
      <c r="G69" s="16">
        <v>1150000</v>
      </c>
      <c r="H69" s="16">
        <v>0</v>
      </c>
      <c r="I69" s="16">
        <v>2998600</v>
      </c>
      <c r="J69" s="12">
        <v>1724660</v>
      </c>
      <c r="K69" s="313">
        <v>1365000</v>
      </c>
      <c r="L69" s="123">
        <v>0</v>
      </c>
      <c r="M69" s="123">
        <v>0</v>
      </c>
      <c r="N69" s="12">
        <v>1365000</v>
      </c>
      <c r="O69" s="12">
        <v>-91060</v>
      </c>
      <c r="P69" s="13">
        <v>-3.0367504835589941E-2</v>
      </c>
      <c r="AH69" s="278" t="s">
        <v>178</v>
      </c>
      <c r="AI69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35">
        <v>0</v>
      </c>
      <c r="AQ69" s="313">
        <v>0</v>
      </c>
      <c r="AR69" s="123">
        <v>0</v>
      </c>
      <c r="AS69" s="123">
        <v>0</v>
      </c>
      <c r="AT69" s="35">
        <v>0</v>
      </c>
      <c r="AU69" s="35">
        <v>0</v>
      </c>
      <c r="AV69" s="13">
        <v>0</v>
      </c>
    </row>
    <row r="70" spans="2:48">
      <c r="B70" s="26">
        <v>112026</v>
      </c>
      <c r="C70">
        <v>6</v>
      </c>
      <c r="D70" s="16">
        <v>434</v>
      </c>
      <c r="E70" s="16">
        <v>3952000</v>
      </c>
      <c r="F70" s="16">
        <v>1027520</v>
      </c>
      <c r="G70" s="16">
        <v>850000</v>
      </c>
      <c r="H70" s="16">
        <v>0</v>
      </c>
      <c r="I70" s="16">
        <v>1877520</v>
      </c>
      <c r="J70" s="12">
        <v>922440</v>
      </c>
      <c r="K70" s="313">
        <v>910000</v>
      </c>
      <c r="L70" s="123">
        <v>0</v>
      </c>
      <c r="M70" s="123">
        <v>0</v>
      </c>
      <c r="N70" s="12">
        <v>910000</v>
      </c>
      <c r="O70" s="12">
        <v>45080</v>
      </c>
      <c r="P70" s="13">
        <v>2.4010396693510589E-2</v>
      </c>
      <c r="AH70" s="278" t="s">
        <v>196</v>
      </c>
      <c r="AI70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35">
        <v>0</v>
      </c>
      <c r="AQ70" s="313">
        <v>0</v>
      </c>
      <c r="AR70" s="123">
        <v>0</v>
      </c>
      <c r="AS70" s="123">
        <v>0</v>
      </c>
      <c r="AT70" s="35">
        <v>0</v>
      </c>
      <c r="AU70" s="35">
        <v>0</v>
      </c>
      <c r="AV70" s="13">
        <v>0</v>
      </c>
    </row>
    <row r="71" spans="2:48">
      <c r="B71" s="26">
        <v>122026</v>
      </c>
      <c r="C71">
        <v>5</v>
      </c>
      <c r="D71" s="16">
        <v>454</v>
      </c>
      <c r="E71" s="16">
        <v>4102000</v>
      </c>
      <c r="F71" s="16">
        <v>1066520</v>
      </c>
      <c r="G71" s="16">
        <v>575000</v>
      </c>
      <c r="H71" s="16">
        <v>0</v>
      </c>
      <c r="I71" s="16">
        <v>1641520</v>
      </c>
      <c r="J71" s="12">
        <v>927400</v>
      </c>
      <c r="K71" s="313">
        <v>665000</v>
      </c>
      <c r="L71" s="123">
        <v>0</v>
      </c>
      <c r="M71" s="123">
        <v>0</v>
      </c>
      <c r="N71" s="12">
        <v>665000</v>
      </c>
      <c r="O71" s="12">
        <v>49120</v>
      </c>
      <c r="P71" s="13">
        <v>2.992348554997807E-2</v>
      </c>
      <c r="AH71" s="278" t="s">
        <v>170</v>
      </c>
      <c r="AI71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35">
        <v>0</v>
      </c>
      <c r="AQ71" s="313">
        <v>0</v>
      </c>
      <c r="AR71" s="123">
        <v>0</v>
      </c>
      <c r="AS71" s="123">
        <v>0</v>
      </c>
      <c r="AT71" s="35">
        <v>0</v>
      </c>
      <c r="AU71" s="35">
        <v>0</v>
      </c>
      <c r="AV71" s="13">
        <v>0</v>
      </c>
    </row>
    <row r="72" spans="2:48">
      <c r="B72" s="26">
        <v>132026</v>
      </c>
      <c r="C72">
        <v>4</v>
      </c>
      <c r="D72" s="16">
        <v>812</v>
      </c>
      <c r="E72" s="16">
        <v>7414000</v>
      </c>
      <c r="F72" s="16">
        <v>1927640</v>
      </c>
      <c r="G72" s="16">
        <v>525000</v>
      </c>
      <c r="H72" s="16">
        <v>0</v>
      </c>
      <c r="I72" s="16">
        <v>2452640</v>
      </c>
      <c r="J72" s="12">
        <v>1552020</v>
      </c>
      <c r="K72" s="313">
        <v>700000</v>
      </c>
      <c r="L72" s="123">
        <v>0</v>
      </c>
      <c r="M72" s="123">
        <v>0</v>
      </c>
      <c r="N72" s="12">
        <v>700000</v>
      </c>
      <c r="O72" s="12">
        <v>200620</v>
      </c>
      <c r="P72" s="13">
        <v>8.1797573227216383E-2</v>
      </c>
      <c r="AH72" s="278" t="s">
        <v>27</v>
      </c>
      <c r="AI72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35">
        <v>0</v>
      </c>
      <c r="AQ72" s="313">
        <v>0</v>
      </c>
      <c r="AR72" s="123">
        <v>0</v>
      </c>
      <c r="AS72" s="123">
        <v>0</v>
      </c>
      <c r="AT72" s="35">
        <v>0</v>
      </c>
      <c r="AU72" s="35">
        <v>0</v>
      </c>
      <c r="AV72" s="13">
        <v>0</v>
      </c>
    </row>
    <row r="73" spans="2:48">
      <c r="B73" s="26">
        <v>142026</v>
      </c>
      <c r="C73">
        <v>5</v>
      </c>
      <c r="D73" s="16">
        <v>1060</v>
      </c>
      <c r="E73" s="16">
        <v>9430000</v>
      </c>
      <c r="F73" s="16">
        <v>2451800</v>
      </c>
      <c r="G73" s="16">
        <v>630000</v>
      </c>
      <c r="H73" s="16">
        <v>0</v>
      </c>
      <c r="I73" s="16">
        <v>3081800</v>
      </c>
      <c r="J73" s="12">
        <v>2141140</v>
      </c>
      <c r="K73" s="313">
        <v>910000</v>
      </c>
      <c r="L73" s="123">
        <v>0</v>
      </c>
      <c r="M73" s="123">
        <v>0</v>
      </c>
      <c r="N73" s="12">
        <v>910000</v>
      </c>
      <c r="O73" s="12">
        <v>30660</v>
      </c>
      <c r="P73" s="13">
        <v>9.9487312609513913E-3</v>
      </c>
      <c r="AH73" s="278" t="s">
        <v>203</v>
      </c>
      <c r="AI73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35">
        <v>0</v>
      </c>
      <c r="AQ73" s="313">
        <v>0</v>
      </c>
      <c r="AR73" s="123">
        <v>0</v>
      </c>
      <c r="AS73" s="123">
        <v>0</v>
      </c>
      <c r="AT73" s="35">
        <v>0</v>
      </c>
      <c r="AU73" s="35">
        <v>0</v>
      </c>
      <c r="AV73" s="13">
        <v>0</v>
      </c>
    </row>
    <row r="74" spans="2:48">
      <c r="B74" s="26">
        <v>152026</v>
      </c>
      <c r="C74">
        <v>6</v>
      </c>
      <c r="D74" s="16">
        <v>1131</v>
      </c>
      <c r="E74" s="16">
        <v>10148000</v>
      </c>
      <c r="F74" s="16">
        <v>2638480</v>
      </c>
      <c r="G74" s="16">
        <v>820000</v>
      </c>
      <c r="H74" s="16">
        <v>0</v>
      </c>
      <c r="I74" s="16">
        <v>3458480</v>
      </c>
      <c r="J74" s="12">
        <v>2333260</v>
      </c>
      <c r="K74" s="313">
        <v>1190000</v>
      </c>
      <c r="L74" s="123">
        <v>0</v>
      </c>
      <c r="M74" s="123">
        <v>0</v>
      </c>
      <c r="N74" s="12">
        <v>1190000</v>
      </c>
      <c r="O74" s="12">
        <v>-64780</v>
      </c>
      <c r="P74" s="13">
        <v>-1.8730771899794128E-2</v>
      </c>
      <c r="AH74" s="278" t="s">
        <v>33</v>
      </c>
      <c r="AI74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35">
        <v>0</v>
      </c>
      <c r="AQ74" s="313">
        <v>0</v>
      </c>
      <c r="AR74" s="123">
        <v>0</v>
      </c>
      <c r="AS74" s="123">
        <v>0</v>
      </c>
      <c r="AT74" s="35">
        <v>0</v>
      </c>
      <c r="AU74" s="35">
        <v>0</v>
      </c>
      <c r="AV74" s="13">
        <v>0</v>
      </c>
    </row>
    <row r="75" spans="2:48">
      <c r="B75" s="278" t="s">
        <v>23</v>
      </c>
      <c r="C75">
        <v>6</v>
      </c>
      <c r="D75" s="16">
        <v>1131</v>
      </c>
      <c r="E75" s="16">
        <v>10148000</v>
      </c>
      <c r="F75" s="16">
        <v>2638480</v>
      </c>
      <c r="G75" s="16">
        <v>820000</v>
      </c>
      <c r="H75" s="16">
        <v>0</v>
      </c>
      <c r="I75" s="16">
        <v>3458480</v>
      </c>
      <c r="J75" s="35">
        <v>2333260</v>
      </c>
      <c r="K75" s="313">
        <v>1190000</v>
      </c>
      <c r="L75" s="123">
        <v>0</v>
      </c>
      <c r="M75" s="123">
        <v>0</v>
      </c>
      <c r="N75" s="35">
        <v>1190000</v>
      </c>
      <c r="O75" s="35">
        <v>-64780</v>
      </c>
      <c r="P75" s="13">
        <v>-1.8730771899794128E-2</v>
      </c>
      <c r="AH75" s="278" t="s">
        <v>204</v>
      </c>
      <c r="AI75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35">
        <v>0</v>
      </c>
      <c r="AQ75" s="313">
        <v>0</v>
      </c>
      <c r="AR75" s="123">
        <v>0</v>
      </c>
      <c r="AS75" s="123">
        <v>0</v>
      </c>
      <c r="AT75" s="35">
        <v>0</v>
      </c>
      <c r="AU75" s="35">
        <v>0</v>
      </c>
      <c r="AV75" s="13">
        <v>0</v>
      </c>
    </row>
    <row r="76" spans="2:48">
      <c r="B76" s="11" t="s">
        <v>174</v>
      </c>
      <c r="C76">
        <v>27</v>
      </c>
      <c r="D76" s="16">
        <v>29406</v>
      </c>
      <c r="E76" s="16">
        <v>274408000</v>
      </c>
      <c r="F76" s="16">
        <v>71346080</v>
      </c>
      <c r="G76" s="16">
        <v>28195000</v>
      </c>
      <c r="H76" s="16">
        <v>0</v>
      </c>
      <c r="I76" s="16">
        <v>99541080</v>
      </c>
      <c r="J76" s="12">
        <v>64326880</v>
      </c>
      <c r="K76" s="313">
        <v>39235000</v>
      </c>
      <c r="L76" s="123">
        <v>6700000</v>
      </c>
      <c r="M76" s="123">
        <v>0</v>
      </c>
      <c r="N76" s="12">
        <v>45935000</v>
      </c>
      <c r="O76" s="12">
        <v>-10720800</v>
      </c>
      <c r="P76" s="13">
        <v>-0.10770226724484001</v>
      </c>
      <c r="AH76" s="278" t="s">
        <v>171</v>
      </c>
      <c r="AI7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35">
        <v>0</v>
      </c>
      <c r="AQ76" s="313">
        <v>0</v>
      </c>
      <c r="AR76" s="123">
        <v>0</v>
      </c>
      <c r="AS76" s="123">
        <v>0</v>
      </c>
      <c r="AT76" s="35">
        <v>0</v>
      </c>
      <c r="AU76" s="35">
        <v>0</v>
      </c>
      <c r="AV76" s="13">
        <v>0</v>
      </c>
    </row>
    <row r="77" spans="2:48">
      <c r="B77" s="26">
        <v>12026</v>
      </c>
      <c r="C77">
        <v>18</v>
      </c>
      <c r="D77" s="16">
        <v>1727</v>
      </c>
      <c r="E77" s="16">
        <v>15786000</v>
      </c>
      <c r="F77" s="16">
        <v>4104360</v>
      </c>
      <c r="G77" s="16">
        <v>1550000</v>
      </c>
      <c r="H77" s="16">
        <v>0</v>
      </c>
      <c r="I77" s="16">
        <v>5654360</v>
      </c>
      <c r="J77" s="12">
        <v>3356320</v>
      </c>
      <c r="K77" s="313">
        <v>1785000</v>
      </c>
      <c r="L77" s="123">
        <v>400000</v>
      </c>
      <c r="M77" s="123">
        <v>0</v>
      </c>
      <c r="N77" s="12">
        <v>2185000</v>
      </c>
      <c r="O77" s="12">
        <v>113040</v>
      </c>
      <c r="P77" s="13">
        <v>1.9991652459341109E-2</v>
      </c>
      <c r="AH77" s="278" t="s">
        <v>175</v>
      </c>
      <c r="AI77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35">
        <v>0</v>
      </c>
      <c r="AQ77" s="313">
        <v>0</v>
      </c>
      <c r="AR77" s="123">
        <v>0</v>
      </c>
      <c r="AS77" s="123">
        <v>0</v>
      </c>
      <c r="AT77" s="35">
        <v>0</v>
      </c>
      <c r="AU77" s="35">
        <v>0</v>
      </c>
      <c r="AV77" s="13">
        <v>0</v>
      </c>
    </row>
    <row r="78" spans="2:48">
      <c r="B78" s="26">
        <v>22026</v>
      </c>
      <c r="C78">
        <v>17</v>
      </c>
      <c r="D78" s="16">
        <v>2484</v>
      </c>
      <c r="E78" s="16">
        <v>22642000</v>
      </c>
      <c r="F78" s="16">
        <v>5886920</v>
      </c>
      <c r="G78" s="16">
        <v>2160000</v>
      </c>
      <c r="H78" s="16">
        <v>0</v>
      </c>
      <c r="I78" s="16">
        <v>8046920</v>
      </c>
      <c r="J78" s="12">
        <v>4939600</v>
      </c>
      <c r="K78" s="313">
        <v>2730000</v>
      </c>
      <c r="L78" s="123">
        <v>775000</v>
      </c>
      <c r="M78" s="123">
        <v>0</v>
      </c>
      <c r="N78" s="12">
        <v>3505000</v>
      </c>
      <c r="O78" s="12">
        <v>-397680</v>
      </c>
      <c r="P78" s="13">
        <v>-4.9420150815467287E-2</v>
      </c>
      <c r="AH78" s="278" t="s">
        <v>199</v>
      </c>
      <c r="AI78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35">
        <v>0</v>
      </c>
      <c r="AQ78" s="313">
        <v>0</v>
      </c>
      <c r="AR78" s="123">
        <v>0</v>
      </c>
      <c r="AS78" s="123">
        <v>0</v>
      </c>
      <c r="AT78" s="35">
        <v>0</v>
      </c>
      <c r="AU78" s="35">
        <v>0</v>
      </c>
      <c r="AV78" s="13">
        <v>0</v>
      </c>
    </row>
    <row r="79" spans="2:48">
      <c r="B79" s="26">
        <v>32026</v>
      </c>
      <c r="C79">
        <v>17</v>
      </c>
      <c r="D79" s="16">
        <v>2144</v>
      </c>
      <c r="E79" s="16">
        <v>23356000</v>
      </c>
      <c r="F79" s="16">
        <v>6072560</v>
      </c>
      <c r="G79" s="16">
        <v>2090000</v>
      </c>
      <c r="H79" s="16">
        <v>0</v>
      </c>
      <c r="I79" s="16">
        <v>8162560</v>
      </c>
      <c r="J79" s="12">
        <v>5750160</v>
      </c>
      <c r="K79" s="313">
        <v>3465000</v>
      </c>
      <c r="L79" s="123">
        <v>775000</v>
      </c>
      <c r="M79" s="123">
        <v>0</v>
      </c>
      <c r="N79" s="12">
        <v>4240000</v>
      </c>
      <c r="O79" s="12">
        <v>-1827600</v>
      </c>
      <c r="P79" s="13">
        <v>-0.22390034498980713</v>
      </c>
      <c r="AH79" s="278" t="s">
        <v>176</v>
      </c>
      <c r="AI79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35">
        <v>0</v>
      </c>
      <c r="AQ79" s="313">
        <v>0</v>
      </c>
      <c r="AR79" s="123">
        <v>0</v>
      </c>
      <c r="AS79" s="123">
        <v>0</v>
      </c>
      <c r="AT79" s="35">
        <v>0</v>
      </c>
      <c r="AU79" s="35">
        <v>0</v>
      </c>
      <c r="AV79" s="13">
        <v>0</v>
      </c>
    </row>
    <row r="80" spans="2:48">
      <c r="B80" s="26">
        <v>42026</v>
      </c>
      <c r="C80">
        <v>21</v>
      </c>
      <c r="D80" s="16">
        <v>2663</v>
      </c>
      <c r="E80" s="16">
        <v>24502000</v>
      </c>
      <c r="F80" s="16">
        <v>6370520</v>
      </c>
      <c r="G80" s="16">
        <v>3300000</v>
      </c>
      <c r="H80" s="16">
        <v>0</v>
      </c>
      <c r="I80" s="16">
        <v>9670520</v>
      </c>
      <c r="J80" s="12">
        <v>5797080</v>
      </c>
      <c r="K80" s="313">
        <v>3780000</v>
      </c>
      <c r="L80" s="123">
        <v>775000</v>
      </c>
      <c r="M80" s="123">
        <v>0</v>
      </c>
      <c r="N80" s="12">
        <v>4555000</v>
      </c>
      <c r="O80" s="12">
        <v>-681560</v>
      </c>
      <c r="P80" s="13">
        <v>-7.0478112862596837E-2</v>
      </c>
      <c r="AH80" s="278" t="s">
        <v>29</v>
      </c>
      <c r="AI80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35">
        <v>0</v>
      </c>
      <c r="AQ80" s="313">
        <v>0</v>
      </c>
      <c r="AR80" s="123">
        <v>0</v>
      </c>
      <c r="AS80" s="123">
        <v>0</v>
      </c>
      <c r="AT80" s="35">
        <v>0</v>
      </c>
      <c r="AU80" s="35">
        <v>0</v>
      </c>
      <c r="AV80" s="13">
        <v>0</v>
      </c>
    </row>
    <row r="81" spans="2:48">
      <c r="B81" s="26">
        <v>52026</v>
      </c>
      <c r="C81">
        <v>27</v>
      </c>
      <c r="D81" s="16">
        <v>2910</v>
      </c>
      <c r="E81" s="16">
        <v>26850000</v>
      </c>
      <c r="F81" s="16">
        <v>6981000</v>
      </c>
      <c r="G81" s="16">
        <v>2640000</v>
      </c>
      <c r="H81" s="16">
        <v>0</v>
      </c>
      <c r="I81" s="16">
        <v>9621000</v>
      </c>
      <c r="J81" s="12">
        <v>6377320</v>
      </c>
      <c r="K81" s="313">
        <v>4410000</v>
      </c>
      <c r="L81" s="123">
        <v>775000</v>
      </c>
      <c r="M81" s="123">
        <v>0</v>
      </c>
      <c r="N81" s="12">
        <v>5185000</v>
      </c>
      <c r="O81" s="12">
        <v>-1941320.0000000002</v>
      </c>
      <c r="P81" s="13">
        <v>-0.20177944080656898</v>
      </c>
      <c r="AH81" s="278" t="s">
        <v>177</v>
      </c>
      <c r="AI81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35">
        <v>0</v>
      </c>
      <c r="AQ81" s="313">
        <v>0</v>
      </c>
      <c r="AR81" s="123">
        <v>0</v>
      </c>
      <c r="AS81" s="123">
        <v>0</v>
      </c>
      <c r="AT81" s="35">
        <v>0</v>
      </c>
      <c r="AU81" s="35">
        <v>0</v>
      </c>
      <c r="AV81" s="13">
        <v>0</v>
      </c>
    </row>
    <row r="82" spans="2:48">
      <c r="B82" s="26">
        <v>62026</v>
      </c>
      <c r="C82">
        <v>20</v>
      </c>
      <c r="D82" s="16">
        <v>2751</v>
      </c>
      <c r="E82" s="16">
        <v>25200000</v>
      </c>
      <c r="F82" s="16">
        <v>6552000</v>
      </c>
      <c r="G82" s="16">
        <v>2660000</v>
      </c>
      <c r="H82" s="16">
        <v>0</v>
      </c>
      <c r="I82" s="16">
        <v>9212000</v>
      </c>
      <c r="J82" s="12">
        <v>6098800</v>
      </c>
      <c r="K82" s="313">
        <v>3535000</v>
      </c>
      <c r="L82" s="123">
        <v>300000</v>
      </c>
      <c r="M82" s="123">
        <v>0</v>
      </c>
      <c r="N82" s="12">
        <v>3835000</v>
      </c>
      <c r="O82" s="12">
        <v>-721800</v>
      </c>
      <c r="P82" s="13">
        <v>-7.8354320451584886E-2</v>
      </c>
      <c r="AH82" s="278" t="s">
        <v>23</v>
      </c>
      <c r="AI82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35">
        <v>0</v>
      </c>
      <c r="AQ82" s="313">
        <v>0</v>
      </c>
      <c r="AR82" s="123">
        <v>0</v>
      </c>
      <c r="AS82" s="123">
        <v>0</v>
      </c>
      <c r="AT82" s="35">
        <v>0</v>
      </c>
      <c r="AU82" s="35">
        <v>0</v>
      </c>
      <c r="AV82" s="13">
        <v>0</v>
      </c>
    </row>
    <row r="83" spans="2:48">
      <c r="B83" s="26">
        <v>72026</v>
      </c>
      <c r="C83">
        <v>18</v>
      </c>
      <c r="D83" s="16">
        <v>2346</v>
      </c>
      <c r="E83" s="16">
        <v>21520000</v>
      </c>
      <c r="F83" s="16">
        <v>5595200</v>
      </c>
      <c r="G83" s="16">
        <v>2350000</v>
      </c>
      <c r="H83" s="16">
        <v>0</v>
      </c>
      <c r="I83" s="16">
        <v>7945200</v>
      </c>
      <c r="J83" s="12">
        <v>4832340</v>
      </c>
      <c r="K83" s="313">
        <v>2975000</v>
      </c>
      <c r="L83" s="123">
        <v>350000</v>
      </c>
      <c r="M83" s="123">
        <v>0</v>
      </c>
      <c r="N83" s="12">
        <v>3325000</v>
      </c>
      <c r="O83" s="12">
        <v>-212140</v>
      </c>
      <c r="P83" s="13">
        <v>-2.6700397724412225E-2</v>
      </c>
      <c r="AH83" s="278" t="s">
        <v>202</v>
      </c>
      <c r="AI83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35">
        <v>0</v>
      </c>
      <c r="AQ83" s="313">
        <v>0</v>
      </c>
      <c r="AR83" s="123">
        <v>0</v>
      </c>
      <c r="AS83" s="123">
        <v>0</v>
      </c>
      <c r="AT83" s="35">
        <v>0</v>
      </c>
      <c r="AU83" s="35">
        <v>0</v>
      </c>
      <c r="AV83" s="13">
        <v>0</v>
      </c>
    </row>
    <row r="84" spans="2:48">
      <c r="B84" s="26">
        <v>82026</v>
      </c>
      <c r="C84">
        <v>19</v>
      </c>
      <c r="D84" s="16">
        <v>1617</v>
      </c>
      <c r="E84" s="16">
        <v>15004000</v>
      </c>
      <c r="F84" s="16">
        <v>3901040</v>
      </c>
      <c r="G84" s="16">
        <v>2115000</v>
      </c>
      <c r="H84" s="16">
        <v>0</v>
      </c>
      <c r="I84" s="16">
        <v>6016040</v>
      </c>
      <c r="J84" s="12">
        <v>4036400</v>
      </c>
      <c r="K84" s="313">
        <v>2905000</v>
      </c>
      <c r="L84" s="123">
        <v>350000</v>
      </c>
      <c r="M84" s="123">
        <v>0</v>
      </c>
      <c r="N84" s="12">
        <v>3255000</v>
      </c>
      <c r="O84" s="12">
        <v>-1275360</v>
      </c>
      <c r="P84" s="13">
        <v>-0.2119932713213343</v>
      </c>
      <c r="AH84" s="278" t="s">
        <v>200</v>
      </c>
      <c r="AI84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35">
        <v>0</v>
      </c>
      <c r="AQ84" s="313">
        <v>0</v>
      </c>
      <c r="AR84" s="123">
        <v>0</v>
      </c>
      <c r="AS84" s="123">
        <v>0</v>
      </c>
      <c r="AT84" s="35">
        <v>0</v>
      </c>
      <c r="AU84" s="35">
        <v>0</v>
      </c>
      <c r="AV84" s="13">
        <v>0</v>
      </c>
    </row>
    <row r="85" spans="2:48">
      <c r="B85" s="26">
        <v>92026</v>
      </c>
      <c r="C85">
        <v>13</v>
      </c>
      <c r="D85" s="16">
        <v>1042</v>
      </c>
      <c r="E85" s="16">
        <v>9622000</v>
      </c>
      <c r="F85" s="16">
        <v>2501720</v>
      </c>
      <c r="G85" s="16">
        <v>1395000</v>
      </c>
      <c r="H85" s="16">
        <v>0</v>
      </c>
      <c r="I85" s="16">
        <v>3896720</v>
      </c>
      <c r="J85" s="12">
        <v>2625260</v>
      </c>
      <c r="K85" s="313">
        <v>1960000</v>
      </c>
      <c r="L85" s="123">
        <v>350000</v>
      </c>
      <c r="M85" s="123">
        <v>0</v>
      </c>
      <c r="N85" s="12">
        <v>2310000</v>
      </c>
      <c r="O85" s="12">
        <v>-1038540</v>
      </c>
      <c r="P85" s="13">
        <v>-0.26651645486460407</v>
      </c>
      <c r="AH85" s="278" t="s">
        <v>34</v>
      </c>
      <c r="AI85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35">
        <v>0</v>
      </c>
      <c r="AQ85" s="313">
        <v>0</v>
      </c>
      <c r="AR85" s="123">
        <v>0</v>
      </c>
      <c r="AS85" s="123">
        <v>0</v>
      </c>
      <c r="AT85" s="35">
        <v>0</v>
      </c>
      <c r="AU85" s="35">
        <v>0</v>
      </c>
      <c r="AV85" s="13">
        <v>0</v>
      </c>
    </row>
    <row r="86" spans="2:48">
      <c r="B86" s="26">
        <v>102026</v>
      </c>
      <c r="C86">
        <v>14</v>
      </c>
      <c r="D86" s="16">
        <v>1061</v>
      </c>
      <c r="E86" s="16">
        <v>9836000</v>
      </c>
      <c r="F86" s="16">
        <v>2557360</v>
      </c>
      <c r="G86" s="16">
        <v>1605000</v>
      </c>
      <c r="H86" s="16">
        <v>0</v>
      </c>
      <c r="I86" s="16">
        <v>4162360</v>
      </c>
      <c r="J86" s="12">
        <v>2954080</v>
      </c>
      <c r="K86" s="313">
        <v>2310000</v>
      </c>
      <c r="L86" s="123">
        <v>350000</v>
      </c>
      <c r="M86" s="123">
        <v>0</v>
      </c>
      <c r="N86" s="12">
        <v>2660000</v>
      </c>
      <c r="O86" s="12">
        <v>-1451720</v>
      </c>
      <c r="P86" s="13">
        <v>-0.34877329207468838</v>
      </c>
      <c r="AH86" s="278" t="s">
        <v>201</v>
      </c>
      <c r="AI8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35">
        <v>0</v>
      </c>
      <c r="AQ86" s="313">
        <v>0</v>
      </c>
      <c r="AR86" s="123">
        <v>0</v>
      </c>
      <c r="AS86" s="123">
        <v>0</v>
      </c>
      <c r="AT86" s="35">
        <v>0</v>
      </c>
      <c r="AU86" s="35">
        <v>0</v>
      </c>
      <c r="AV86" s="13">
        <v>0</v>
      </c>
    </row>
    <row r="87" spans="2:48">
      <c r="B87" s="26">
        <v>112026</v>
      </c>
      <c r="C87">
        <v>13</v>
      </c>
      <c r="D87" s="16">
        <v>1234</v>
      </c>
      <c r="E87" s="16">
        <v>11594000</v>
      </c>
      <c r="F87" s="16">
        <v>3014440</v>
      </c>
      <c r="G87" s="16">
        <v>1580000</v>
      </c>
      <c r="H87" s="16">
        <v>0</v>
      </c>
      <c r="I87" s="16">
        <v>4594440</v>
      </c>
      <c r="J87" s="12">
        <v>2861860</v>
      </c>
      <c r="K87" s="313">
        <v>2205000</v>
      </c>
      <c r="L87" s="123">
        <v>350000</v>
      </c>
      <c r="M87" s="123">
        <v>0</v>
      </c>
      <c r="N87" s="12">
        <v>2555000</v>
      </c>
      <c r="O87" s="12">
        <v>-822420</v>
      </c>
      <c r="P87" s="13">
        <v>-0.17900331705278555</v>
      </c>
      <c r="AH87" s="11" t="s">
        <v>25</v>
      </c>
      <c r="AI87">
        <v>293</v>
      </c>
      <c r="AJ87" s="16">
        <v>3000613</v>
      </c>
      <c r="AK87" s="16">
        <v>26312524000</v>
      </c>
      <c r="AL87" s="16">
        <v>6399963560</v>
      </c>
      <c r="AM87" s="16">
        <v>1392317754.116883</v>
      </c>
      <c r="AN87" s="16">
        <v>754717935.99999964</v>
      </c>
      <c r="AO87" s="16">
        <v>8552709250.1168852</v>
      </c>
      <c r="AP87" s="12">
        <v>5665753601.5714283</v>
      </c>
      <c r="AQ87" s="313">
        <v>2466585442.8571429</v>
      </c>
      <c r="AR87" s="123">
        <v>77850000</v>
      </c>
      <c r="AS87" s="123">
        <v>16469671.922017409</v>
      </c>
      <c r="AT87" s="12">
        <v>2563627115.4598017</v>
      </c>
      <c r="AU87" s="12">
        <v>323328533.08565348</v>
      </c>
      <c r="AV87" s="13">
        <v>3.7804223624371976E-2</v>
      </c>
    </row>
    <row r="88" spans="2:48">
      <c r="B88" s="26">
        <v>122026</v>
      </c>
      <c r="C88">
        <v>15</v>
      </c>
      <c r="D88" s="16">
        <v>1416</v>
      </c>
      <c r="E88" s="16">
        <v>13098000</v>
      </c>
      <c r="F88" s="16">
        <v>3405480</v>
      </c>
      <c r="G88" s="16">
        <v>1195000</v>
      </c>
      <c r="H88" s="16">
        <v>0</v>
      </c>
      <c r="I88" s="16">
        <v>4600480</v>
      </c>
      <c r="J88" s="12">
        <v>3113140</v>
      </c>
      <c r="K88" s="313">
        <v>1855000</v>
      </c>
      <c r="L88" s="123">
        <v>200000</v>
      </c>
      <c r="M88" s="123">
        <v>0</v>
      </c>
      <c r="N88" s="12">
        <v>2055000</v>
      </c>
      <c r="O88" s="12">
        <v>-567660</v>
      </c>
      <c r="P88" s="13">
        <v>-0.12339147219420582</v>
      </c>
      <c r="AH88" s="26">
        <v>1</v>
      </c>
      <c r="AI88">
        <v>237</v>
      </c>
      <c r="AJ88" s="16">
        <v>43066</v>
      </c>
      <c r="AK88" s="16">
        <v>379443000</v>
      </c>
      <c r="AL88" s="16">
        <v>87271890</v>
      </c>
      <c r="AM88" s="16">
        <v>16755428.571428571</v>
      </c>
      <c r="AN88" s="16">
        <v>18002447.483870968</v>
      </c>
      <c r="AO88" s="16">
        <v>122029766.05529954</v>
      </c>
      <c r="AP88" s="12">
        <v>75223428.571428567</v>
      </c>
      <c r="AQ88" s="313">
        <v>30997542.857142854</v>
      </c>
      <c r="AR88" s="123"/>
      <c r="AS88" s="123">
        <v>187142.85714285713</v>
      </c>
      <c r="AT88" s="12">
        <v>31184685.714285713</v>
      </c>
      <c r="AU88" s="12">
        <v>15621651.769585252</v>
      </c>
      <c r="AV88" s="13">
        <v>0.1280150923382585</v>
      </c>
    </row>
    <row r="89" spans="2:48">
      <c r="B89" s="26">
        <v>132026</v>
      </c>
      <c r="C89">
        <v>13</v>
      </c>
      <c r="D89" s="16">
        <v>1762</v>
      </c>
      <c r="E89" s="16">
        <v>16356000</v>
      </c>
      <c r="F89" s="16">
        <v>4252560</v>
      </c>
      <c r="G89" s="16">
        <v>935000</v>
      </c>
      <c r="H89" s="16">
        <v>0</v>
      </c>
      <c r="I89" s="16">
        <v>5187560</v>
      </c>
      <c r="J89" s="12">
        <v>3424700</v>
      </c>
      <c r="K89" s="313">
        <v>1645000</v>
      </c>
      <c r="L89" s="123">
        <v>350000</v>
      </c>
      <c r="M89" s="123">
        <v>0</v>
      </c>
      <c r="N89" s="12">
        <v>1995000</v>
      </c>
      <c r="O89" s="12">
        <v>-232140</v>
      </c>
      <c r="P89" s="13">
        <v>-4.4749361935090874E-2</v>
      </c>
      <c r="AH89" s="26">
        <v>2</v>
      </c>
      <c r="AI89">
        <v>257</v>
      </c>
      <c r="AJ89" s="16">
        <v>75705</v>
      </c>
      <c r="AK89" s="16">
        <v>666015000</v>
      </c>
      <c r="AL89" s="16">
        <v>153183450</v>
      </c>
      <c r="AM89" s="16">
        <v>31104000</v>
      </c>
      <c r="AN89" s="16">
        <v>31504283.096774194</v>
      </c>
      <c r="AO89" s="16">
        <v>215791733.09677419</v>
      </c>
      <c r="AP89" s="12">
        <v>127867500</v>
      </c>
      <c r="AQ89" s="313">
        <v>57542400</v>
      </c>
      <c r="AR89" s="123">
        <v>0</v>
      </c>
      <c r="AS89" s="123">
        <v>327500</v>
      </c>
      <c r="AT89" s="12">
        <v>57869900</v>
      </c>
      <c r="AU89" s="12">
        <v>30054333.096774191</v>
      </c>
      <c r="AV89" s="13">
        <v>0.13927471949676587</v>
      </c>
    </row>
    <row r="90" spans="2:48">
      <c r="B90" s="26">
        <v>142026</v>
      </c>
      <c r="C90">
        <v>11</v>
      </c>
      <c r="D90" s="16">
        <v>2250</v>
      </c>
      <c r="E90" s="16">
        <v>20928000</v>
      </c>
      <c r="F90" s="16">
        <v>5441280</v>
      </c>
      <c r="G90" s="16">
        <v>1255000</v>
      </c>
      <c r="H90" s="16">
        <v>0</v>
      </c>
      <c r="I90" s="16">
        <v>6696280</v>
      </c>
      <c r="J90" s="12">
        <v>4398120</v>
      </c>
      <c r="K90" s="313">
        <v>1855000</v>
      </c>
      <c r="L90" s="123">
        <v>250000</v>
      </c>
      <c r="M90" s="123">
        <v>0</v>
      </c>
      <c r="N90" s="12">
        <v>2105000</v>
      </c>
      <c r="O90" s="12">
        <v>193160</v>
      </c>
      <c r="P90" s="13">
        <v>2.8845866660294969E-2</v>
      </c>
      <c r="AH90" s="26">
        <v>3</v>
      </c>
      <c r="AI90">
        <v>256</v>
      </c>
      <c r="AJ90" s="16">
        <v>73938</v>
      </c>
      <c r="AK90" s="16">
        <v>650952000</v>
      </c>
      <c r="AL90" s="16">
        <v>149718960</v>
      </c>
      <c r="AM90" s="16">
        <v>31428000</v>
      </c>
      <c r="AN90" s="16">
        <v>31504283.096774194</v>
      </c>
      <c r="AO90" s="16">
        <v>212651243.09677419</v>
      </c>
      <c r="AP90" s="12">
        <v>127350000</v>
      </c>
      <c r="AQ90" s="313">
        <v>58141800</v>
      </c>
      <c r="AR90" s="123">
        <v>0</v>
      </c>
      <c r="AS90" s="123">
        <v>327500</v>
      </c>
      <c r="AT90" s="12">
        <v>58469300</v>
      </c>
      <c r="AU90" s="12">
        <v>26831943.096774191</v>
      </c>
      <c r="AV90" s="13">
        <v>0.12617816245054067</v>
      </c>
    </row>
    <row r="91" spans="2:48">
      <c r="B91" s="26">
        <v>152026</v>
      </c>
      <c r="C91">
        <v>10</v>
      </c>
      <c r="D91" s="16">
        <v>1999</v>
      </c>
      <c r="E91" s="16">
        <v>18114000</v>
      </c>
      <c r="F91" s="16">
        <v>4709640</v>
      </c>
      <c r="G91" s="16">
        <v>1365000</v>
      </c>
      <c r="H91" s="16">
        <v>0</v>
      </c>
      <c r="I91" s="16">
        <v>6074640</v>
      </c>
      <c r="J91" s="12">
        <v>3761700</v>
      </c>
      <c r="K91" s="313">
        <v>1820000</v>
      </c>
      <c r="L91" s="123">
        <v>350000</v>
      </c>
      <c r="M91" s="123">
        <v>0</v>
      </c>
      <c r="N91" s="12">
        <v>2170000</v>
      </c>
      <c r="O91" s="12">
        <v>142940</v>
      </c>
      <c r="P91" s="13">
        <v>2.3530612513663361E-2</v>
      </c>
      <c r="AH91" s="26">
        <v>4</v>
      </c>
      <c r="AI91">
        <v>255</v>
      </c>
      <c r="AJ91" s="16">
        <v>67657</v>
      </c>
      <c r="AK91" s="16">
        <v>593360000</v>
      </c>
      <c r="AL91" s="16">
        <v>136472800</v>
      </c>
      <c r="AM91" s="16">
        <v>30618000</v>
      </c>
      <c r="AN91" s="16">
        <v>31504283.096774194</v>
      </c>
      <c r="AO91" s="16">
        <v>198595083.09677419</v>
      </c>
      <c r="AP91" s="12">
        <v>170288000</v>
      </c>
      <c r="AQ91" s="313">
        <v>56643300</v>
      </c>
      <c r="AR91" s="123">
        <v>0</v>
      </c>
      <c r="AS91" s="123">
        <v>327500</v>
      </c>
      <c r="AT91" s="12">
        <v>56970800</v>
      </c>
      <c r="AU91" s="12">
        <v>-28663716.903225809</v>
      </c>
      <c r="AV91" s="13">
        <v>-0.14433246008038453</v>
      </c>
    </row>
    <row r="92" spans="2:48">
      <c r="B92" s="278" t="s">
        <v>23</v>
      </c>
      <c r="C92">
        <v>10</v>
      </c>
      <c r="D92" s="16">
        <v>1999</v>
      </c>
      <c r="E92" s="16">
        <v>18114000</v>
      </c>
      <c r="F92" s="16">
        <v>4709640</v>
      </c>
      <c r="G92" s="16">
        <v>1365000</v>
      </c>
      <c r="H92" s="16">
        <v>0</v>
      </c>
      <c r="I92" s="16">
        <v>6074640</v>
      </c>
      <c r="J92" s="35">
        <v>3761700</v>
      </c>
      <c r="K92" s="313">
        <v>1820000</v>
      </c>
      <c r="L92" s="123">
        <v>350000</v>
      </c>
      <c r="M92" s="123">
        <v>0</v>
      </c>
      <c r="N92" s="35">
        <v>2170000</v>
      </c>
      <c r="O92" s="35">
        <v>142940</v>
      </c>
      <c r="P92" s="13">
        <v>2.3530612513663361E-2</v>
      </c>
      <c r="AH92" s="26">
        <v>5</v>
      </c>
      <c r="AI92">
        <v>250</v>
      </c>
      <c r="AJ92" s="16">
        <v>68788</v>
      </c>
      <c r="AK92" s="16">
        <v>602854000</v>
      </c>
      <c r="AL92" s="16">
        <v>138656420</v>
      </c>
      <c r="AM92" s="16">
        <v>31284000</v>
      </c>
      <c r="AN92" s="16">
        <v>31815767.011520736</v>
      </c>
      <c r="AO92" s="16">
        <v>201756187.01152071</v>
      </c>
      <c r="AP92" s="12">
        <v>120256000</v>
      </c>
      <c r="AQ92" s="313">
        <v>57875399.999999993</v>
      </c>
      <c r="AR92" s="123">
        <v>0</v>
      </c>
      <c r="AS92" s="123">
        <v>327499.99999999994</v>
      </c>
      <c r="AT92" s="12">
        <v>58202899.999999993</v>
      </c>
      <c r="AU92" s="12">
        <v>23297287.011520717</v>
      </c>
      <c r="AV92" s="13">
        <v>0.11547247872101385</v>
      </c>
    </row>
    <row r="93" spans="2:48">
      <c r="B93" s="11" t="s">
        <v>202</v>
      </c>
      <c r="C93">
        <v>1</v>
      </c>
      <c r="D93" s="16">
        <v>512</v>
      </c>
      <c r="E93" s="16">
        <v>4855000</v>
      </c>
      <c r="F93" s="16">
        <v>485500</v>
      </c>
      <c r="G93" s="16">
        <v>0</v>
      </c>
      <c r="H93" s="16">
        <v>0</v>
      </c>
      <c r="I93" s="16">
        <v>485500</v>
      </c>
      <c r="J93" s="12">
        <v>0</v>
      </c>
      <c r="K93" s="313">
        <v>0</v>
      </c>
      <c r="L93" s="123">
        <v>1600000</v>
      </c>
      <c r="M93" s="123">
        <v>0</v>
      </c>
      <c r="N93" s="12">
        <v>1600000</v>
      </c>
      <c r="O93" s="12">
        <v>-1114500</v>
      </c>
      <c r="P93" s="13">
        <v>-2.2955715756951598</v>
      </c>
      <c r="AH93" s="26">
        <v>6</v>
      </c>
      <c r="AI93">
        <v>270</v>
      </c>
      <c r="AJ93" s="16">
        <v>79559</v>
      </c>
      <c r="AK93" s="16">
        <v>698169000</v>
      </c>
      <c r="AL93" s="16">
        <v>160578870</v>
      </c>
      <c r="AM93" s="16">
        <v>32688000</v>
      </c>
      <c r="AN93" s="16">
        <v>33684670.5</v>
      </c>
      <c r="AO93" s="16">
        <v>226951540.5</v>
      </c>
      <c r="AP93" s="12">
        <v>139080500</v>
      </c>
      <c r="AQ93" s="313">
        <v>66150000</v>
      </c>
      <c r="AR93" s="123">
        <v>100000</v>
      </c>
      <c r="AS93" s="123">
        <v>327500</v>
      </c>
      <c r="AT93" s="12">
        <v>66577500</v>
      </c>
      <c r="AU93" s="12">
        <v>21293540.5</v>
      </c>
      <c r="AV93" s="13">
        <v>9.3824172566037284E-2</v>
      </c>
    </row>
    <row r="94" spans="2:48">
      <c r="B94" s="26">
        <v>12026</v>
      </c>
      <c r="C94">
        <v>1</v>
      </c>
      <c r="D94" s="16">
        <v>88</v>
      </c>
      <c r="E94" s="16">
        <v>841000</v>
      </c>
      <c r="F94" s="16">
        <v>84100</v>
      </c>
      <c r="G94" s="16">
        <v>0</v>
      </c>
      <c r="H94" s="16">
        <v>0</v>
      </c>
      <c r="I94" s="16">
        <v>84100</v>
      </c>
      <c r="J94" s="12">
        <v>0</v>
      </c>
      <c r="K94" s="313">
        <v>0</v>
      </c>
      <c r="L94" s="123">
        <v>200000</v>
      </c>
      <c r="M94" s="123">
        <v>0</v>
      </c>
      <c r="N94" s="12">
        <v>200000</v>
      </c>
      <c r="O94" s="12">
        <v>-115900</v>
      </c>
      <c r="P94" s="13">
        <v>-1.3781212841854935</v>
      </c>
      <c r="AH94" s="26">
        <v>7</v>
      </c>
      <c r="AI94">
        <v>269</v>
      </c>
      <c r="AJ94" s="16">
        <v>79236</v>
      </c>
      <c r="AK94" s="16">
        <v>695119000</v>
      </c>
      <c r="AL94" s="16">
        <v>159877370</v>
      </c>
      <c r="AM94" s="16">
        <v>32472000</v>
      </c>
      <c r="AN94" s="16">
        <v>33684670.5</v>
      </c>
      <c r="AO94" s="16">
        <v>226034040.5</v>
      </c>
      <c r="AP94" s="12">
        <v>137222500</v>
      </c>
      <c r="AQ94" s="313">
        <v>63140000</v>
      </c>
      <c r="AR94" s="123">
        <v>700000</v>
      </c>
      <c r="AS94" s="123">
        <v>327500</v>
      </c>
      <c r="AT94" s="12">
        <v>64167500</v>
      </c>
      <c r="AU94" s="12">
        <v>24644040.5</v>
      </c>
      <c r="AV94" s="13">
        <v>0.10902800500971445</v>
      </c>
    </row>
    <row r="95" spans="2:48">
      <c r="B95" s="26">
        <v>22026</v>
      </c>
      <c r="C95">
        <v>1</v>
      </c>
      <c r="D95" s="16">
        <v>124</v>
      </c>
      <c r="E95" s="16">
        <v>1165000</v>
      </c>
      <c r="F95" s="16">
        <v>116500</v>
      </c>
      <c r="G95" s="16">
        <v>0</v>
      </c>
      <c r="H95" s="16">
        <v>0</v>
      </c>
      <c r="I95" s="16">
        <v>116500</v>
      </c>
      <c r="J95" s="12">
        <v>0</v>
      </c>
      <c r="K95" s="313">
        <v>0</v>
      </c>
      <c r="L95" s="123">
        <v>350000</v>
      </c>
      <c r="M95" s="123">
        <v>0</v>
      </c>
      <c r="N95" s="12">
        <v>350000</v>
      </c>
      <c r="O95" s="12">
        <v>-233500</v>
      </c>
      <c r="P95" s="13">
        <v>-2.0042918454935621</v>
      </c>
      <c r="AH95" s="26">
        <v>8</v>
      </c>
      <c r="AI95">
        <v>275</v>
      </c>
      <c r="AJ95" s="16">
        <v>77850</v>
      </c>
      <c r="AK95" s="16">
        <v>682147000</v>
      </c>
      <c r="AL95" s="16">
        <v>156893810</v>
      </c>
      <c r="AM95" s="16">
        <v>33696000</v>
      </c>
      <c r="AN95" s="16">
        <v>33684670.5</v>
      </c>
      <c r="AO95" s="16">
        <v>224274480.5</v>
      </c>
      <c r="AP95" s="12">
        <v>197814500</v>
      </c>
      <c r="AQ95" s="313">
        <v>65520000</v>
      </c>
      <c r="AR95" s="123">
        <v>700000</v>
      </c>
      <c r="AS95" s="123">
        <v>327500</v>
      </c>
      <c r="AT95" s="12">
        <v>66547500</v>
      </c>
      <c r="AU95" s="12">
        <v>-40087519.5</v>
      </c>
      <c r="AV95" s="13">
        <v>-0.17874311607200447</v>
      </c>
    </row>
    <row r="96" spans="2:48">
      <c r="B96" s="26">
        <v>32026</v>
      </c>
      <c r="C96">
        <v>1</v>
      </c>
      <c r="D96" s="16">
        <v>79</v>
      </c>
      <c r="E96" s="16">
        <v>754000</v>
      </c>
      <c r="F96" s="16">
        <v>75400</v>
      </c>
      <c r="G96" s="16">
        <v>0</v>
      </c>
      <c r="H96" s="16">
        <v>0</v>
      </c>
      <c r="I96" s="16">
        <v>75400</v>
      </c>
      <c r="J96" s="12">
        <v>0</v>
      </c>
      <c r="K96" s="313">
        <v>0</v>
      </c>
      <c r="L96" s="123">
        <v>350000</v>
      </c>
      <c r="M96" s="123">
        <v>0</v>
      </c>
      <c r="N96" s="12">
        <v>350000</v>
      </c>
      <c r="O96" s="12">
        <v>-274600</v>
      </c>
      <c r="P96" s="13">
        <v>-3.6419098143236073</v>
      </c>
      <c r="AH96" s="26">
        <v>9</v>
      </c>
      <c r="AI96">
        <v>265</v>
      </c>
      <c r="AJ96" s="16">
        <v>72422</v>
      </c>
      <c r="AK96" s="16">
        <v>635239000</v>
      </c>
      <c r="AL96" s="16">
        <v>146104970</v>
      </c>
      <c r="AM96" s="16">
        <v>33300000</v>
      </c>
      <c r="AN96" s="16">
        <v>33919555.843317971</v>
      </c>
      <c r="AO96" s="16">
        <v>213324525.84331796</v>
      </c>
      <c r="AP96" s="12">
        <v>128424500</v>
      </c>
      <c r="AQ96" s="313">
        <v>64750000</v>
      </c>
      <c r="AR96" s="123">
        <v>700000</v>
      </c>
      <c r="AS96" s="123">
        <v>327499.99999999994</v>
      </c>
      <c r="AT96" s="12">
        <v>65777500</v>
      </c>
      <c r="AU96" s="12">
        <v>19122525.843317959</v>
      </c>
      <c r="AV96" s="13">
        <v>8.9640540710087049E-2</v>
      </c>
    </row>
    <row r="97" spans="2:48">
      <c r="B97" s="26">
        <v>42026</v>
      </c>
      <c r="C97">
        <v>1</v>
      </c>
      <c r="D97" s="16">
        <v>71</v>
      </c>
      <c r="E97" s="16">
        <v>679000</v>
      </c>
      <c r="F97" s="16">
        <v>67900</v>
      </c>
      <c r="G97" s="16">
        <v>0</v>
      </c>
      <c r="H97" s="16">
        <v>0</v>
      </c>
      <c r="I97" s="16">
        <v>67900</v>
      </c>
      <c r="J97" s="12">
        <v>0</v>
      </c>
      <c r="K97" s="313">
        <v>0</v>
      </c>
      <c r="L97" s="123">
        <v>350000</v>
      </c>
      <c r="M97" s="123">
        <v>0</v>
      </c>
      <c r="N97" s="12">
        <v>350000</v>
      </c>
      <c r="O97" s="12">
        <v>-282100</v>
      </c>
      <c r="P97" s="13">
        <v>-4.1546391752577323</v>
      </c>
      <c r="AH97" s="346">
        <v>10</v>
      </c>
      <c r="AI97" s="389">
        <v>293</v>
      </c>
      <c r="AJ97" s="303">
        <v>46482</v>
      </c>
      <c r="AK97" s="303">
        <v>411218000</v>
      </c>
      <c r="AL97" s="303">
        <v>94580140</v>
      </c>
      <c r="AM97" s="303">
        <v>35334000</v>
      </c>
      <c r="AN97" s="303">
        <v>35328867.903225802</v>
      </c>
      <c r="AO97" s="303">
        <v>165243007.90322581</v>
      </c>
      <c r="AP97" s="302">
        <v>89862000</v>
      </c>
      <c r="AQ97" s="347">
        <v>69930000</v>
      </c>
      <c r="AR97" s="348">
        <v>0</v>
      </c>
      <c r="AS97" s="348">
        <v>295806</v>
      </c>
      <c r="AT97" s="302">
        <v>70225806</v>
      </c>
      <c r="AU97" s="302">
        <v>5155201.9032258093</v>
      </c>
      <c r="AV97" s="304">
        <v>3.1197700699353896E-2</v>
      </c>
    </row>
    <row r="98" spans="2:48">
      <c r="B98" s="26">
        <v>52026</v>
      </c>
      <c r="C98">
        <v>1</v>
      </c>
      <c r="D98" s="16">
        <v>84</v>
      </c>
      <c r="E98" s="16">
        <v>789000</v>
      </c>
      <c r="F98" s="16">
        <v>78900</v>
      </c>
      <c r="G98" s="16">
        <v>0</v>
      </c>
      <c r="H98" s="16">
        <v>0</v>
      </c>
      <c r="I98" s="16">
        <v>78900</v>
      </c>
      <c r="J98" s="12">
        <v>0</v>
      </c>
      <c r="K98" s="313">
        <v>0</v>
      </c>
      <c r="L98" s="123">
        <v>350000</v>
      </c>
      <c r="M98" s="123">
        <v>0</v>
      </c>
      <c r="N98" s="12">
        <v>350000</v>
      </c>
      <c r="O98" s="12">
        <v>-271100</v>
      </c>
      <c r="P98" s="13">
        <v>-3.4359949302915083</v>
      </c>
      <c r="AH98" s="346">
        <v>11</v>
      </c>
      <c r="AI98" s="389">
        <v>279</v>
      </c>
      <c r="AJ98" s="303">
        <v>53003</v>
      </c>
      <c r="AK98" s="303">
        <v>468942000</v>
      </c>
      <c r="AL98" s="303">
        <v>107856660</v>
      </c>
      <c r="AM98" s="303">
        <v>33822000</v>
      </c>
      <c r="AN98" s="303">
        <v>35328867.903225802</v>
      </c>
      <c r="AO98" s="303">
        <v>177007527.90322581</v>
      </c>
      <c r="AP98" s="302">
        <v>101276000</v>
      </c>
      <c r="AQ98" s="347">
        <v>65765000</v>
      </c>
      <c r="AR98" s="348">
        <v>700000</v>
      </c>
      <c r="AS98" s="348">
        <v>295806</v>
      </c>
      <c r="AT98" s="302">
        <v>66760806</v>
      </c>
      <c r="AU98" s="302">
        <v>8970721.9032258093</v>
      </c>
      <c r="AV98" s="304">
        <v>5.0679889208612161E-2</v>
      </c>
    </row>
    <row r="99" spans="2:48">
      <c r="B99" s="26">
        <v>62026</v>
      </c>
      <c r="C99">
        <v>1</v>
      </c>
      <c r="D99" s="16">
        <v>49</v>
      </c>
      <c r="E99" s="16">
        <v>466000</v>
      </c>
      <c r="F99" s="16">
        <v>46600</v>
      </c>
      <c r="G99" s="16">
        <v>0</v>
      </c>
      <c r="H99" s="16">
        <v>0</v>
      </c>
      <c r="I99" s="16">
        <v>46600</v>
      </c>
      <c r="J99" s="12">
        <v>0</v>
      </c>
      <c r="K99" s="313">
        <v>0</v>
      </c>
      <c r="L99" s="123"/>
      <c r="M99" s="123">
        <v>0</v>
      </c>
      <c r="N99" s="12">
        <v>0</v>
      </c>
      <c r="O99" s="12">
        <v>46600</v>
      </c>
      <c r="P99" s="13">
        <v>1</v>
      </c>
      <c r="AH99" s="346">
        <v>12</v>
      </c>
      <c r="AI99" s="389">
        <v>278</v>
      </c>
      <c r="AJ99" s="303">
        <v>56718</v>
      </c>
      <c r="AK99" s="303">
        <v>501525000</v>
      </c>
      <c r="AL99" s="303">
        <v>115350750</v>
      </c>
      <c r="AM99" s="303">
        <v>33300000</v>
      </c>
      <c r="AN99" s="303">
        <v>35328867.903225802</v>
      </c>
      <c r="AO99" s="303">
        <v>183979617.90322581</v>
      </c>
      <c r="AP99" s="302">
        <v>107999500</v>
      </c>
      <c r="AQ99" s="347">
        <v>64750000</v>
      </c>
      <c r="AR99" s="348">
        <v>700000</v>
      </c>
      <c r="AS99" s="348">
        <v>294903</v>
      </c>
      <c r="AT99" s="302">
        <v>65744903</v>
      </c>
      <c r="AU99" s="302">
        <v>10235214.903225809</v>
      </c>
      <c r="AV99" s="304">
        <v>5.5632330471572039E-2</v>
      </c>
    </row>
    <row r="100" spans="2:48">
      <c r="B100" s="26">
        <v>72026</v>
      </c>
      <c r="C100">
        <v>1</v>
      </c>
      <c r="D100" s="16">
        <v>17</v>
      </c>
      <c r="E100" s="16">
        <v>161000</v>
      </c>
      <c r="F100" s="16">
        <v>16100</v>
      </c>
      <c r="G100" s="16">
        <v>0</v>
      </c>
      <c r="H100" s="16">
        <v>0</v>
      </c>
      <c r="I100" s="16">
        <v>16100</v>
      </c>
      <c r="J100" s="12">
        <v>0</v>
      </c>
      <c r="K100" s="313">
        <v>0</v>
      </c>
      <c r="L100" s="123">
        <v>0</v>
      </c>
      <c r="M100" s="123">
        <v>0</v>
      </c>
      <c r="N100" s="12">
        <v>0</v>
      </c>
      <c r="O100" s="12">
        <v>16100</v>
      </c>
      <c r="P100" s="13">
        <v>1</v>
      </c>
      <c r="AH100" s="346">
        <v>13</v>
      </c>
      <c r="AI100" s="389">
        <v>262</v>
      </c>
      <c r="AJ100" s="303">
        <v>25930</v>
      </c>
      <c r="AK100" s="303">
        <v>229587000</v>
      </c>
      <c r="AL100" s="303">
        <v>52805010</v>
      </c>
      <c r="AM100" s="303">
        <v>14112000</v>
      </c>
      <c r="AN100" s="303">
        <v>15140943.387096774</v>
      </c>
      <c r="AO100" s="303">
        <v>82057953.387096778</v>
      </c>
      <c r="AP100" s="302">
        <v>72140500</v>
      </c>
      <c r="AQ100" s="347">
        <v>27510000</v>
      </c>
      <c r="AR100" s="348">
        <v>300000</v>
      </c>
      <c r="AS100" s="348">
        <v>126774</v>
      </c>
      <c r="AT100" s="302">
        <v>27936774</v>
      </c>
      <c r="AU100" s="302">
        <v>-18019320.612903222</v>
      </c>
      <c r="AV100" s="304">
        <v>-0.21959261557377172</v>
      </c>
    </row>
    <row r="101" spans="2:48">
      <c r="B101" s="11" t="s">
        <v>176</v>
      </c>
      <c r="C101">
        <v>10</v>
      </c>
      <c r="D101" s="16">
        <v>2142</v>
      </c>
      <c r="E101" s="16">
        <v>20870000</v>
      </c>
      <c r="F101" s="16">
        <v>1460900</v>
      </c>
      <c r="G101" s="16">
        <v>0</v>
      </c>
      <c r="H101" s="16">
        <v>0</v>
      </c>
      <c r="I101" s="16">
        <v>1460900</v>
      </c>
      <c r="J101" s="12">
        <v>0</v>
      </c>
      <c r="K101" s="313">
        <v>0</v>
      </c>
      <c r="L101" s="123">
        <v>0</v>
      </c>
      <c r="M101" s="123">
        <v>0</v>
      </c>
      <c r="N101" s="12">
        <v>0</v>
      </c>
      <c r="O101" s="12">
        <v>1460900</v>
      </c>
      <c r="P101" s="13">
        <v>1</v>
      </c>
      <c r="AH101" s="26">
        <v>14</v>
      </c>
      <c r="AI101">
        <v>253</v>
      </c>
      <c r="AJ101" s="16">
        <v>107045</v>
      </c>
      <c r="AK101" s="16">
        <v>944615000</v>
      </c>
      <c r="AL101" s="16">
        <v>217261450</v>
      </c>
      <c r="AM101" s="16">
        <v>52293433.045454547</v>
      </c>
      <c r="AN101" s="16">
        <v>52269865.274193548</v>
      </c>
      <c r="AO101" s="16">
        <v>321824748.31964809</v>
      </c>
      <c r="AP101" s="12">
        <v>183050499.99999997</v>
      </c>
      <c r="AQ101" s="313">
        <v>97300000</v>
      </c>
      <c r="AR101" s="123">
        <v>700000</v>
      </c>
      <c r="AS101" s="123">
        <v>295806</v>
      </c>
      <c r="AT101" s="12">
        <v>98295806</v>
      </c>
      <c r="AU101" s="12">
        <v>40478442.319648117</v>
      </c>
      <c r="AV101" s="13">
        <v>0.12577790406424386</v>
      </c>
    </row>
    <row r="102" spans="2:48">
      <c r="B102" s="26">
        <v>12026</v>
      </c>
      <c r="C102">
        <v>10</v>
      </c>
      <c r="D102" s="16">
        <v>168</v>
      </c>
      <c r="E102" s="16">
        <v>1598000</v>
      </c>
      <c r="F102" s="16">
        <v>111860.00000000001</v>
      </c>
      <c r="G102" s="16">
        <v>0</v>
      </c>
      <c r="H102" s="16">
        <v>0</v>
      </c>
      <c r="I102" s="16">
        <v>111860.00000000001</v>
      </c>
      <c r="J102" s="12">
        <v>0</v>
      </c>
      <c r="K102" s="313">
        <v>0</v>
      </c>
      <c r="L102" s="123">
        <v>0</v>
      </c>
      <c r="M102" s="123">
        <v>0</v>
      </c>
      <c r="N102" s="12">
        <v>0</v>
      </c>
      <c r="O102" s="12">
        <v>111860.00000000001</v>
      </c>
      <c r="P102" s="13">
        <v>1</v>
      </c>
      <c r="AH102" s="26">
        <v>40</v>
      </c>
      <c r="AI102">
        <v>243</v>
      </c>
      <c r="AJ102" s="16">
        <v>73131</v>
      </c>
      <c r="AK102" s="16">
        <v>641296000</v>
      </c>
      <c r="AL102" s="16">
        <v>166736960</v>
      </c>
      <c r="AM102" s="16">
        <v>39400000</v>
      </c>
      <c r="AN102" s="16">
        <v>0</v>
      </c>
      <c r="AO102" s="16">
        <v>207811960</v>
      </c>
      <c r="AP102" s="12">
        <v>139152530</v>
      </c>
      <c r="AQ102" s="313">
        <v>60270000</v>
      </c>
      <c r="AR102" s="123">
        <v>3325000</v>
      </c>
      <c r="AS102" s="123">
        <v>286888.2781362008</v>
      </c>
      <c r="AT102" s="12">
        <v>64506888.278136209</v>
      </c>
      <c r="AU102" s="12">
        <v>4152541.7218637615</v>
      </c>
      <c r="AV102" s="13">
        <v>1.998220757777253E-2</v>
      </c>
    </row>
    <row r="103" spans="2:48">
      <c r="B103" s="26">
        <v>22026</v>
      </c>
      <c r="C103">
        <v>9</v>
      </c>
      <c r="D103" s="16">
        <v>374</v>
      </c>
      <c r="E103" s="16">
        <v>3570000</v>
      </c>
      <c r="F103" s="16">
        <v>249900.00000000003</v>
      </c>
      <c r="G103" s="16">
        <v>0</v>
      </c>
      <c r="H103" s="16">
        <v>0</v>
      </c>
      <c r="I103" s="16">
        <v>249900.00000000003</v>
      </c>
      <c r="J103" s="12">
        <v>0</v>
      </c>
      <c r="K103" s="313">
        <v>0</v>
      </c>
      <c r="L103" s="123">
        <v>0</v>
      </c>
      <c r="M103" s="123">
        <v>0</v>
      </c>
      <c r="N103" s="12">
        <v>0</v>
      </c>
      <c r="O103" s="12">
        <v>249900.00000000003</v>
      </c>
      <c r="P103" s="13">
        <v>1</v>
      </c>
      <c r="AH103" s="26">
        <v>39</v>
      </c>
      <c r="AI103">
        <v>251</v>
      </c>
      <c r="AJ103" s="16">
        <v>75797</v>
      </c>
      <c r="AK103" s="16">
        <v>663928000</v>
      </c>
      <c r="AL103" s="16">
        <v>172621280</v>
      </c>
      <c r="AM103" s="16">
        <v>37975000</v>
      </c>
      <c r="AN103" s="16">
        <v>0</v>
      </c>
      <c r="AO103" s="16">
        <v>212021280</v>
      </c>
      <c r="AP103" s="12">
        <v>151851230</v>
      </c>
      <c r="AQ103" s="313">
        <v>61495000</v>
      </c>
      <c r="AR103" s="123">
        <v>3425000</v>
      </c>
      <c r="AS103" s="123">
        <v>295448</v>
      </c>
      <c r="AT103" s="12">
        <v>65215448</v>
      </c>
      <c r="AU103" s="12">
        <v>-5045398</v>
      </c>
      <c r="AV103" s="13">
        <v>-2.3796658524087771E-2</v>
      </c>
    </row>
    <row r="104" spans="2:48">
      <c r="B104" s="26">
        <v>32026</v>
      </c>
      <c r="C104">
        <v>9</v>
      </c>
      <c r="D104" s="16">
        <v>320</v>
      </c>
      <c r="E104" s="16">
        <v>3084000</v>
      </c>
      <c r="F104" s="16">
        <v>215880.00000000003</v>
      </c>
      <c r="G104" s="16">
        <v>0</v>
      </c>
      <c r="H104" s="16">
        <v>0</v>
      </c>
      <c r="I104" s="16">
        <v>215880.00000000003</v>
      </c>
      <c r="J104" s="12">
        <v>0</v>
      </c>
      <c r="K104" s="313">
        <v>0</v>
      </c>
      <c r="L104" s="123">
        <v>0</v>
      </c>
      <c r="M104" s="123">
        <v>0</v>
      </c>
      <c r="N104" s="12">
        <v>0</v>
      </c>
      <c r="O104" s="12">
        <v>215880.00000000003</v>
      </c>
      <c r="P104" s="13">
        <v>1</v>
      </c>
      <c r="AH104" s="26">
        <v>38</v>
      </c>
      <c r="AI104">
        <v>239</v>
      </c>
      <c r="AJ104" s="16">
        <v>68817</v>
      </c>
      <c r="AK104" s="16">
        <v>601724000</v>
      </c>
      <c r="AL104" s="16">
        <v>156448240</v>
      </c>
      <c r="AM104" s="16">
        <v>36775000</v>
      </c>
      <c r="AN104" s="16">
        <v>0</v>
      </c>
      <c r="AO104" s="16">
        <v>194273240</v>
      </c>
      <c r="AP104" s="12">
        <v>135020425</v>
      </c>
      <c r="AQ104" s="313">
        <v>58555000</v>
      </c>
      <c r="AR104" s="123">
        <v>3325000</v>
      </c>
      <c r="AS104" s="123">
        <v>295448</v>
      </c>
      <c r="AT104" s="12">
        <v>62175448</v>
      </c>
      <c r="AU104" s="12">
        <v>-2922633</v>
      </c>
      <c r="AV104" s="13">
        <v>-1.5043929879380196E-2</v>
      </c>
    </row>
    <row r="105" spans="2:48">
      <c r="B105" s="26">
        <v>42026</v>
      </c>
      <c r="C105">
        <v>9</v>
      </c>
      <c r="D105" s="16">
        <v>276</v>
      </c>
      <c r="E105" s="16">
        <v>2655000</v>
      </c>
      <c r="F105" s="16">
        <v>185850.00000000003</v>
      </c>
      <c r="G105" s="16">
        <v>0</v>
      </c>
      <c r="H105" s="16">
        <v>0</v>
      </c>
      <c r="I105" s="16">
        <v>185850.00000000003</v>
      </c>
      <c r="J105" s="12">
        <v>0</v>
      </c>
      <c r="K105" s="313">
        <v>0</v>
      </c>
      <c r="L105" s="123">
        <v>0</v>
      </c>
      <c r="M105" s="123">
        <v>0</v>
      </c>
      <c r="N105" s="12">
        <v>0</v>
      </c>
      <c r="O105" s="12">
        <v>185850.00000000003</v>
      </c>
      <c r="P105" s="13">
        <v>1</v>
      </c>
      <c r="AH105" s="26">
        <v>37</v>
      </c>
      <c r="AI105">
        <v>247</v>
      </c>
      <c r="AJ105" s="16">
        <v>70564</v>
      </c>
      <c r="AK105" s="16">
        <v>618344000</v>
      </c>
      <c r="AL105" s="16">
        <v>160769440</v>
      </c>
      <c r="AM105" s="16">
        <v>38750000</v>
      </c>
      <c r="AN105" s="16">
        <v>0</v>
      </c>
      <c r="AO105" s="16">
        <v>200279440</v>
      </c>
      <c r="AP105" s="12">
        <v>132051920</v>
      </c>
      <c r="AQ105" s="313">
        <v>60515000</v>
      </c>
      <c r="AR105" s="123">
        <v>2875000</v>
      </c>
      <c r="AS105" s="123">
        <v>295448.0744444445</v>
      </c>
      <c r="AT105" s="12">
        <v>63685448.074444443</v>
      </c>
      <c r="AU105" s="12">
        <v>4542071.925555557</v>
      </c>
      <c r="AV105" s="13">
        <v>2.2678672985881911E-2</v>
      </c>
    </row>
    <row r="106" spans="2:48">
      <c r="B106" s="26">
        <v>52026</v>
      </c>
      <c r="C106">
        <v>8</v>
      </c>
      <c r="D106" s="16">
        <v>361</v>
      </c>
      <c r="E106" s="16">
        <v>3483000</v>
      </c>
      <c r="F106" s="16">
        <v>243810.00000000003</v>
      </c>
      <c r="G106" s="16">
        <v>0</v>
      </c>
      <c r="H106" s="16">
        <v>0</v>
      </c>
      <c r="I106" s="16">
        <v>243810.00000000003</v>
      </c>
      <c r="J106" s="12">
        <v>0</v>
      </c>
      <c r="K106" s="313">
        <v>0</v>
      </c>
      <c r="L106" s="123">
        <v>0</v>
      </c>
      <c r="M106" s="123">
        <v>0</v>
      </c>
      <c r="N106" s="12">
        <v>0</v>
      </c>
      <c r="O106" s="12">
        <v>243810.00000000003</v>
      </c>
      <c r="P106" s="13">
        <v>1</v>
      </c>
      <c r="AH106" s="26">
        <v>36</v>
      </c>
      <c r="AI106">
        <v>244</v>
      </c>
      <c r="AJ106" s="16">
        <v>82028</v>
      </c>
      <c r="AK106" s="16">
        <v>719192000</v>
      </c>
      <c r="AL106" s="16">
        <v>186989920</v>
      </c>
      <c r="AM106" s="16">
        <v>36825000</v>
      </c>
      <c r="AN106" s="16">
        <v>0</v>
      </c>
      <c r="AO106" s="16">
        <v>224614920</v>
      </c>
      <c r="AP106" s="12">
        <v>155228850</v>
      </c>
      <c r="AQ106" s="313">
        <v>59780000</v>
      </c>
      <c r="AR106" s="123">
        <v>2275000</v>
      </c>
      <c r="AS106" s="123">
        <v>295448.0744444445</v>
      </c>
      <c r="AT106" s="12">
        <v>62350448.074444443</v>
      </c>
      <c r="AU106" s="12">
        <v>7035621.925555557</v>
      </c>
      <c r="AV106" s="13">
        <v>3.1323039117595382E-2</v>
      </c>
    </row>
    <row r="107" spans="2:48">
      <c r="B107" s="26">
        <v>62026</v>
      </c>
      <c r="C107">
        <v>6</v>
      </c>
      <c r="D107" s="16">
        <v>218</v>
      </c>
      <c r="E107" s="16">
        <v>2139000</v>
      </c>
      <c r="F107" s="16">
        <v>149730</v>
      </c>
      <c r="G107" s="16">
        <v>0</v>
      </c>
      <c r="H107" s="16">
        <v>0</v>
      </c>
      <c r="I107" s="16">
        <v>149730</v>
      </c>
      <c r="J107" s="12">
        <v>0</v>
      </c>
      <c r="K107" s="313">
        <v>0</v>
      </c>
      <c r="L107" s="123">
        <v>0</v>
      </c>
      <c r="M107" s="123">
        <v>0</v>
      </c>
      <c r="N107" s="12">
        <v>0</v>
      </c>
      <c r="O107" s="12">
        <v>149730</v>
      </c>
      <c r="P107" s="13">
        <v>1</v>
      </c>
      <c r="AH107" s="26">
        <v>35</v>
      </c>
      <c r="AI107">
        <v>251</v>
      </c>
      <c r="AJ107" s="16">
        <v>75783</v>
      </c>
      <c r="AK107" s="16">
        <v>662698000</v>
      </c>
      <c r="AL107" s="16">
        <v>172301480</v>
      </c>
      <c r="AM107" s="16">
        <v>39325000</v>
      </c>
      <c r="AN107" s="16">
        <v>0</v>
      </c>
      <c r="AO107" s="16">
        <v>211626480</v>
      </c>
      <c r="AP107" s="12">
        <v>152588685</v>
      </c>
      <c r="AQ107" s="313">
        <v>61495000</v>
      </c>
      <c r="AR107" s="123">
        <v>5175000</v>
      </c>
      <c r="AS107" s="123">
        <v>292006.16666666663</v>
      </c>
      <c r="AT107" s="12">
        <v>67856999.847307503</v>
      </c>
      <c r="AU107" s="12">
        <v>-8819204.8473075032</v>
      </c>
      <c r="AV107" s="13">
        <v>-4.1673446760100645E-2</v>
      </c>
    </row>
    <row r="108" spans="2:48">
      <c r="B108" s="26">
        <v>72026</v>
      </c>
      <c r="C108">
        <v>6</v>
      </c>
      <c r="D108" s="16">
        <v>309</v>
      </c>
      <c r="E108" s="16">
        <v>2991000</v>
      </c>
      <c r="F108" s="16">
        <v>209370.00000000003</v>
      </c>
      <c r="G108" s="16">
        <v>0</v>
      </c>
      <c r="H108" s="16">
        <v>0</v>
      </c>
      <c r="I108" s="16">
        <v>209370.00000000003</v>
      </c>
      <c r="J108" s="12">
        <v>0</v>
      </c>
      <c r="K108" s="313">
        <v>0</v>
      </c>
      <c r="L108" s="123">
        <v>0</v>
      </c>
      <c r="M108" s="123">
        <v>0</v>
      </c>
      <c r="N108" s="12">
        <v>0</v>
      </c>
      <c r="O108" s="12">
        <v>209370.00000000003</v>
      </c>
      <c r="P108" s="13">
        <v>1</v>
      </c>
      <c r="AH108" s="26">
        <v>34</v>
      </c>
      <c r="AI108">
        <v>248</v>
      </c>
      <c r="AJ108" s="16">
        <v>71213</v>
      </c>
      <c r="AK108" s="16">
        <v>623200000</v>
      </c>
      <c r="AL108" s="16">
        <v>162032000</v>
      </c>
      <c r="AM108" s="16">
        <v>39010000</v>
      </c>
      <c r="AN108" s="16">
        <v>0</v>
      </c>
      <c r="AO108" s="16">
        <v>201042000</v>
      </c>
      <c r="AP108" s="12">
        <v>127419800</v>
      </c>
      <c r="AQ108" s="313">
        <v>60515000</v>
      </c>
      <c r="AR108" s="123">
        <v>3525000</v>
      </c>
      <c r="AS108" s="123">
        <v>292006.16666666698</v>
      </c>
      <c r="AT108" s="12">
        <v>64407006.166666664</v>
      </c>
      <c r="AU108" s="12">
        <v>9215193.8333333433</v>
      </c>
      <c r="AV108" s="13">
        <v>4.5837157575697333E-2</v>
      </c>
    </row>
    <row r="109" spans="2:48">
      <c r="B109" s="26">
        <v>82026</v>
      </c>
      <c r="C109">
        <v>4</v>
      </c>
      <c r="D109" s="16">
        <v>73</v>
      </c>
      <c r="E109" s="16">
        <v>941000</v>
      </c>
      <c r="F109" s="16">
        <v>65870</v>
      </c>
      <c r="G109" s="16">
        <v>0</v>
      </c>
      <c r="H109" s="16">
        <v>0</v>
      </c>
      <c r="I109" s="16">
        <v>65870</v>
      </c>
      <c r="J109" s="12">
        <v>0</v>
      </c>
      <c r="K109" s="313">
        <v>0</v>
      </c>
      <c r="L109" s="123">
        <v>0</v>
      </c>
      <c r="M109" s="123">
        <v>0</v>
      </c>
      <c r="N109" s="12">
        <v>0</v>
      </c>
      <c r="O109" s="12">
        <v>65870</v>
      </c>
      <c r="P109" s="13">
        <v>1</v>
      </c>
      <c r="AH109" s="26">
        <v>33</v>
      </c>
      <c r="AI109">
        <v>254</v>
      </c>
      <c r="AJ109" s="16">
        <v>75983</v>
      </c>
      <c r="AK109" s="16">
        <v>664506000</v>
      </c>
      <c r="AL109" s="16">
        <v>172771560</v>
      </c>
      <c r="AM109" s="16">
        <v>39950000</v>
      </c>
      <c r="AN109" s="16">
        <v>0</v>
      </c>
      <c r="AO109" s="16">
        <v>212721560</v>
      </c>
      <c r="AP109" s="12">
        <v>137377405</v>
      </c>
      <c r="AQ109" s="313">
        <v>62230000</v>
      </c>
      <c r="AR109" s="123">
        <v>3525000</v>
      </c>
      <c r="AS109" s="123">
        <v>292006.16666666663</v>
      </c>
      <c r="AT109" s="12">
        <v>66047006.166666664</v>
      </c>
      <c r="AU109" s="12">
        <v>9297148.8333333433</v>
      </c>
      <c r="AV109" s="13">
        <v>4.3705719501743706E-2</v>
      </c>
    </row>
    <row r="110" spans="2:48">
      <c r="B110" s="26">
        <v>92026</v>
      </c>
      <c r="C110">
        <v>4</v>
      </c>
      <c r="D110" s="16">
        <v>43</v>
      </c>
      <c r="E110" s="16">
        <v>409000</v>
      </c>
      <c r="F110" s="16">
        <v>28630.000000000004</v>
      </c>
      <c r="G110" s="16">
        <v>0</v>
      </c>
      <c r="H110" s="16">
        <v>0</v>
      </c>
      <c r="I110" s="16">
        <v>28630.000000000004</v>
      </c>
      <c r="J110" s="12">
        <v>0</v>
      </c>
      <c r="K110" s="313">
        <v>0</v>
      </c>
      <c r="L110" s="123">
        <v>0</v>
      </c>
      <c r="M110" s="123">
        <v>0</v>
      </c>
      <c r="N110" s="12">
        <v>0</v>
      </c>
      <c r="O110" s="12">
        <v>28630.000000000004</v>
      </c>
      <c r="P110" s="13">
        <v>1</v>
      </c>
      <c r="AH110" s="26">
        <v>32</v>
      </c>
      <c r="AI110">
        <v>263</v>
      </c>
      <c r="AJ110" s="16">
        <v>78810</v>
      </c>
      <c r="AK110" s="16">
        <v>689866000</v>
      </c>
      <c r="AL110" s="16">
        <v>179365160</v>
      </c>
      <c r="AM110" s="16">
        <v>38350000</v>
      </c>
      <c r="AN110" s="16">
        <v>0</v>
      </c>
      <c r="AO110" s="16">
        <v>217715160</v>
      </c>
      <c r="AP110" s="12">
        <v>141827295</v>
      </c>
      <c r="AQ110" s="313">
        <v>64435000</v>
      </c>
      <c r="AR110" s="123">
        <v>3625000</v>
      </c>
      <c r="AS110" s="123">
        <v>292006.16666666663</v>
      </c>
      <c r="AT110" s="12">
        <v>68602006.166666672</v>
      </c>
      <c r="AU110" s="12">
        <v>7285858.8333333135</v>
      </c>
      <c r="AV110" s="13">
        <v>3.3465096474371896E-2</v>
      </c>
    </row>
    <row r="111" spans="2:48">
      <c r="B111" s="11" t="s">
        <v>204</v>
      </c>
      <c r="C111">
        <v>2</v>
      </c>
      <c r="D111" s="16">
        <v>32</v>
      </c>
      <c r="E111" s="16">
        <v>240000</v>
      </c>
      <c r="F111" s="16">
        <v>72000</v>
      </c>
      <c r="G111" s="16">
        <v>0</v>
      </c>
      <c r="H111" s="16">
        <v>0</v>
      </c>
      <c r="I111" s="16">
        <v>72000</v>
      </c>
      <c r="J111" s="12">
        <v>0</v>
      </c>
      <c r="K111" s="313">
        <v>0</v>
      </c>
      <c r="L111" s="123">
        <v>0</v>
      </c>
      <c r="M111" s="123">
        <v>0</v>
      </c>
      <c r="N111" s="12">
        <v>0</v>
      </c>
      <c r="O111" s="12">
        <v>72000</v>
      </c>
      <c r="P111" s="13">
        <v>1</v>
      </c>
      <c r="AH111" s="26">
        <v>15</v>
      </c>
      <c r="AI111">
        <v>242</v>
      </c>
      <c r="AJ111" s="16">
        <v>74419</v>
      </c>
      <c r="AK111" s="16">
        <v>652814000</v>
      </c>
      <c r="AL111" s="16">
        <v>150147220</v>
      </c>
      <c r="AM111" s="16">
        <v>30783169.900000002</v>
      </c>
      <c r="AN111" s="16">
        <v>30783169.900000002</v>
      </c>
      <c r="AO111" s="16">
        <v>211713559.80000001</v>
      </c>
      <c r="AP111" s="12">
        <v>128840000</v>
      </c>
      <c r="AQ111" s="313">
        <v>56420000</v>
      </c>
      <c r="AR111" s="123">
        <v>700000</v>
      </c>
      <c r="AS111" s="123">
        <v>295129</v>
      </c>
      <c r="AT111" s="12">
        <v>57415129</v>
      </c>
      <c r="AU111" s="12">
        <v>25458430.800000012</v>
      </c>
      <c r="AV111" s="13">
        <v>0.12024941068512519</v>
      </c>
    </row>
    <row r="112" spans="2:48">
      <c r="B112" s="26">
        <v>12026</v>
      </c>
      <c r="C112">
        <v>2</v>
      </c>
      <c r="D112" s="16">
        <v>32</v>
      </c>
      <c r="E112" s="16">
        <v>240000</v>
      </c>
      <c r="F112" s="16">
        <v>72000</v>
      </c>
      <c r="G112" s="16">
        <v>0</v>
      </c>
      <c r="H112" s="16">
        <v>0</v>
      </c>
      <c r="I112" s="16">
        <v>72000</v>
      </c>
      <c r="J112" s="12">
        <v>0</v>
      </c>
      <c r="K112" s="313">
        <v>0</v>
      </c>
      <c r="L112" s="123">
        <v>0</v>
      </c>
      <c r="M112" s="123">
        <v>0</v>
      </c>
      <c r="N112" s="12">
        <v>0</v>
      </c>
      <c r="O112" s="12">
        <v>72000</v>
      </c>
      <c r="P112" s="13">
        <v>1</v>
      </c>
      <c r="AH112" s="26">
        <v>16</v>
      </c>
      <c r="AI112">
        <v>244</v>
      </c>
      <c r="AJ112" s="16">
        <v>78589</v>
      </c>
      <c r="AK112" s="16">
        <v>687965000</v>
      </c>
      <c r="AL112" s="16">
        <v>158231950</v>
      </c>
      <c r="AM112" s="16">
        <v>30783169.900000002</v>
      </c>
      <c r="AN112" s="16">
        <v>30783169.900000002</v>
      </c>
      <c r="AO112" s="16">
        <v>219798289.80000001</v>
      </c>
      <c r="AP112" s="12">
        <v>135645500</v>
      </c>
      <c r="AQ112" s="313">
        <v>57575000</v>
      </c>
      <c r="AR112" s="123">
        <v>700000</v>
      </c>
      <c r="AS112" s="123">
        <v>295129</v>
      </c>
      <c r="AT112" s="12">
        <v>58570129</v>
      </c>
      <c r="AU112" s="12">
        <v>25582660.800000012</v>
      </c>
      <c r="AV112" s="13">
        <v>0.11639153709193242</v>
      </c>
    </row>
    <row r="113" spans="2:48">
      <c r="B113" s="11" t="s">
        <v>167</v>
      </c>
      <c r="C113">
        <v>227</v>
      </c>
      <c r="D113" s="16">
        <v>877075</v>
      </c>
      <c r="E113" s="16">
        <v>7609486879</v>
      </c>
      <c r="F113" s="16">
        <v>1963720596.1000004</v>
      </c>
      <c r="G113" s="16">
        <v>549272142.85714293</v>
      </c>
      <c r="H113" s="16">
        <v>0</v>
      </c>
      <c r="I113" s="16">
        <v>2532803453.242857</v>
      </c>
      <c r="J113" s="12">
        <v>1623943451.4285715</v>
      </c>
      <c r="K113" s="313">
        <v>874300000</v>
      </c>
      <c r="L113" s="123">
        <v>77910714.285714284</v>
      </c>
      <c r="M113" s="123">
        <v>8514853.5651612934</v>
      </c>
      <c r="N113" s="12">
        <v>960725567.85087526</v>
      </c>
      <c r="O113" s="12">
        <v>-51865566.036589935</v>
      </c>
      <c r="P113" s="13">
        <v>-2.0477532897463568E-2</v>
      </c>
      <c r="AH113" s="26">
        <v>17</v>
      </c>
      <c r="AI113">
        <v>253</v>
      </c>
      <c r="AJ113" s="16">
        <v>83695</v>
      </c>
      <c r="AK113" s="16">
        <v>731507000</v>
      </c>
      <c r="AL113" s="16">
        <v>168246610</v>
      </c>
      <c r="AM113" s="16">
        <v>30783169.900000002</v>
      </c>
      <c r="AN113" s="16">
        <v>30783169.900000002</v>
      </c>
      <c r="AO113" s="16">
        <v>229812949.80000001</v>
      </c>
      <c r="AP113" s="12">
        <v>200928500</v>
      </c>
      <c r="AQ113" s="313">
        <v>59325000</v>
      </c>
      <c r="AR113" s="123">
        <v>1150000</v>
      </c>
      <c r="AS113" s="123">
        <v>295129</v>
      </c>
      <c r="AT113" s="12">
        <v>60770129</v>
      </c>
      <c r="AU113" s="12">
        <v>-31885679.199999988</v>
      </c>
      <c r="AV113" s="13">
        <v>-0.13874622482218357</v>
      </c>
    </row>
    <row r="114" spans="2:48">
      <c r="AH114" s="26">
        <v>18</v>
      </c>
      <c r="AI114">
        <v>245</v>
      </c>
      <c r="AJ114" s="16">
        <v>97549</v>
      </c>
      <c r="AK114" s="16">
        <v>852341000</v>
      </c>
      <c r="AL114" s="16">
        <v>196038430</v>
      </c>
      <c r="AM114" s="16">
        <v>35662382.799999997</v>
      </c>
      <c r="AN114" s="16">
        <v>37076244.606451616</v>
      </c>
      <c r="AO114" s="16">
        <v>268777057.40645158</v>
      </c>
      <c r="AP114" s="12">
        <v>164847500</v>
      </c>
      <c r="AQ114" s="313">
        <v>70280000</v>
      </c>
      <c r="AR114" s="123">
        <v>1650000</v>
      </c>
      <c r="AS114" s="123">
        <v>295129</v>
      </c>
      <c r="AT114" s="12">
        <v>72225129</v>
      </c>
      <c r="AU114" s="12">
        <v>31704428.406451613</v>
      </c>
      <c r="AV114" s="13">
        <v>0.11795809029379825</v>
      </c>
    </row>
    <row r="115" spans="2:48">
      <c r="AH115" s="26">
        <v>19</v>
      </c>
      <c r="AI115">
        <v>265</v>
      </c>
      <c r="AJ115" s="16">
        <v>81238</v>
      </c>
      <c r="AK115" s="16">
        <v>708402000</v>
      </c>
      <c r="AL115" s="16">
        <v>162932460</v>
      </c>
      <c r="AM115" s="16">
        <v>32292000</v>
      </c>
      <c r="AN115" s="16">
        <v>34100258.161290325</v>
      </c>
      <c r="AO115" s="16">
        <v>229324718.16129032</v>
      </c>
      <c r="AP115" s="12">
        <v>141106000</v>
      </c>
      <c r="AQ115" s="313">
        <v>62790000</v>
      </c>
      <c r="AR115" s="123">
        <v>700000</v>
      </c>
      <c r="AS115" s="123">
        <v>648065</v>
      </c>
      <c r="AT115" s="12">
        <v>64138065</v>
      </c>
      <c r="AU115" s="12">
        <v>24080653.161290318</v>
      </c>
      <c r="AV115" s="13">
        <v>0.10500679278870295</v>
      </c>
    </row>
    <row r="116" spans="2:48">
      <c r="AH116" s="26">
        <v>20</v>
      </c>
      <c r="AI116">
        <v>272</v>
      </c>
      <c r="AJ116" s="16">
        <v>80168</v>
      </c>
      <c r="AK116" s="16">
        <v>699181000</v>
      </c>
      <c r="AL116" s="16">
        <v>160811630</v>
      </c>
      <c r="AM116" s="16">
        <v>32850000</v>
      </c>
      <c r="AN116" s="16">
        <v>34100258.161290325</v>
      </c>
      <c r="AO116" s="16">
        <v>227761888.16129032</v>
      </c>
      <c r="AP116" s="12">
        <v>139442500</v>
      </c>
      <c r="AQ116" s="313">
        <v>63875000</v>
      </c>
      <c r="AR116" s="123">
        <v>1450000</v>
      </c>
      <c r="AS116" s="123">
        <v>648065</v>
      </c>
      <c r="AT116" s="12">
        <v>65973065</v>
      </c>
      <c r="AU116" s="12">
        <v>22346323.161290318</v>
      </c>
      <c r="AV116" s="13">
        <v>9.8112653270004929E-2</v>
      </c>
    </row>
    <row r="117" spans="2:48">
      <c r="AH117" s="26">
        <v>21</v>
      </c>
      <c r="AI117">
        <v>275</v>
      </c>
      <c r="AJ117" s="16">
        <v>77750</v>
      </c>
      <c r="AK117" s="16">
        <v>677939000</v>
      </c>
      <c r="AL117" s="16">
        <v>155925970</v>
      </c>
      <c r="AM117" s="16">
        <v>40650000</v>
      </c>
      <c r="AN117" s="16">
        <v>34100258.161290325</v>
      </c>
      <c r="AO117" s="16">
        <v>230676228.16129032</v>
      </c>
      <c r="AP117" s="12">
        <v>199452500</v>
      </c>
      <c r="AQ117" s="313">
        <v>64995000</v>
      </c>
      <c r="AR117" s="123">
        <v>1675000</v>
      </c>
      <c r="AS117" s="123">
        <v>648064.51612903224</v>
      </c>
      <c r="AT117" s="12">
        <v>67318064.516129032</v>
      </c>
      <c r="AU117" s="12">
        <v>-36094336.354838699</v>
      </c>
      <c r="AV117" s="13">
        <v>-0.15647185079513831</v>
      </c>
    </row>
    <row r="118" spans="2:48">
      <c r="AH118" s="26">
        <v>22</v>
      </c>
      <c r="AI118">
        <v>269</v>
      </c>
      <c r="AJ118" s="16">
        <v>86277</v>
      </c>
      <c r="AK118" s="16">
        <v>751984000</v>
      </c>
      <c r="AL118" s="16">
        <v>172956320</v>
      </c>
      <c r="AM118" s="16">
        <v>33660000</v>
      </c>
      <c r="AN118" s="16">
        <v>34361364.084677413</v>
      </c>
      <c r="AO118" s="16">
        <v>240977684.08467743</v>
      </c>
      <c r="AP118" s="12">
        <v>147800000</v>
      </c>
      <c r="AQ118" s="313">
        <v>65450000</v>
      </c>
      <c r="AR118" s="123">
        <v>3250000</v>
      </c>
      <c r="AS118" s="123">
        <v>648064.51612903201</v>
      </c>
      <c r="AT118" s="12">
        <v>69933064.516129032</v>
      </c>
      <c r="AU118" s="12">
        <v>23244619.568548407</v>
      </c>
      <c r="AV118" s="13">
        <v>9.6459635492141482E-2</v>
      </c>
    </row>
    <row r="119" spans="2:48">
      <c r="AH119" s="26">
        <v>23</v>
      </c>
      <c r="AI119">
        <v>275</v>
      </c>
      <c r="AJ119" s="16">
        <v>90194</v>
      </c>
      <c r="AK119" s="16">
        <v>788438000</v>
      </c>
      <c r="AL119" s="16">
        <v>181340740</v>
      </c>
      <c r="AM119" s="16">
        <v>33912000</v>
      </c>
      <c r="AN119" s="16">
        <v>35927999.625</v>
      </c>
      <c r="AO119" s="16">
        <v>251180739.625</v>
      </c>
      <c r="AP119" s="12">
        <v>152865000</v>
      </c>
      <c r="AQ119" s="313">
        <v>65940000</v>
      </c>
      <c r="AR119" s="123">
        <v>1025000</v>
      </c>
      <c r="AS119" s="123">
        <v>648064.51612903224</v>
      </c>
      <c r="AT119" s="12">
        <v>67613064.516129032</v>
      </c>
      <c r="AU119" s="12">
        <v>30702675.108870983</v>
      </c>
      <c r="AV119" s="13">
        <v>0.12223339717332032</v>
      </c>
    </row>
    <row r="120" spans="2:48">
      <c r="AH120" s="26">
        <v>24</v>
      </c>
      <c r="AI120">
        <v>271</v>
      </c>
      <c r="AJ120" s="16">
        <v>84711</v>
      </c>
      <c r="AK120" s="16">
        <v>762978000</v>
      </c>
      <c r="AL120" s="16">
        <v>198374280</v>
      </c>
      <c r="AM120" s="16">
        <v>46675000</v>
      </c>
      <c r="AN120" s="16">
        <v>0</v>
      </c>
      <c r="AO120" s="16">
        <v>245049280</v>
      </c>
      <c r="AP120" s="12">
        <v>155277185</v>
      </c>
      <c r="AQ120" s="313">
        <v>65345000</v>
      </c>
      <c r="AR120" s="123">
        <v>2050000</v>
      </c>
      <c r="AS120" s="123">
        <v>648064.51612903224</v>
      </c>
      <c r="AT120" s="12">
        <v>68043064.516129032</v>
      </c>
      <c r="AU120" s="12">
        <v>21729030.483870983</v>
      </c>
      <c r="AV120" s="13">
        <v>8.8672084585888128E-2</v>
      </c>
    </row>
    <row r="121" spans="2:48">
      <c r="AH121" s="26">
        <v>25</v>
      </c>
      <c r="AI121">
        <v>263</v>
      </c>
      <c r="AJ121" s="16">
        <v>79581</v>
      </c>
      <c r="AK121" s="16">
        <v>694238000</v>
      </c>
      <c r="AL121" s="16">
        <v>180501880</v>
      </c>
      <c r="AM121" s="16">
        <v>32800000</v>
      </c>
      <c r="AN121" s="16">
        <v>0</v>
      </c>
      <c r="AO121" s="16">
        <v>213301880</v>
      </c>
      <c r="AP121" s="12">
        <v>140250193</v>
      </c>
      <c r="AQ121" s="313">
        <v>64435000</v>
      </c>
      <c r="AR121" s="123">
        <v>1675000</v>
      </c>
      <c r="AS121" s="123">
        <v>844445</v>
      </c>
      <c r="AT121" s="12">
        <v>66954445</v>
      </c>
      <c r="AU121" s="12">
        <v>6097242</v>
      </c>
      <c r="AV121" s="13">
        <v>2.8585036381301467E-2</v>
      </c>
    </row>
    <row r="122" spans="2:48">
      <c r="AH122" s="26">
        <v>26</v>
      </c>
      <c r="AI122">
        <v>251</v>
      </c>
      <c r="AJ122" s="16">
        <v>77330</v>
      </c>
      <c r="AK122" s="16">
        <v>675164000</v>
      </c>
      <c r="AL122" s="16">
        <v>175542640</v>
      </c>
      <c r="AM122" s="16">
        <v>37400000</v>
      </c>
      <c r="AN122" s="16">
        <v>0</v>
      </c>
      <c r="AO122" s="16">
        <v>212942640</v>
      </c>
      <c r="AP122" s="12">
        <v>170393600</v>
      </c>
      <c r="AQ122" s="313">
        <v>61495000</v>
      </c>
      <c r="AR122" s="123">
        <v>1800000</v>
      </c>
      <c r="AS122" s="123">
        <v>844445</v>
      </c>
      <c r="AT122" s="12">
        <v>64139445</v>
      </c>
      <c r="AU122" s="12">
        <v>-21590405</v>
      </c>
      <c r="AV122" s="13">
        <v>-0.10139070784507978</v>
      </c>
    </row>
    <row r="123" spans="2:48">
      <c r="AH123" s="26">
        <v>27</v>
      </c>
      <c r="AI123">
        <v>246</v>
      </c>
      <c r="AJ123" s="16">
        <v>75417</v>
      </c>
      <c r="AK123" s="16">
        <v>659172000</v>
      </c>
      <c r="AL123" s="16">
        <v>171384720</v>
      </c>
      <c r="AM123" s="16">
        <v>36100000</v>
      </c>
      <c r="AN123" s="16">
        <v>0</v>
      </c>
      <c r="AO123" s="16">
        <v>207484720</v>
      </c>
      <c r="AP123" s="12">
        <v>132251500</v>
      </c>
      <c r="AQ123" s="313">
        <v>60270000</v>
      </c>
      <c r="AR123" s="123">
        <v>3575000</v>
      </c>
      <c r="AS123" s="123">
        <v>844444.90666666662</v>
      </c>
      <c r="AT123" s="12">
        <v>64689444.906666666</v>
      </c>
      <c r="AU123" s="12">
        <v>10543775.09333333</v>
      </c>
      <c r="AV123" s="13">
        <v>5.081711604272994E-2</v>
      </c>
    </row>
    <row r="124" spans="2:48">
      <c r="AH124" s="26">
        <v>28</v>
      </c>
      <c r="AI124">
        <v>247</v>
      </c>
      <c r="AJ124" s="16">
        <v>82969</v>
      </c>
      <c r="AK124" s="16">
        <v>726670000</v>
      </c>
      <c r="AL124" s="16">
        <v>188934200</v>
      </c>
      <c r="AM124" s="16">
        <v>36050000</v>
      </c>
      <c r="AN124" s="16">
        <v>0</v>
      </c>
      <c r="AO124" s="16">
        <v>224984200</v>
      </c>
      <c r="AP124" s="12">
        <v>148006190</v>
      </c>
      <c r="AQ124" s="313">
        <v>60025000</v>
      </c>
      <c r="AR124" s="123">
        <v>3850000</v>
      </c>
      <c r="AS124" s="123">
        <v>844445</v>
      </c>
      <c r="AT124" s="12">
        <v>64719445</v>
      </c>
      <c r="AU124" s="12">
        <v>12258565</v>
      </c>
      <c r="AV124" s="13">
        <v>5.4486337262794456E-2</v>
      </c>
    </row>
    <row r="125" spans="2:48">
      <c r="AH125" s="26">
        <v>29</v>
      </c>
      <c r="AI125">
        <v>261</v>
      </c>
      <c r="AJ125" s="16">
        <v>82653</v>
      </c>
      <c r="AK125" s="16">
        <v>723956000</v>
      </c>
      <c r="AL125" s="16">
        <v>188228560</v>
      </c>
      <c r="AM125" s="16">
        <v>37475000</v>
      </c>
      <c r="AN125" s="16">
        <v>0</v>
      </c>
      <c r="AO125" s="16">
        <v>225703560</v>
      </c>
      <c r="AP125" s="12">
        <v>148563685</v>
      </c>
      <c r="AQ125" s="313">
        <v>63945000</v>
      </c>
      <c r="AR125" s="123">
        <v>5125000</v>
      </c>
      <c r="AS125" s="123">
        <v>844445</v>
      </c>
      <c r="AT125" s="12">
        <v>69914445</v>
      </c>
      <c r="AU125" s="12">
        <v>7225430</v>
      </c>
      <c r="AV125" s="13">
        <v>3.2012919955715362E-2</v>
      </c>
    </row>
    <row r="126" spans="2:48">
      <c r="AH126" s="26">
        <v>30</v>
      </c>
      <c r="AI126">
        <v>265</v>
      </c>
      <c r="AJ126" s="16">
        <v>84141</v>
      </c>
      <c r="AK126" s="16">
        <v>736676000</v>
      </c>
      <c r="AL126" s="16">
        <v>191535760</v>
      </c>
      <c r="AM126" s="16">
        <v>38175000</v>
      </c>
      <c r="AN126" s="16">
        <v>0</v>
      </c>
      <c r="AO126" s="16">
        <v>229710760</v>
      </c>
      <c r="AP126" s="12">
        <v>158070760</v>
      </c>
      <c r="AQ126" s="313">
        <v>64925000</v>
      </c>
      <c r="AR126" s="123">
        <v>5875000</v>
      </c>
      <c r="AS126" s="123">
        <v>425600</v>
      </c>
      <c r="AT126" s="12">
        <v>71225600</v>
      </c>
      <c r="AU126" s="12">
        <v>414400</v>
      </c>
      <c r="AV126" s="13">
        <v>1.8040077878807245E-3</v>
      </c>
    </row>
    <row r="127" spans="2:48">
      <c r="AH127" s="26">
        <v>31</v>
      </c>
      <c r="AI127">
        <v>262</v>
      </c>
      <c r="AJ127" s="16">
        <v>84407</v>
      </c>
      <c r="AK127" s="16">
        <v>739160000</v>
      </c>
      <c r="AL127" s="16">
        <v>192181600</v>
      </c>
      <c r="AM127" s="16">
        <v>37700000</v>
      </c>
      <c r="AN127" s="16">
        <v>0</v>
      </c>
      <c r="AO127" s="16">
        <v>229881599.99999997</v>
      </c>
      <c r="AP127" s="12">
        <v>151639420</v>
      </c>
      <c r="AQ127" s="313">
        <v>64190000</v>
      </c>
      <c r="AR127" s="123">
        <v>5925000</v>
      </c>
      <c r="AS127" s="123">
        <v>0</v>
      </c>
      <c r="AT127" s="12">
        <v>70407007</v>
      </c>
      <c r="AU127" s="12">
        <v>7835172.9999999851</v>
      </c>
      <c r="AV127" s="13">
        <v>3.4083515166068036E-2</v>
      </c>
    </row>
    <row r="128" spans="2:48">
      <c r="AH128" s="26" t="s">
        <v>181</v>
      </c>
      <c r="AI128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2">
        <v>0</v>
      </c>
      <c r="AQ128" s="313">
        <v>0</v>
      </c>
      <c r="AR128" s="123">
        <v>0</v>
      </c>
      <c r="AS128" s="123">
        <v>0</v>
      </c>
      <c r="AT128" s="12">
        <v>0</v>
      </c>
      <c r="AU128" s="12">
        <v>0</v>
      </c>
      <c r="AV128" s="13">
        <v>0</v>
      </c>
    </row>
    <row r="129" spans="34:48">
      <c r="AH129" s="278" t="s">
        <v>178</v>
      </c>
      <c r="AI129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35">
        <v>0</v>
      </c>
      <c r="AQ129" s="313">
        <v>0</v>
      </c>
      <c r="AR129" s="123">
        <v>0</v>
      </c>
      <c r="AS129" s="123">
        <v>0</v>
      </c>
      <c r="AT129" s="35">
        <v>0</v>
      </c>
      <c r="AU129" s="35">
        <v>0</v>
      </c>
      <c r="AV129" s="13">
        <v>0</v>
      </c>
    </row>
    <row r="130" spans="34:48">
      <c r="AH130" s="278" t="s">
        <v>196</v>
      </c>
      <c r="AI130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35">
        <v>0</v>
      </c>
      <c r="AQ130" s="313">
        <v>0</v>
      </c>
      <c r="AR130" s="123">
        <v>0</v>
      </c>
      <c r="AS130" s="123">
        <v>0</v>
      </c>
      <c r="AT130" s="35">
        <v>0</v>
      </c>
      <c r="AU130" s="35">
        <v>0</v>
      </c>
      <c r="AV130" s="13">
        <v>0</v>
      </c>
    </row>
    <row r="131" spans="34:48">
      <c r="AH131" s="278" t="s">
        <v>170</v>
      </c>
      <c r="AI131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35">
        <v>0</v>
      </c>
      <c r="AQ131" s="313">
        <v>0</v>
      </c>
      <c r="AR131" s="123">
        <v>0</v>
      </c>
      <c r="AS131" s="123">
        <v>0</v>
      </c>
      <c r="AT131" s="35">
        <v>0</v>
      </c>
      <c r="AU131" s="35">
        <v>0</v>
      </c>
      <c r="AV131" s="13">
        <v>0</v>
      </c>
    </row>
    <row r="132" spans="34:48">
      <c r="AH132" s="278" t="s">
        <v>27</v>
      </c>
      <c r="AI132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35">
        <v>0</v>
      </c>
      <c r="AQ132" s="313">
        <v>0</v>
      </c>
      <c r="AR132" s="123">
        <v>0</v>
      </c>
      <c r="AS132" s="123">
        <v>0</v>
      </c>
      <c r="AT132" s="35">
        <v>0</v>
      </c>
      <c r="AU132" s="35">
        <v>0</v>
      </c>
      <c r="AV132" s="13">
        <v>0</v>
      </c>
    </row>
    <row r="133" spans="34:48">
      <c r="AH133" s="278" t="s">
        <v>203</v>
      </c>
      <c r="AI133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35">
        <v>0</v>
      </c>
      <c r="AQ133" s="313">
        <v>0</v>
      </c>
      <c r="AR133" s="123">
        <v>0</v>
      </c>
      <c r="AS133" s="123">
        <v>0</v>
      </c>
      <c r="AT133" s="35">
        <v>0</v>
      </c>
      <c r="AU133" s="35">
        <v>0</v>
      </c>
      <c r="AV133" s="13">
        <v>0</v>
      </c>
    </row>
    <row r="134" spans="34:48">
      <c r="AH134" s="278" t="s">
        <v>33</v>
      </c>
      <c r="AI134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35">
        <v>0</v>
      </c>
      <c r="AQ134" s="313">
        <v>0</v>
      </c>
      <c r="AR134" s="123">
        <v>0</v>
      </c>
      <c r="AS134" s="123">
        <v>0</v>
      </c>
      <c r="AT134" s="35">
        <v>0</v>
      </c>
      <c r="AU134" s="35">
        <v>0</v>
      </c>
      <c r="AV134" s="13">
        <v>0</v>
      </c>
    </row>
    <row r="135" spans="34:48">
      <c r="AH135" s="278" t="s">
        <v>204</v>
      </c>
      <c r="AI135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35">
        <v>0</v>
      </c>
      <c r="AQ135" s="313">
        <v>0</v>
      </c>
      <c r="AR135" s="123">
        <v>0</v>
      </c>
      <c r="AS135" s="123">
        <v>0</v>
      </c>
      <c r="AT135" s="35">
        <v>0</v>
      </c>
      <c r="AU135" s="35">
        <v>0</v>
      </c>
      <c r="AV135" s="13">
        <v>0</v>
      </c>
    </row>
    <row r="136" spans="34:48">
      <c r="AH136" s="278" t="s">
        <v>171</v>
      </c>
      <c r="AI13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35">
        <v>0</v>
      </c>
      <c r="AQ136" s="313">
        <v>0</v>
      </c>
      <c r="AR136" s="123">
        <v>0</v>
      </c>
      <c r="AS136" s="123">
        <v>0</v>
      </c>
      <c r="AT136" s="35">
        <v>0</v>
      </c>
      <c r="AU136" s="35">
        <v>0</v>
      </c>
      <c r="AV136" s="13">
        <v>0</v>
      </c>
    </row>
    <row r="137" spans="34:48">
      <c r="AH137" s="278" t="s">
        <v>175</v>
      </c>
      <c r="AI137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35">
        <v>0</v>
      </c>
      <c r="AQ137" s="313">
        <v>0</v>
      </c>
      <c r="AR137" s="123">
        <v>0</v>
      </c>
      <c r="AS137" s="123">
        <v>0</v>
      </c>
      <c r="AT137" s="35">
        <v>0</v>
      </c>
      <c r="AU137" s="35">
        <v>0</v>
      </c>
      <c r="AV137" s="13">
        <v>0</v>
      </c>
    </row>
    <row r="138" spans="34:48">
      <c r="AH138" s="278" t="s">
        <v>199</v>
      </c>
      <c r="AI138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35">
        <v>0</v>
      </c>
      <c r="AQ138" s="313">
        <v>0</v>
      </c>
      <c r="AR138" s="123">
        <v>0</v>
      </c>
      <c r="AS138" s="123">
        <v>0</v>
      </c>
      <c r="AT138" s="35">
        <v>0</v>
      </c>
      <c r="AU138" s="35">
        <v>0</v>
      </c>
      <c r="AV138" s="13">
        <v>0</v>
      </c>
    </row>
    <row r="139" spans="34:48">
      <c r="AH139" s="278" t="s">
        <v>176</v>
      </c>
      <c r="AI139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35">
        <v>0</v>
      </c>
      <c r="AQ139" s="313">
        <v>0</v>
      </c>
      <c r="AR139" s="123">
        <v>0</v>
      </c>
      <c r="AS139" s="123">
        <v>0</v>
      </c>
      <c r="AT139" s="35">
        <v>0</v>
      </c>
      <c r="AU139" s="35">
        <v>0</v>
      </c>
      <c r="AV139" s="13">
        <v>0</v>
      </c>
    </row>
    <row r="140" spans="34:48">
      <c r="AH140" s="278" t="s">
        <v>29</v>
      </c>
      <c r="AI140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35">
        <v>0</v>
      </c>
      <c r="AQ140" s="313">
        <v>0</v>
      </c>
      <c r="AR140" s="123">
        <v>0</v>
      </c>
      <c r="AS140" s="123">
        <v>0</v>
      </c>
      <c r="AT140" s="35">
        <v>0</v>
      </c>
      <c r="AU140" s="35">
        <v>0</v>
      </c>
      <c r="AV140" s="13">
        <v>0</v>
      </c>
    </row>
    <row r="141" spans="34:48">
      <c r="AH141" s="278" t="s">
        <v>177</v>
      </c>
      <c r="AI141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35">
        <v>0</v>
      </c>
      <c r="AQ141" s="313">
        <v>0</v>
      </c>
      <c r="AR141" s="123">
        <v>0</v>
      </c>
      <c r="AS141" s="123">
        <v>0</v>
      </c>
      <c r="AT141" s="35">
        <v>0</v>
      </c>
      <c r="AU141" s="35">
        <v>0</v>
      </c>
      <c r="AV141" s="13">
        <v>0</v>
      </c>
    </row>
    <row r="142" spans="34:48">
      <c r="AH142" s="278" t="s">
        <v>23</v>
      </c>
      <c r="AI142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35">
        <v>0</v>
      </c>
      <c r="AQ142" s="313">
        <v>0</v>
      </c>
      <c r="AR142" s="123">
        <v>0</v>
      </c>
      <c r="AS142" s="123">
        <v>0</v>
      </c>
      <c r="AT142" s="35">
        <v>0</v>
      </c>
      <c r="AU142" s="35">
        <v>0</v>
      </c>
      <c r="AV142" s="13">
        <v>0</v>
      </c>
    </row>
    <row r="143" spans="34:48">
      <c r="AH143" s="278" t="s">
        <v>202</v>
      </c>
      <c r="AI143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35">
        <v>0</v>
      </c>
      <c r="AQ143" s="313">
        <v>0</v>
      </c>
      <c r="AR143" s="123">
        <v>0</v>
      </c>
      <c r="AS143" s="123">
        <v>0</v>
      </c>
      <c r="AT143" s="35">
        <v>0</v>
      </c>
      <c r="AU143" s="35">
        <v>0</v>
      </c>
      <c r="AV143" s="13">
        <v>0</v>
      </c>
    </row>
    <row r="144" spans="34:48">
      <c r="AH144" s="278" t="s">
        <v>200</v>
      </c>
      <c r="AI144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35">
        <v>0</v>
      </c>
      <c r="AQ144" s="313">
        <v>0</v>
      </c>
      <c r="AR144" s="123">
        <v>0</v>
      </c>
      <c r="AS144" s="123">
        <v>0</v>
      </c>
      <c r="AT144" s="35">
        <v>0</v>
      </c>
      <c r="AU144" s="35">
        <v>0</v>
      </c>
      <c r="AV144" s="13">
        <v>0</v>
      </c>
    </row>
    <row r="145" spans="34:48">
      <c r="AH145" s="278" t="s">
        <v>34</v>
      </c>
      <c r="AI145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35">
        <v>0</v>
      </c>
      <c r="AQ145" s="313">
        <v>0</v>
      </c>
      <c r="AR145" s="123">
        <v>0</v>
      </c>
      <c r="AS145" s="123">
        <v>0</v>
      </c>
      <c r="AT145" s="35">
        <v>0</v>
      </c>
      <c r="AU145" s="35">
        <v>0</v>
      </c>
      <c r="AV145" s="13">
        <v>0</v>
      </c>
    </row>
    <row r="146" spans="34:48">
      <c r="AH146" s="278" t="s">
        <v>201</v>
      </c>
      <c r="AI14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35">
        <v>0</v>
      </c>
      <c r="AQ146" s="313">
        <v>0</v>
      </c>
      <c r="AR146" s="123">
        <v>0</v>
      </c>
      <c r="AS146" s="123">
        <v>0</v>
      </c>
      <c r="AT146" s="35">
        <v>0</v>
      </c>
      <c r="AU146" s="35">
        <v>0</v>
      </c>
      <c r="AV146" s="13">
        <v>0</v>
      </c>
    </row>
    <row r="147" spans="34:48">
      <c r="AH147" s="26" t="s">
        <v>182</v>
      </c>
      <c r="AI147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2">
        <v>0</v>
      </c>
      <c r="AQ147" s="313">
        <v>0</v>
      </c>
      <c r="AR147" s="123">
        <v>0</v>
      </c>
      <c r="AS147" s="123">
        <v>0</v>
      </c>
      <c r="AT147" s="12">
        <v>0</v>
      </c>
      <c r="AU147" s="12">
        <v>0</v>
      </c>
      <c r="AV147" s="13">
        <v>0</v>
      </c>
    </row>
    <row r="148" spans="34:48">
      <c r="AH148" s="278" t="s">
        <v>178</v>
      </c>
      <c r="AI148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35">
        <v>0</v>
      </c>
      <c r="AQ148" s="313">
        <v>0</v>
      </c>
      <c r="AR148" s="123">
        <v>0</v>
      </c>
      <c r="AS148" s="123">
        <v>0</v>
      </c>
      <c r="AT148" s="35">
        <v>0</v>
      </c>
      <c r="AU148" s="35">
        <v>0</v>
      </c>
      <c r="AV148" s="13">
        <v>0</v>
      </c>
    </row>
    <row r="149" spans="34:48">
      <c r="AH149" s="278" t="s">
        <v>196</v>
      </c>
      <c r="AI149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35">
        <v>0</v>
      </c>
      <c r="AQ149" s="313">
        <v>0</v>
      </c>
      <c r="AR149" s="123">
        <v>0</v>
      </c>
      <c r="AS149" s="123">
        <v>0</v>
      </c>
      <c r="AT149" s="35">
        <v>0</v>
      </c>
      <c r="AU149" s="35">
        <v>0</v>
      </c>
      <c r="AV149" s="13">
        <v>0</v>
      </c>
    </row>
    <row r="150" spans="34:48">
      <c r="AH150" s="278" t="s">
        <v>170</v>
      </c>
      <c r="AI150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35">
        <v>0</v>
      </c>
      <c r="AQ150" s="313">
        <v>0</v>
      </c>
      <c r="AR150" s="123">
        <v>0</v>
      </c>
      <c r="AS150" s="123">
        <v>0</v>
      </c>
      <c r="AT150" s="35">
        <v>0</v>
      </c>
      <c r="AU150" s="35">
        <v>0</v>
      </c>
      <c r="AV150" s="13">
        <v>0</v>
      </c>
    </row>
    <row r="151" spans="34:48">
      <c r="AH151" s="278" t="s">
        <v>27</v>
      </c>
      <c r="AI151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35">
        <v>0</v>
      </c>
      <c r="AQ151" s="313">
        <v>0</v>
      </c>
      <c r="AR151" s="123">
        <v>0</v>
      </c>
      <c r="AS151" s="123">
        <v>0</v>
      </c>
      <c r="AT151" s="35">
        <v>0</v>
      </c>
      <c r="AU151" s="35">
        <v>0</v>
      </c>
      <c r="AV151" s="13">
        <v>0</v>
      </c>
    </row>
    <row r="152" spans="34:48">
      <c r="AH152" s="278" t="s">
        <v>203</v>
      </c>
      <c r="AI152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35">
        <v>0</v>
      </c>
      <c r="AQ152" s="313">
        <v>0</v>
      </c>
      <c r="AR152" s="123">
        <v>0</v>
      </c>
      <c r="AS152" s="123">
        <v>0</v>
      </c>
      <c r="AT152" s="35">
        <v>0</v>
      </c>
      <c r="AU152" s="35">
        <v>0</v>
      </c>
      <c r="AV152" s="13">
        <v>0</v>
      </c>
    </row>
    <row r="153" spans="34:48">
      <c r="AH153" s="278" t="s">
        <v>33</v>
      </c>
      <c r="AI153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35">
        <v>0</v>
      </c>
      <c r="AQ153" s="313">
        <v>0</v>
      </c>
      <c r="AR153" s="123">
        <v>0</v>
      </c>
      <c r="AS153" s="123">
        <v>0</v>
      </c>
      <c r="AT153" s="35">
        <v>0</v>
      </c>
      <c r="AU153" s="35">
        <v>0</v>
      </c>
      <c r="AV153" s="13">
        <v>0</v>
      </c>
    </row>
    <row r="154" spans="34:48">
      <c r="AH154" s="278" t="s">
        <v>204</v>
      </c>
      <c r="AI154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35">
        <v>0</v>
      </c>
      <c r="AQ154" s="313">
        <v>0</v>
      </c>
      <c r="AR154" s="123">
        <v>0</v>
      </c>
      <c r="AS154" s="123">
        <v>0</v>
      </c>
      <c r="AT154" s="35">
        <v>0</v>
      </c>
      <c r="AU154" s="35">
        <v>0</v>
      </c>
      <c r="AV154" s="13">
        <v>0</v>
      </c>
    </row>
    <row r="155" spans="34:48">
      <c r="AH155" s="278" t="s">
        <v>171</v>
      </c>
      <c r="AI155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35">
        <v>0</v>
      </c>
      <c r="AQ155" s="313">
        <v>0</v>
      </c>
      <c r="AR155" s="123">
        <v>0</v>
      </c>
      <c r="AS155" s="123">
        <v>0</v>
      </c>
      <c r="AT155" s="35">
        <v>0</v>
      </c>
      <c r="AU155" s="35">
        <v>0</v>
      </c>
      <c r="AV155" s="13">
        <v>0</v>
      </c>
    </row>
    <row r="156" spans="34:48">
      <c r="AH156" s="278" t="s">
        <v>175</v>
      </c>
      <c r="AI15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35">
        <v>0</v>
      </c>
      <c r="AQ156" s="313">
        <v>0</v>
      </c>
      <c r="AR156" s="123">
        <v>0</v>
      </c>
      <c r="AS156" s="123">
        <v>0</v>
      </c>
      <c r="AT156" s="35">
        <v>0</v>
      </c>
      <c r="AU156" s="35">
        <v>0</v>
      </c>
      <c r="AV156" s="13">
        <v>0</v>
      </c>
    </row>
    <row r="157" spans="34:48">
      <c r="AH157" s="278" t="s">
        <v>199</v>
      </c>
      <c r="AI157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35">
        <v>0</v>
      </c>
      <c r="AQ157" s="313">
        <v>0</v>
      </c>
      <c r="AR157" s="123">
        <v>0</v>
      </c>
      <c r="AS157" s="123">
        <v>0</v>
      </c>
      <c r="AT157" s="35">
        <v>0</v>
      </c>
      <c r="AU157" s="35">
        <v>0</v>
      </c>
      <c r="AV157" s="13">
        <v>0</v>
      </c>
    </row>
    <row r="158" spans="34:48">
      <c r="AH158" s="278" t="s">
        <v>176</v>
      </c>
      <c r="AI158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35">
        <v>0</v>
      </c>
      <c r="AQ158" s="313">
        <v>0</v>
      </c>
      <c r="AR158" s="123">
        <v>0</v>
      </c>
      <c r="AS158" s="123">
        <v>0</v>
      </c>
      <c r="AT158" s="35">
        <v>0</v>
      </c>
      <c r="AU158" s="35">
        <v>0</v>
      </c>
      <c r="AV158" s="13">
        <v>0</v>
      </c>
    </row>
    <row r="159" spans="34:48">
      <c r="AH159" s="278" t="s">
        <v>29</v>
      </c>
      <c r="AI159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35">
        <v>0</v>
      </c>
      <c r="AQ159" s="313">
        <v>0</v>
      </c>
      <c r="AR159" s="123">
        <v>0</v>
      </c>
      <c r="AS159" s="123">
        <v>0</v>
      </c>
      <c r="AT159" s="35">
        <v>0</v>
      </c>
      <c r="AU159" s="35">
        <v>0</v>
      </c>
      <c r="AV159" s="13">
        <v>0</v>
      </c>
    </row>
    <row r="160" spans="34:48">
      <c r="AH160" s="278" t="s">
        <v>177</v>
      </c>
      <c r="AI160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35">
        <v>0</v>
      </c>
      <c r="AQ160" s="313">
        <v>0</v>
      </c>
      <c r="AR160" s="123">
        <v>0</v>
      </c>
      <c r="AS160" s="123">
        <v>0</v>
      </c>
      <c r="AT160" s="35">
        <v>0</v>
      </c>
      <c r="AU160" s="35">
        <v>0</v>
      </c>
      <c r="AV160" s="13">
        <v>0</v>
      </c>
    </row>
    <row r="161" spans="34:48">
      <c r="AH161" s="278" t="s">
        <v>23</v>
      </c>
      <c r="AI161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35">
        <v>0</v>
      </c>
      <c r="AQ161" s="313">
        <v>0</v>
      </c>
      <c r="AR161" s="123">
        <v>0</v>
      </c>
      <c r="AS161" s="123">
        <v>0</v>
      </c>
      <c r="AT161" s="35">
        <v>0</v>
      </c>
      <c r="AU161" s="35">
        <v>0</v>
      </c>
      <c r="AV161" s="13">
        <v>0</v>
      </c>
    </row>
    <row r="162" spans="34:48">
      <c r="AH162" s="278" t="s">
        <v>202</v>
      </c>
      <c r="AI162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35">
        <v>0</v>
      </c>
      <c r="AQ162" s="313">
        <v>0</v>
      </c>
      <c r="AR162" s="123">
        <v>0</v>
      </c>
      <c r="AS162" s="123">
        <v>0</v>
      </c>
      <c r="AT162" s="35">
        <v>0</v>
      </c>
      <c r="AU162" s="35">
        <v>0</v>
      </c>
      <c r="AV162" s="13">
        <v>0</v>
      </c>
    </row>
    <row r="163" spans="34:48">
      <c r="AH163" s="278" t="s">
        <v>200</v>
      </c>
      <c r="AI163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35">
        <v>0</v>
      </c>
      <c r="AQ163" s="313">
        <v>0</v>
      </c>
      <c r="AR163" s="123">
        <v>0</v>
      </c>
      <c r="AS163" s="123">
        <v>0</v>
      </c>
      <c r="AT163" s="35">
        <v>0</v>
      </c>
      <c r="AU163" s="35">
        <v>0</v>
      </c>
      <c r="AV163" s="13">
        <v>0</v>
      </c>
    </row>
    <row r="164" spans="34:48">
      <c r="AH164" s="278" t="s">
        <v>34</v>
      </c>
      <c r="AI164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35">
        <v>0</v>
      </c>
      <c r="AQ164" s="313">
        <v>0</v>
      </c>
      <c r="AR164" s="123">
        <v>0</v>
      </c>
      <c r="AS164" s="123">
        <v>0</v>
      </c>
      <c r="AT164" s="35">
        <v>0</v>
      </c>
      <c r="AU164" s="35">
        <v>0</v>
      </c>
      <c r="AV164" s="13">
        <v>0</v>
      </c>
    </row>
    <row r="165" spans="34:48">
      <c r="AH165" s="278" t="s">
        <v>201</v>
      </c>
      <c r="AI165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35">
        <v>0</v>
      </c>
      <c r="AQ165" s="313">
        <v>0</v>
      </c>
      <c r="AR165" s="123">
        <v>0</v>
      </c>
      <c r="AS165" s="123">
        <v>0</v>
      </c>
      <c r="AT165" s="35">
        <v>0</v>
      </c>
      <c r="AU165" s="35">
        <v>0</v>
      </c>
      <c r="AV165" s="13">
        <v>0</v>
      </c>
    </row>
    <row r="166" spans="34:48">
      <c r="AH166" s="11" t="s">
        <v>28</v>
      </c>
      <c r="AI166">
        <v>252</v>
      </c>
      <c r="AJ166" s="16">
        <v>973290</v>
      </c>
      <c r="AK166" s="16">
        <v>8507662714</v>
      </c>
      <c r="AL166" s="16">
        <v>2177372533.0799999</v>
      </c>
      <c r="AM166" s="16">
        <v>546987857.14285719</v>
      </c>
      <c r="AN166" s="16">
        <v>14145100</v>
      </c>
      <c r="AO166" s="16">
        <v>2767144775.9371428</v>
      </c>
      <c r="AP166" s="12">
        <v>1889293173.5714285</v>
      </c>
      <c r="AQ166" s="313">
        <v>919792610</v>
      </c>
      <c r="AR166" s="123">
        <v>52439285.714285709</v>
      </c>
      <c r="AS166" s="123">
        <v>7312940.1475268807</v>
      </c>
      <c r="AT166" s="12">
        <v>979871283.68480837</v>
      </c>
      <c r="AU166" s="12">
        <v>-102019681.31909397</v>
      </c>
      <c r="AV166" s="13">
        <v>-3.6868212392155444E-2</v>
      </c>
    </row>
    <row r="167" spans="34:48">
      <c r="AH167" s="26">
        <v>1</v>
      </c>
      <c r="AI167">
        <v>1</v>
      </c>
      <c r="AJ167" s="16">
        <v>30</v>
      </c>
      <c r="AK167" s="16">
        <v>410000</v>
      </c>
      <c r="AL167" s="16">
        <v>102500</v>
      </c>
      <c r="AM167" s="16">
        <v>60000</v>
      </c>
      <c r="AN167" s="16"/>
      <c r="AO167" s="16">
        <v>162500</v>
      </c>
      <c r="AP167" s="12">
        <v>105000</v>
      </c>
      <c r="AQ167" s="313">
        <v>166500</v>
      </c>
      <c r="AR167" s="123"/>
      <c r="AS167" s="123"/>
      <c r="AT167" s="12">
        <v>166500</v>
      </c>
      <c r="AU167" s="12">
        <v>-109000</v>
      </c>
      <c r="AV167" s="13">
        <v>-0.67076923076923078</v>
      </c>
    </row>
    <row r="168" spans="34:48">
      <c r="AH168" s="26">
        <v>2</v>
      </c>
      <c r="AI168">
        <v>4</v>
      </c>
      <c r="AJ168" s="16">
        <v>982</v>
      </c>
      <c r="AK168" s="16">
        <v>8338000</v>
      </c>
      <c r="AL168" s="16">
        <v>2501400</v>
      </c>
      <c r="AM168" s="16">
        <v>0</v>
      </c>
      <c r="AN168" s="16">
        <v>0</v>
      </c>
      <c r="AO168" s="16">
        <v>2501400</v>
      </c>
      <c r="AP168" s="12">
        <v>1917000</v>
      </c>
      <c r="AQ168" s="313">
        <v>1531800</v>
      </c>
      <c r="AR168" s="123"/>
      <c r="AS168" s="123"/>
      <c r="AT168" s="12">
        <v>1531800</v>
      </c>
      <c r="AU168" s="12">
        <v>-947400</v>
      </c>
      <c r="AV168" s="13">
        <v>-0.37874790117534179</v>
      </c>
    </row>
    <row r="169" spans="34:48">
      <c r="AH169" s="26">
        <v>3</v>
      </c>
      <c r="AI169">
        <v>4</v>
      </c>
      <c r="AJ169" s="16">
        <v>1164</v>
      </c>
      <c r="AK169" s="16">
        <v>7458000</v>
      </c>
      <c r="AL169" s="16">
        <v>2237400</v>
      </c>
      <c r="AM169" s="16"/>
      <c r="AN169" s="16"/>
      <c r="AO169" s="16">
        <v>2237400</v>
      </c>
      <c r="AP169" s="12">
        <v>2464000</v>
      </c>
      <c r="AQ169" s="313">
        <v>2097900</v>
      </c>
      <c r="AR169" s="123"/>
      <c r="AS169" s="123"/>
      <c r="AT169" s="12">
        <v>2097900</v>
      </c>
      <c r="AU169" s="12">
        <v>-2324500</v>
      </c>
      <c r="AV169" s="13">
        <v>-1.0389291141503532</v>
      </c>
    </row>
    <row r="170" spans="34:48">
      <c r="AH170" s="26">
        <v>4</v>
      </c>
      <c r="AI170">
        <v>7</v>
      </c>
      <c r="AJ170" s="16">
        <v>1101</v>
      </c>
      <c r="AK170" s="16">
        <v>9239000</v>
      </c>
      <c r="AL170" s="16">
        <v>2927650</v>
      </c>
      <c r="AM170" s="16"/>
      <c r="AN170" s="16"/>
      <c r="AO170" s="16">
        <v>2927650</v>
      </c>
      <c r="AP170" s="12">
        <v>2701000</v>
      </c>
      <c r="AQ170" s="313">
        <v>2397600</v>
      </c>
      <c r="AR170" s="123"/>
      <c r="AS170" s="123"/>
      <c r="AT170" s="12">
        <v>2397600</v>
      </c>
      <c r="AU170" s="12">
        <v>-2170950</v>
      </c>
      <c r="AV170" s="13">
        <v>-0.74153331170051062</v>
      </c>
    </row>
    <row r="171" spans="34:48">
      <c r="AH171" s="26">
        <v>5</v>
      </c>
      <c r="AI171">
        <v>5</v>
      </c>
      <c r="AJ171" s="16">
        <v>1155</v>
      </c>
      <c r="AK171" s="16">
        <v>10600000</v>
      </c>
      <c r="AL171" s="16">
        <v>3297350</v>
      </c>
      <c r="AM171" s="16">
        <v>0</v>
      </c>
      <c r="AN171" s="16">
        <v>0</v>
      </c>
      <c r="AO171" s="16">
        <v>3297350</v>
      </c>
      <c r="AP171" s="12">
        <v>3195100</v>
      </c>
      <c r="AQ171" s="313">
        <v>4362300</v>
      </c>
      <c r="AR171" s="123"/>
      <c r="AS171" s="123"/>
      <c r="AT171" s="12">
        <v>4362300</v>
      </c>
      <c r="AU171" s="12">
        <v>-4260050</v>
      </c>
      <c r="AV171" s="13">
        <v>-1.2919617268412513</v>
      </c>
    </row>
    <row r="172" spans="34:48">
      <c r="AH172" s="26">
        <v>6</v>
      </c>
      <c r="AI172">
        <v>6</v>
      </c>
      <c r="AJ172" s="16">
        <v>1669</v>
      </c>
      <c r="AK172" s="16">
        <v>16344000</v>
      </c>
      <c r="AL172" s="16">
        <v>4992850</v>
      </c>
      <c r="AM172" s="16">
        <v>1260000</v>
      </c>
      <c r="AN172" s="16">
        <v>0</v>
      </c>
      <c r="AO172" s="16">
        <v>6252850</v>
      </c>
      <c r="AP172" s="12">
        <v>3938600</v>
      </c>
      <c r="AQ172" s="313">
        <v>4620000</v>
      </c>
      <c r="AR172" s="123">
        <v>0</v>
      </c>
      <c r="AS172" s="123"/>
      <c r="AT172" s="12">
        <v>4620000</v>
      </c>
      <c r="AU172" s="12">
        <v>-2305750</v>
      </c>
      <c r="AV172" s="13">
        <v>-0.36875184915678449</v>
      </c>
    </row>
    <row r="173" spans="34:48">
      <c r="AH173" s="26">
        <v>7</v>
      </c>
      <c r="AI173">
        <v>5</v>
      </c>
      <c r="AJ173" s="16">
        <v>1811</v>
      </c>
      <c r="AK173" s="16">
        <v>15223000</v>
      </c>
      <c r="AL173" s="16">
        <v>4633500</v>
      </c>
      <c r="AM173" s="16">
        <v>1400000</v>
      </c>
      <c r="AN173" s="16">
        <v>0</v>
      </c>
      <c r="AO173" s="16">
        <v>6033500</v>
      </c>
      <c r="AP173" s="12">
        <v>3589300</v>
      </c>
      <c r="AQ173" s="313">
        <v>4900000</v>
      </c>
      <c r="AR173" s="123">
        <v>0</v>
      </c>
      <c r="AS173" s="123"/>
      <c r="AT173" s="12">
        <v>4900000</v>
      </c>
      <c r="AU173" s="12">
        <v>-2455800</v>
      </c>
      <c r="AV173" s="13">
        <v>-0.40702743018148668</v>
      </c>
    </row>
    <row r="174" spans="34:48">
      <c r="AH174" s="26">
        <v>8</v>
      </c>
      <c r="AI174">
        <v>5</v>
      </c>
      <c r="AJ174" s="16">
        <v>2184</v>
      </c>
      <c r="AK174" s="16">
        <v>17480000</v>
      </c>
      <c r="AL174" s="16">
        <v>5272650</v>
      </c>
      <c r="AM174" s="16">
        <v>1330000</v>
      </c>
      <c r="AN174" s="16">
        <v>0</v>
      </c>
      <c r="AO174" s="16">
        <v>6602650</v>
      </c>
      <c r="AP174" s="12">
        <v>4257500</v>
      </c>
      <c r="AQ174" s="313">
        <v>4830000</v>
      </c>
      <c r="AR174" s="123"/>
      <c r="AS174" s="123">
        <v>0</v>
      </c>
      <c r="AT174" s="12">
        <v>4830000</v>
      </c>
      <c r="AU174" s="12">
        <v>-2484850</v>
      </c>
      <c r="AV174" s="13">
        <v>-0.37634131750130628</v>
      </c>
    </row>
    <row r="175" spans="34:48">
      <c r="AH175" s="26">
        <v>9</v>
      </c>
      <c r="AI175">
        <v>7</v>
      </c>
      <c r="AJ175" s="16">
        <v>1991</v>
      </c>
      <c r="AK175" s="16">
        <v>16953000</v>
      </c>
      <c r="AL175" s="16">
        <v>5142400</v>
      </c>
      <c r="AM175" s="16">
        <v>1550000</v>
      </c>
      <c r="AN175" s="16">
        <v>0</v>
      </c>
      <c r="AO175" s="16">
        <v>6692400</v>
      </c>
      <c r="AP175" s="12">
        <v>4653400</v>
      </c>
      <c r="AQ175" s="313">
        <v>5530000</v>
      </c>
      <c r="AR175" s="123">
        <v>0</v>
      </c>
      <c r="AS175" s="123">
        <v>0</v>
      </c>
      <c r="AT175" s="12">
        <v>5530000</v>
      </c>
      <c r="AU175" s="12">
        <v>-3491000</v>
      </c>
      <c r="AV175" s="13">
        <v>-0.52163648317494471</v>
      </c>
    </row>
    <row r="176" spans="34:48">
      <c r="AH176" s="346">
        <v>10</v>
      </c>
      <c r="AI176" s="389">
        <v>7</v>
      </c>
      <c r="AJ176" s="303">
        <v>1015</v>
      </c>
      <c r="AK176" s="303">
        <v>8412000</v>
      </c>
      <c r="AL176" s="303">
        <v>2552000</v>
      </c>
      <c r="AM176" s="303">
        <v>1610000</v>
      </c>
      <c r="AN176" s="303">
        <v>0</v>
      </c>
      <c r="AO176" s="303">
        <v>4162000</v>
      </c>
      <c r="AP176" s="302">
        <v>3316600</v>
      </c>
      <c r="AQ176" s="347">
        <v>5356000</v>
      </c>
      <c r="AR176" s="348">
        <v>0</v>
      </c>
      <c r="AS176" s="348">
        <v>0</v>
      </c>
      <c r="AT176" s="302">
        <v>5356000</v>
      </c>
      <c r="AU176" s="302">
        <v>-4510600</v>
      </c>
      <c r="AV176" s="304">
        <v>-1.0837578087457953</v>
      </c>
    </row>
    <row r="177" spans="34:48">
      <c r="AH177" s="346">
        <v>11</v>
      </c>
      <c r="AI177" s="389">
        <v>7</v>
      </c>
      <c r="AJ177" s="303">
        <v>881</v>
      </c>
      <c r="AK177" s="303">
        <v>6817000</v>
      </c>
      <c r="AL177" s="303">
        <v>2064400</v>
      </c>
      <c r="AM177" s="303">
        <v>1320000</v>
      </c>
      <c r="AN177" s="303">
        <v>0</v>
      </c>
      <c r="AO177" s="303">
        <v>3384400</v>
      </c>
      <c r="AP177" s="302">
        <v>3251600</v>
      </c>
      <c r="AQ177" s="347">
        <v>4795000</v>
      </c>
      <c r="AR177" s="348">
        <v>0</v>
      </c>
      <c r="AS177" s="348">
        <v>0</v>
      </c>
      <c r="AT177" s="302">
        <v>4795000</v>
      </c>
      <c r="AU177" s="302">
        <v>-4662200</v>
      </c>
      <c r="AV177" s="304">
        <v>-1.3775558444628295</v>
      </c>
    </row>
    <row r="178" spans="34:48">
      <c r="AH178" s="346">
        <v>12</v>
      </c>
      <c r="AI178" s="389">
        <v>6</v>
      </c>
      <c r="AJ178" s="303">
        <v>849</v>
      </c>
      <c r="AK178" s="303">
        <v>6961000</v>
      </c>
      <c r="AL178" s="303">
        <v>2086520</v>
      </c>
      <c r="AM178" s="303">
        <v>1260000</v>
      </c>
      <c r="AN178" s="303">
        <v>0</v>
      </c>
      <c r="AO178" s="303">
        <v>3346520</v>
      </c>
      <c r="AP178" s="302">
        <v>3027300</v>
      </c>
      <c r="AQ178" s="347">
        <v>4410000</v>
      </c>
      <c r="AR178" s="348">
        <v>0</v>
      </c>
      <c r="AS178" s="348">
        <v>0</v>
      </c>
      <c r="AT178" s="302">
        <v>4410000</v>
      </c>
      <c r="AU178" s="302">
        <v>-4090780</v>
      </c>
      <c r="AV178" s="304">
        <v>-1.2223981927494831</v>
      </c>
    </row>
    <row r="179" spans="34:48">
      <c r="AH179" s="346">
        <v>13</v>
      </c>
      <c r="AI179" s="389">
        <v>7</v>
      </c>
      <c r="AJ179" s="303">
        <v>431</v>
      </c>
      <c r="AK179" s="303">
        <v>4509000</v>
      </c>
      <c r="AL179" s="303">
        <v>1318390</v>
      </c>
      <c r="AM179" s="303">
        <v>480000</v>
      </c>
      <c r="AN179" s="303">
        <v>0</v>
      </c>
      <c r="AO179" s="303">
        <v>1798390</v>
      </c>
      <c r="AP179" s="302">
        <v>1397400</v>
      </c>
      <c r="AQ179" s="347">
        <v>2030000</v>
      </c>
      <c r="AR179" s="348">
        <v>0</v>
      </c>
      <c r="AS179" s="348">
        <v>0</v>
      </c>
      <c r="AT179" s="302">
        <v>2030000</v>
      </c>
      <c r="AU179" s="302">
        <v>-1629010</v>
      </c>
      <c r="AV179" s="304">
        <v>-0.90581575742747678</v>
      </c>
    </row>
    <row r="180" spans="34:48">
      <c r="AH180" s="26">
        <v>14</v>
      </c>
      <c r="AI180">
        <v>7</v>
      </c>
      <c r="AJ180" s="16">
        <v>621</v>
      </c>
      <c r="AK180" s="16">
        <v>5408000</v>
      </c>
      <c r="AL180" s="16">
        <v>1599090</v>
      </c>
      <c r="AM180" s="16">
        <v>560000</v>
      </c>
      <c r="AN180" s="16">
        <v>0</v>
      </c>
      <c r="AO180" s="16">
        <v>2159090</v>
      </c>
      <c r="AP180" s="12">
        <v>1793900</v>
      </c>
      <c r="AQ180" s="313">
        <v>5775000</v>
      </c>
      <c r="AR180" s="123">
        <v>0</v>
      </c>
      <c r="AS180" s="123">
        <v>0</v>
      </c>
      <c r="AT180" s="12">
        <v>5775000</v>
      </c>
      <c r="AU180" s="12">
        <v>-5409810</v>
      </c>
      <c r="AV180" s="13">
        <v>-2.5055972655146381</v>
      </c>
    </row>
    <row r="181" spans="34:48">
      <c r="AH181" s="26">
        <v>52</v>
      </c>
      <c r="AI181">
        <v>226</v>
      </c>
      <c r="AJ181" s="16">
        <v>70532</v>
      </c>
      <c r="AK181" s="16">
        <v>619083000</v>
      </c>
      <c r="AL181" s="16">
        <v>160016650</v>
      </c>
      <c r="AM181" s="16">
        <v>38350000</v>
      </c>
      <c r="AN181" s="16">
        <v>0</v>
      </c>
      <c r="AO181" s="16">
        <v>200541650</v>
      </c>
      <c r="AP181" s="12">
        <v>142088720</v>
      </c>
      <c r="AQ181" s="313">
        <v>61005000</v>
      </c>
      <c r="AR181" s="123">
        <v>4525000</v>
      </c>
      <c r="AS181" s="123">
        <v>575369.68322580657</v>
      </c>
      <c r="AT181" s="12">
        <v>66105369.683225811</v>
      </c>
      <c r="AU181" s="12">
        <v>-7652439.683225818</v>
      </c>
      <c r="AV181" s="13">
        <v>-3.815885469789352E-2</v>
      </c>
    </row>
    <row r="182" spans="34:48">
      <c r="AH182" s="26">
        <v>51</v>
      </c>
      <c r="AI182">
        <v>222</v>
      </c>
      <c r="AJ182" s="16">
        <v>62473</v>
      </c>
      <c r="AK182" s="16">
        <v>548437000</v>
      </c>
      <c r="AL182" s="16">
        <v>141648110</v>
      </c>
      <c r="AM182" s="16">
        <v>37350000</v>
      </c>
      <c r="AN182" s="16">
        <v>0</v>
      </c>
      <c r="AO182" s="16">
        <v>181123110</v>
      </c>
      <c r="AP182" s="12">
        <v>123834700</v>
      </c>
      <c r="AQ182" s="313">
        <v>59535000</v>
      </c>
      <c r="AR182" s="123">
        <v>4725000</v>
      </c>
      <c r="AS182" s="123">
        <v>575369.68322580657</v>
      </c>
      <c r="AT182" s="12">
        <v>64835369.683225811</v>
      </c>
      <c r="AU182" s="12">
        <v>-7546959.683225818</v>
      </c>
      <c r="AV182" s="13">
        <v>-4.1667568998930163E-2</v>
      </c>
    </row>
    <row r="183" spans="34:48">
      <c r="AH183" s="26">
        <v>50</v>
      </c>
      <c r="AI183">
        <v>226</v>
      </c>
      <c r="AJ183" s="16">
        <v>74139</v>
      </c>
      <c r="AK183" s="16">
        <v>652138000</v>
      </c>
      <c r="AL183" s="16">
        <v>168276800</v>
      </c>
      <c r="AM183" s="16">
        <v>40975000</v>
      </c>
      <c r="AN183" s="16">
        <v>0</v>
      </c>
      <c r="AO183" s="16">
        <v>211501800</v>
      </c>
      <c r="AP183" s="12">
        <v>143293135</v>
      </c>
      <c r="AQ183" s="313">
        <v>60270000</v>
      </c>
      <c r="AR183" s="123">
        <v>4950000</v>
      </c>
      <c r="AS183" s="123">
        <v>575369.68322580657</v>
      </c>
      <c r="AT183" s="12">
        <v>65795369.683225811</v>
      </c>
      <c r="AU183" s="12">
        <v>2413295.316774182</v>
      </c>
      <c r="AV183" s="13">
        <v>1.1410282639552865E-2</v>
      </c>
    </row>
    <row r="184" spans="34:48">
      <c r="AH184" s="26">
        <v>49</v>
      </c>
      <c r="AI184">
        <v>237</v>
      </c>
      <c r="AJ184" s="16">
        <v>69606</v>
      </c>
      <c r="AK184" s="16">
        <v>612442000</v>
      </c>
      <c r="AL184" s="16">
        <v>157963440</v>
      </c>
      <c r="AM184" s="16">
        <v>41450000</v>
      </c>
      <c r="AN184" s="16">
        <v>0</v>
      </c>
      <c r="AO184" s="16">
        <v>202188440</v>
      </c>
      <c r="AP184" s="12">
        <v>135547645</v>
      </c>
      <c r="AQ184" s="313">
        <v>63700000</v>
      </c>
      <c r="AR184" s="123">
        <v>5400000</v>
      </c>
      <c r="AS184" s="123">
        <v>575369.68322580657</v>
      </c>
      <c r="AT184" s="12">
        <v>69675369.683225811</v>
      </c>
      <c r="AU184" s="12">
        <v>-3034574.683225818</v>
      </c>
      <c r="AV184" s="13">
        <v>-1.5008645811925835E-2</v>
      </c>
    </row>
    <row r="185" spans="34:48">
      <c r="AH185" s="26">
        <v>48</v>
      </c>
      <c r="AI185">
        <v>241</v>
      </c>
      <c r="AJ185" s="16">
        <v>81471</v>
      </c>
      <c r="AK185" s="16">
        <v>713718000</v>
      </c>
      <c r="AL185" s="16">
        <v>184176260</v>
      </c>
      <c r="AM185" s="16">
        <v>41700000</v>
      </c>
      <c r="AN185" s="16">
        <v>0</v>
      </c>
      <c r="AO185" s="16">
        <v>228851260</v>
      </c>
      <c r="AP185" s="12">
        <v>162789630</v>
      </c>
      <c r="AQ185" s="313">
        <v>65170000</v>
      </c>
      <c r="AR185" s="123">
        <v>4200000</v>
      </c>
      <c r="AS185" s="123">
        <v>588392.69999999995</v>
      </c>
      <c r="AT185" s="12">
        <v>69958392.700000003</v>
      </c>
      <c r="AU185" s="12">
        <v>-3896762.6999999918</v>
      </c>
      <c r="AV185" s="13">
        <v>-1.7027490694173988E-2</v>
      </c>
    </row>
    <row r="186" spans="34:48">
      <c r="AH186" s="26">
        <v>47</v>
      </c>
      <c r="AI186">
        <v>240</v>
      </c>
      <c r="AJ186" s="16">
        <v>67613</v>
      </c>
      <c r="AK186" s="16">
        <v>591618000</v>
      </c>
      <c r="AL186" s="16">
        <v>152673200</v>
      </c>
      <c r="AM186" s="16">
        <v>41825000</v>
      </c>
      <c r="AN186" s="16">
        <v>99900</v>
      </c>
      <c r="AO186" s="16">
        <v>197523100</v>
      </c>
      <c r="AP186" s="12">
        <v>134235720</v>
      </c>
      <c r="AQ186" s="313">
        <v>65310000</v>
      </c>
      <c r="AR186" s="123">
        <v>3475000</v>
      </c>
      <c r="AS186" s="123">
        <v>588393</v>
      </c>
      <c r="AT186" s="12">
        <v>69373393</v>
      </c>
      <c r="AU186" s="12">
        <v>-6086013</v>
      </c>
      <c r="AV186" s="13">
        <v>-3.0811651902992614E-2</v>
      </c>
    </row>
    <row r="187" spans="34:48">
      <c r="AH187" s="26">
        <v>46</v>
      </c>
      <c r="AI187">
        <v>244</v>
      </c>
      <c r="AJ187" s="16">
        <v>76921</v>
      </c>
      <c r="AK187" s="16">
        <v>673230004</v>
      </c>
      <c r="AL187" s="16">
        <v>173798380.88</v>
      </c>
      <c r="AM187" s="16">
        <v>42800000</v>
      </c>
      <c r="AN187" s="16">
        <v>532800</v>
      </c>
      <c r="AO187" s="16">
        <v>219981180.88</v>
      </c>
      <c r="AP187" s="12">
        <v>148354875</v>
      </c>
      <c r="AQ187" s="313">
        <v>67130000</v>
      </c>
      <c r="AR187" s="123">
        <v>4400000</v>
      </c>
      <c r="AS187" s="123">
        <v>588392.69999999995</v>
      </c>
      <c r="AT187" s="12">
        <v>72118392.700000003</v>
      </c>
      <c r="AU187" s="12">
        <v>-492086.81999999192</v>
      </c>
      <c r="AV187" s="13">
        <v>-2.2369496246518739E-3</v>
      </c>
    </row>
    <row r="188" spans="34:48">
      <c r="AH188" s="26">
        <v>45</v>
      </c>
      <c r="AI188">
        <v>251</v>
      </c>
      <c r="AJ188" s="16">
        <v>78944</v>
      </c>
      <c r="AK188" s="16">
        <v>689654006</v>
      </c>
      <c r="AL188" s="16">
        <v>177669361.31999999</v>
      </c>
      <c r="AM188" s="16">
        <v>43125000</v>
      </c>
      <c r="AN188" s="16">
        <v>566100</v>
      </c>
      <c r="AO188" s="16">
        <v>224085461.31999999</v>
      </c>
      <c r="AP188" s="12">
        <v>151028120</v>
      </c>
      <c r="AQ188" s="313">
        <v>67375000</v>
      </c>
      <c r="AR188" s="123">
        <v>2650000</v>
      </c>
      <c r="AS188" s="123">
        <v>588392.69999999995</v>
      </c>
      <c r="AT188" s="12">
        <v>70613392.700000003</v>
      </c>
      <c r="AU188" s="12">
        <v>2443948.6200000085</v>
      </c>
      <c r="AV188" s="13">
        <v>1.090632388912543E-2</v>
      </c>
    </row>
    <row r="189" spans="34:48">
      <c r="AH189" s="26">
        <v>44</v>
      </c>
      <c r="AI189">
        <v>239</v>
      </c>
      <c r="AJ189" s="16">
        <v>70305</v>
      </c>
      <c r="AK189" s="16">
        <v>612830000</v>
      </c>
      <c r="AL189" s="16">
        <v>157722600</v>
      </c>
      <c r="AM189" s="16">
        <v>41350000</v>
      </c>
      <c r="AN189" s="16">
        <v>632700</v>
      </c>
      <c r="AO189" s="16">
        <v>201980300</v>
      </c>
      <c r="AP189" s="12">
        <v>136372645</v>
      </c>
      <c r="AQ189" s="313">
        <v>65415000</v>
      </c>
      <c r="AR189" s="123">
        <v>3900000</v>
      </c>
      <c r="AS189" s="123">
        <v>574835.26451612904</v>
      </c>
      <c r="AT189" s="12">
        <v>69889835.26451613</v>
      </c>
      <c r="AU189" s="12">
        <v>-4282180.2645161264</v>
      </c>
      <c r="AV189" s="13">
        <v>-2.1200979820884147E-2</v>
      </c>
    </row>
    <row r="190" spans="34:48">
      <c r="AH190" s="26">
        <v>43</v>
      </c>
      <c r="AI190">
        <v>246</v>
      </c>
      <c r="AJ190" s="16">
        <v>69631</v>
      </c>
      <c r="AK190" s="16">
        <v>615154000</v>
      </c>
      <c r="AL190" s="16">
        <v>158401140</v>
      </c>
      <c r="AM190" s="16">
        <v>42475000</v>
      </c>
      <c r="AN190" s="16">
        <v>799200</v>
      </c>
      <c r="AO190" s="16">
        <v>203750340</v>
      </c>
      <c r="AP190" s="12">
        <v>142752410</v>
      </c>
      <c r="AQ190" s="313">
        <v>66395010</v>
      </c>
      <c r="AR190" s="123">
        <v>4725000</v>
      </c>
      <c r="AS190" s="123">
        <v>570204</v>
      </c>
      <c r="AT190" s="12">
        <v>71690214</v>
      </c>
      <c r="AU190" s="12">
        <v>-10692284</v>
      </c>
      <c r="AV190" s="13">
        <v>-5.2477379915047015E-2</v>
      </c>
    </row>
    <row r="191" spans="34:48">
      <c r="AH191" s="26">
        <v>42</v>
      </c>
      <c r="AI191">
        <v>243</v>
      </c>
      <c r="AJ191" s="16">
        <v>80902</v>
      </c>
      <c r="AK191" s="16">
        <v>707651000</v>
      </c>
      <c r="AL191" s="16">
        <v>181821970</v>
      </c>
      <c r="AM191" s="16">
        <v>42275000</v>
      </c>
      <c r="AN191" s="16">
        <v>666000</v>
      </c>
      <c r="AO191" s="16">
        <v>226887970</v>
      </c>
      <c r="AP191" s="12">
        <v>152202700</v>
      </c>
      <c r="AQ191" s="313">
        <v>65905000</v>
      </c>
      <c r="AR191" s="123">
        <v>3250000</v>
      </c>
      <c r="AS191" s="123">
        <v>570203.29032258072</v>
      </c>
      <c r="AT191" s="12">
        <v>69725203.290322572</v>
      </c>
      <c r="AU191" s="12">
        <v>4960066.7096774206</v>
      </c>
      <c r="AV191" s="13">
        <v>2.1861303222367498E-2</v>
      </c>
    </row>
    <row r="192" spans="34:48">
      <c r="AH192" s="26">
        <v>41</v>
      </c>
      <c r="AI192">
        <v>252</v>
      </c>
      <c r="AJ192" s="16">
        <v>84695</v>
      </c>
      <c r="AK192" s="16">
        <v>742190002</v>
      </c>
      <c r="AL192" s="16">
        <v>190849400.44</v>
      </c>
      <c r="AM192" s="16">
        <v>42550000</v>
      </c>
      <c r="AN192" s="16">
        <v>499500</v>
      </c>
      <c r="AO192" s="16">
        <v>234448900.44</v>
      </c>
      <c r="AP192" s="12">
        <v>160203435</v>
      </c>
      <c r="AQ192" s="313">
        <v>67865000</v>
      </c>
      <c r="AR192" s="123">
        <v>4300000</v>
      </c>
      <c r="AS192" s="123">
        <v>696052.75268817251</v>
      </c>
      <c r="AT192" s="12">
        <v>72861052.752688169</v>
      </c>
      <c r="AU192" s="12">
        <v>1384412.6873118305</v>
      </c>
      <c r="AV192" s="13">
        <v>5.9049655797644846E-3</v>
      </c>
    </row>
    <row r="193" spans="34:48">
      <c r="AH193" s="26">
        <v>40</v>
      </c>
      <c r="AI193">
        <v>13</v>
      </c>
      <c r="AJ193" s="16">
        <v>1767</v>
      </c>
      <c r="AK193" s="16">
        <v>13629002</v>
      </c>
      <c r="AL193" s="16">
        <v>1218330.44</v>
      </c>
      <c r="AM193" s="16">
        <v>450000</v>
      </c>
      <c r="AN193" s="16">
        <v>466200</v>
      </c>
      <c r="AO193" s="16">
        <v>2134530.44</v>
      </c>
      <c r="AP193" s="12">
        <v>700000</v>
      </c>
      <c r="AQ193" s="313">
        <v>735000</v>
      </c>
      <c r="AR193" s="123">
        <v>0</v>
      </c>
      <c r="AS193" s="123">
        <v>0</v>
      </c>
      <c r="AT193" s="12">
        <v>735000</v>
      </c>
      <c r="AU193" s="12">
        <v>699530.44</v>
      </c>
      <c r="AV193" s="13">
        <v>0.32772099516182113</v>
      </c>
    </row>
    <row r="194" spans="34:48">
      <c r="AH194" s="26">
        <v>39</v>
      </c>
      <c r="AI194">
        <v>11</v>
      </c>
      <c r="AJ194" s="16">
        <v>1605</v>
      </c>
      <c r="AK194" s="16">
        <v>12437000</v>
      </c>
      <c r="AL194" s="16">
        <v>1109690</v>
      </c>
      <c r="AM194" s="16">
        <v>475000</v>
      </c>
      <c r="AN194" s="16">
        <v>632700</v>
      </c>
      <c r="AO194" s="16">
        <v>2217390</v>
      </c>
      <c r="AP194" s="12">
        <v>1169400</v>
      </c>
      <c r="AQ194" s="313">
        <v>665000</v>
      </c>
      <c r="AR194" s="123">
        <v>0</v>
      </c>
      <c r="AS194" s="123">
        <v>0</v>
      </c>
      <c r="AT194" s="12">
        <v>665000</v>
      </c>
      <c r="AU194" s="12">
        <v>382990.00000000012</v>
      </c>
      <c r="AV194" s="13">
        <v>0.17272108199279337</v>
      </c>
    </row>
    <row r="195" spans="34:48">
      <c r="AH195" s="26">
        <v>38</v>
      </c>
      <c r="AI195">
        <v>13</v>
      </c>
      <c r="AJ195" s="16">
        <v>952</v>
      </c>
      <c r="AK195" s="16">
        <v>9238000</v>
      </c>
      <c r="AL195" s="16">
        <v>646660.00000000012</v>
      </c>
      <c r="AM195" s="16">
        <v>0</v>
      </c>
      <c r="AN195" s="16">
        <v>0</v>
      </c>
      <c r="AO195" s="16">
        <v>646660.00000000012</v>
      </c>
      <c r="AP195" s="12">
        <v>0</v>
      </c>
      <c r="AQ195" s="313">
        <v>0</v>
      </c>
      <c r="AR195" s="123">
        <v>0</v>
      </c>
      <c r="AS195" s="123">
        <v>0</v>
      </c>
      <c r="AT195" s="12">
        <v>0</v>
      </c>
      <c r="AU195" s="12">
        <v>646660.00000000012</v>
      </c>
      <c r="AV195" s="13">
        <v>1</v>
      </c>
    </row>
    <row r="196" spans="34:48">
      <c r="AH196" s="26">
        <v>37</v>
      </c>
      <c r="AI196">
        <v>14</v>
      </c>
      <c r="AJ196" s="16">
        <v>1067</v>
      </c>
      <c r="AK196" s="16">
        <v>10313000</v>
      </c>
      <c r="AL196" s="16">
        <v>721910.00000000012</v>
      </c>
      <c r="AM196" s="16"/>
      <c r="AN196" s="16"/>
      <c r="AO196" s="16">
        <v>721910.00000000012</v>
      </c>
      <c r="AP196" s="12">
        <v>0</v>
      </c>
      <c r="AQ196" s="313">
        <v>0</v>
      </c>
      <c r="AR196" s="123">
        <v>0</v>
      </c>
      <c r="AS196" s="123">
        <v>0</v>
      </c>
      <c r="AT196" s="12">
        <v>0</v>
      </c>
      <c r="AU196" s="12">
        <v>721910.00000000012</v>
      </c>
      <c r="AV196" s="13">
        <v>1</v>
      </c>
    </row>
    <row r="197" spans="34:48">
      <c r="AH197" s="26">
        <v>36</v>
      </c>
      <c r="AI197">
        <v>16</v>
      </c>
      <c r="AJ197" s="16">
        <v>1154</v>
      </c>
      <c r="AK197" s="16">
        <v>11041000</v>
      </c>
      <c r="AL197" s="16">
        <v>772870.00000000012</v>
      </c>
      <c r="AM197" s="16">
        <v>0</v>
      </c>
      <c r="AN197" s="16">
        <v>0</v>
      </c>
      <c r="AO197" s="16">
        <v>772870.00000000012</v>
      </c>
      <c r="AP197" s="12">
        <v>0</v>
      </c>
      <c r="AQ197" s="313">
        <v>0</v>
      </c>
      <c r="AR197" s="123">
        <v>0</v>
      </c>
      <c r="AS197" s="123">
        <v>0</v>
      </c>
      <c r="AT197" s="12">
        <v>0</v>
      </c>
      <c r="AU197" s="12">
        <v>772870.00000000012</v>
      </c>
      <c r="AV197" s="13">
        <v>1</v>
      </c>
    </row>
    <row r="198" spans="34:48">
      <c r="AH198" s="26">
        <v>35</v>
      </c>
      <c r="AI198">
        <v>13</v>
      </c>
      <c r="AJ198" s="16">
        <v>1408</v>
      </c>
      <c r="AK198" s="16">
        <v>13350000</v>
      </c>
      <c r="AL198" s="16">
        <v>934500.00000000012</v>
      </c>
      <c r="AM198" s="16">
        <v>0</v>
      </c>
      <c r="AN198" s="16">
        <v>0</v>
      </c>
      <c r="AO198" s="16">
        <v>934500.00000000012</v>
      </c>
      <c r="AP198" s="12">
        <v>0</v>
      </c>
      <c r="AQ198" s="313">
        <v>0</v>
      </c>
      <c r="AR198" s="123">
        <v>0</v>
      </c>
      <c r="AS198" s="123">
        <v>0</v>
      </c>
      <c r="AT198" s="12">
        <v>14947.822995614701</v>
      </c>
      <c r="AU198" s="12">
        <v>919552.17700438539</v>
      </c>
      <c r="AV198" s="13">
        <v>0.98400446977462308</v>
      </c>
    </row>
    <row r="199" spans="34:48">
      <c r="AH199" s="26">
        <v>34</v>
      </c>
      <c r="AI199">
        <v>13</v>
      </c>
      <c r="AJ199" s="16">
        <v>1005</v>
      </c>
      <c r="AK199" s="16">
        <v>9666000</v>
      </c>
      <c r="AL199" s="16">
        <v>676620.00000000012</v>
      </c>
      <c r="AM199" s="16">
        <v>0</v>
      </c>
      <c r="AN199" s="16">
        <v>0</v>
      </c>
      <c r="AO199" s="16">
        <v>676620.00000000012</v>
      </c>
      <c r="AP199" s="12">
        <v>0</v>
      </c>
      <c r="AQ199" s="313">
        <v>0</v>
      </c>
      <c r="AR199" s="123">
        <v>0</v>
      </c>
      <c r="AS199" s="123">
        <v>0</v>
      </c>
      <c r="AT199" s="12">
        <v>0</v>
      </c>
      <c r="AU199" s="12">
        <v>676620.00000000012</v>
      </c>
      <c r="AV199" s="13">
        <v>1</v>
      </c>
    </row>
    <row r="200" spans="34:48">
      <c r="AH200" s="26">
        <v>33</v>
      </c>
      <c r="AI200">
        <v>15</v>
      </c>
      <c r="AJ200" s="16">
        <v>1092</v>
      </c>
      <c r="AK200" s="16">
        <v>10382000</v>
      </c>
      <c r="AL200" s="16">
        <v>726740.00000000012</v>
      </c>
      <c r="AM200" s="16">
        <v>0</v>
      </c>
      <c r="AN200" s="16">
        <v>0</v>
      </c>
      <c r="AO200" s="16">
        <v>726740.00000000012</v>
      </c>
      <c r="AP200" s="12">
        <v>0</v>
      </c>
      <c r="AQ200" s="313">
        <v>0</v>
      </c>
      <c r="AR200" s="123">
        <v>0</v>
      </c>
      <c r="AS200" s="123">
        <v>0</v>
      </c>
      <c r="AT200" s="12">
        <v>0</v>
      </c>
      <c r="AU200" s="12">
        <v>726740.00000000012</v>
      </c>
      <c r="AV200" s="13">
        <v>1</v>
      </c>
    </row>
    <row r="201" spans="34:48">
      <c r="AH201" s="26">
        <v>32</v>
      </c>
      <c r="AI201">
        <v>13</v>
      </c>
      <c r="AJ201" s="16">
        <v>1058</v>
      </c>
      <c r="AK201" s="16">
        <v>9906000</v>
      </c>
      <c r="AL201" s="16">
        <v>693420.00000000012</v>
      </c>
      <c r="AM201" s="16">
        <v>0</v>
      </c>
      <c r="AN201" s="16">
        <v>0</v>
      </c>
      <c r="AO201" s="16">
        <v>693420.00000000012</v>
      </c>
      <c r="AP201" s="12">
        <v>0</v>
      </c>
      <c r="AQ201" s="313">
        <v>0</v>
      </c>
      <c r="AR201" s="123">
        <v>0</v>
      </c>
      <c r="AS201" s="123">
        <v>0</v>
      </c>
      <c r="AT201" s="12">
        <v>0</v>
      </c>
      <c r="AU201" s="12">
        <v>693420.00000000012</v>
      </c>
      <c r="AV201" s="13">
        <v>1</v>
      </c>
    </row>
    <row r="202" spans="34:48">
      <c r="AH202" s="26">
        <v>15</v>
      </c>
      <c r="AI202">
        <v>6</v>
      </c>
      <c r="AJ202" s="16">
        <v>1464</v>
      </c>
      <c r="AK202" s="16">
        <v>10602000</v>
      </c>
      <c r="AL202" s="16">
        <v>3164380</v>
      </c>
      <c r="AM202" s="16">
        <v>810000</v>
      </c>
      <c r="AN202" s="16">
        <v>0</v>
      </c>
      <c r="AO202" s="16">
        <v>3974380</v>
      </c>
      <c r="AP202" s="12">
        <v>2652800</v>
      </c>
      <c r="AQ202" s="313">
        <v>2870000</v>
      </c>
      <c r="AR202" s="123">
        <v>0</v>
      </c>
      <c r="AS202" s="123">
        <v>0</v>
      </c>
      <c r="AT202" s="12">
        <v>2870000</v>
      </c>
      <c r="AU202" s="12">
        <v>-1548420</v>
      </c>
      <c r="AV202" s="13">
        <v>-0.38960039050115991</v>
      </c>
    </row>
    <row r="203" spans="34:48">
      <c r="AH203" s="26">
        <v>16</v>
      </c>
      <c r="AI203">
        <v>5</v>
      </c>
      <c r="AJ203" s="16">
        <v>1239</v>
      </c>
      <c r="AK203" s="16">
        <v>10403000</v>
      </c>
      <c r="AL203" s="16">
        <v>3106080</v>
      </c>
      <c r="AM203" s="16">
        <v>1170000</v>
      </c>
      <c r="AN203" s="16">
        <v>0</v>
      </c>
      <c r="AO203" s="16">
        <v>4276080</v>
      </c>
      <c r="AP203" s="12">
        <v>2907200</v>
      </c>
      <c r="AQ203" s="313">
        <v>4095000</v>
      </c>
      <c r="AR203" s="123">
        <v>0</v>
      </c>
      <c r="AS203" s="123">
        <v>8</v>
      </c>
      <c r="AT203" s="12">
        <v>4095008</v>
      </c>
      <c r="AU203" s="12">
        <v>-2726128</v>
      </c>
      <c r="AV203" s="13">
        <v>-0.63752970009915622</v>
      </c>
    </row>
    <row r="204" spans="34:48">
      <c r="AH204" s="26">
        <v>17</v>
      </c>
      <c r="AI204">
        <v>6</v>
      </c>
      <c r="AJ204" s="16">
        <v>1501</v>
      </c>
      <c r="AK204" s="16">
        <v>11864000</v>
      </c>
      <c r="AL204" s="16">
        <v>3526320</v>
      </c>
      <c r="AM204" s="16">
        <v>1030000</v>
      </c>
      <c r="AN204" s="16">
        <v>0</v>
      </c>
      <c r="AO204" s="16">
        <v>4556320</v>
      </c>
      <c r="AP204" s="12">
        <v>3285600</v>
      </c>
      <c r="AQ204" s="313">
        <v>3605000</v>
      </c>
      <c r="AR204" s="123">
        <v>0</v>
      </c>
      <c r="AS204" s="123">
        <v>0</v>
      </c>
      <c r="AT204" s="12">
        <v>3605000</v>
      </c>
      <c r="AU204" s="12">
        <v>-2334280</v>
      </c>
      <c r="AV204" s="13">
        <v>-0.5123169575446852</v>
      </c>
    </row>
    <row r="205" spans="34:48">
      <c r="AH205" s="26">
        <v>18</v>
      </c>
      <c r="AI205">
        <v>9</v>
      </c>
      <c r="AJ205" s="16">
        <v>1774</v>
      </c>
      <c r="AK205" s="16">
        <v>14049000</v>
      </c>
      <c r="AL205" s="16">
        <v>4179150</v>
      </c>
      <c r="AM205" s="16">
        <v>1190000</v>
      </c>
      <c r="AN205" s="16">
        <v>0</v>
      </c>
      <c r="AO205" s="16">
        <v>5369150</v>
      </c>
      <c r="AP205" s="12">
        <v>3906400</v>
      </c>
      <c r="AQ205" s="313">
        <v>4620000</v>
      </c>
      <c r="AR205" s="123">
        <v>0</v>
      </c>
      <c r="AS205" s="123">
        <v>0</v>
      </c>
      <c r="AT205" s="12">
        <v>4620000</v>
      </c>
      <c r="AU205" s="12">
        <v>-3157250</v>
      </c>
      <c r="AV205" s="13">
        <v>-0.5880353501019715</v>
      </c>
    </row>
    <row r="206" spans="34:48">
      <c r="AH206" s="26">
        <v>19</v>
      </c>
      <c r="AI206">
        <v>9</v>
      </c>
      <c r="AJ206" s="16">
        <v>2014</v>
      </c>
      <c r="AK206" s="16">
        <v>17197000</v>
      </c>
      <c r="AL206" s="16">
        <v>5116400</v>
      </c>
      <c r="AM206" s="16">
        <v>1640000</v>
      </c>
      <c r="AN206" s="16">
        <v>0</v>
      </c>
      <c r="AO206" s="16">
        <v>6756400</v>
      </c>
      <c r="AP206" s="12">
        <v>4885700</v>
      </c>
      <c r="AQ206" s="313">
        <v>5740000</v>
      </c>
      <c r="AR206" s="123">
        <v>0</v>
      </c>
      <c r="AS206" s="123">
        <v>0</v>
      </c>
      <c r="AT206" s="12">
        <v>5740000</v>
      </c>
      <c r="AU206" s="12">
        <v>-3869300</v>
      </c>
      <c r="AV206" s="13">
        <v>-0.57268663785447871</v>
      </c>
    </row>
    <row r="207" spans="34:48">
      <c r="AH207" s="26">
        <v>20</v>
      </c>
      <c r="AI207">
        <v>6</v>
      </c>
      <c r="AJ207" s="16">
        <v>1646</v>
      </c>
      <c r="AK207" s="16">
        <v>13194000</v>
      </c>
      <c r="AL207" s="16">
        <v>3929280</v>
      </c>
      <c r="AM207" s="16">
        <v>1370000</v>
      </c>
      <c r="AN207" s="16">
        <v>0</v>
      </c>
      <c r="AO207" s="16">
        <v>5299280</v>
      </c>
      <c r="AP207" s="12">
        <v>4134200</v>
      </c>
      <c r="AQ207" s="313">
        <v>4795000</v>
      </c>
      <c r="AR207" s="123">
        <v>0</v>
      </c>
      <c r="AS207" s="123">
        <v>0</v>
      </c>
      <c r="AT207" s="12">
        <v>4795000</v>
      </c>
      <c r="AU207" s="12">
        <v>-3629920</v>
      </c>
      <c r="AV207" s="13">
        <v>-0.68498362041635841</v>
      </c>
    </row>
    <row r="208" spans="34:48">
      <c r="AH208" s="26">
        <v>21</v>
      </c>
      <c r="AI208">
        <v>7</v>
      </c>
      <c r="AJ208" s="16">
        <v>1583</v>
      </c>
      <c r="AK208" s="16">
        <v>12269000</v>
      </c>
      <c r="AL208" s="16">
        <v>3652540</v>
      </c>
      <c r="AM208" s="16">
        <v>1330000</v>
      </c>
      <c r="AN208" s="16">
        <v>0</v>
      </c>
      <c r="AO208" s="16">
        <v>4982540</v>
      </c>
      <c r="AP208" s="12">
        <v>4219000</v>
      </c>
      <c r="AQ208" s="313">
        <v>4690000</v>
      </c>
      <c r="AR208" s="123">
        <v>0</v>
      </c>
      <c r="AS208" s="123">
        <v>0</v>
      </c>
      <c r="AT208" s="12">
        <v>4690000</v>
      </c>
      <c r="AU208" s="12">
        <v>-3926460</v>
      </c>
      <c r="AV208" s="13">
        <v>-0.78804384912113101</v>
      </c>
    </row>
    <row r="209" spans="34:48">
      <c r="AH209" s="26">
        <v>22</v>
      </c>
      <c r="AI209">
        <v>5</v>
      </c>
      <c r="AJ209" s="16">
        <v>1476</v>
      </c>
      <c r="AK209" s="16">
        <v>11802000</v>
      </c>
      <c r="AL209" s="16">
        <v>2851880</v>
      </c>
      <c r="AM209" s="16">
        <v>1060000</v>
      </c>
      <c r="AN209" s="16">
        <v>775000</v>
      </c>
      <c r="AO209" s="16">
        <v>4686880</v>
      </c>
      <c r="AP209" s="12">
        <v>3878000</v>
      </c>
      <c r="AQ209" s="313">
        <v>3850000</v>
      </c>
      <c r="AR209" s="123">
        <v>0</v>
      </c>
      <c r="AS209" s="123">
        <v>0</v>
      </c>
      <c r="AT209" s="12">
        <v>3850000</v>
      </c>
      <c r="AU209" s="12">
        <v>-3041120</v>
      </c>
      <c r="AV209" s="13">
        <v>-0.64885808896323349</v>
      </c>
    </row>
    <row r="210" spans="34:48">
      <c r="AH210" s="26">
        <v>23</v>
      </c>
      <c r="AI210">
        <v>4</v>
      </c>
      <c r="AJ210" s="16">
        <v>1500</v>
      </c>
      <c r="AK210" s="16">
        <v>11787000</v>
      </c>
      <c r="AL210" s="16">
        <v>2604140</v>
      </c>
      <c r="AM210" s="16">
        <v>830000</v>
      </c>
      <c r="AN210" s="16">
        <v>950000</v>
      </c>
      <c r="AO210" s="16">
        <v>4384140</v>
      </c>
      <c r="AP210" s="12">
        <v>3255000</v>
      </c>
      <c r="AQ210" s="313">
        <v>2940000</v>
      </c>
      <c r="AR210" s="123">
        <v>0</v>
      </c>
      <c r="AS210" s="123">
        <v>0</v>
      </c>
      <c r="AT210" s="12">
        <v>2940000</v>
      </c>
      <c r="AU210" s="12">
        <v>-1810860</v>
      </c>
      <c r="AV210" s="13">
        <v>-0.41304794098728598</v>
      </c>
    </row>
    <row r="211" spans="34:48">
      <c r="AH211" s="26">
        <v>24</v>
      </c>
      <c r="AI211">
        <v>9</v>
      </c>
      <c r="AJ211" s="16">
        <v>2339</v>
      </c>
      <c r="AK211" s="16">
        <v>20394000</v>
      </c>
      <c r="AL211" s="16">
        <v>5031660</v>
      </c>
      <c r="AM211" s="16">
        <v>1210000</v>
      </c>
      <c r="AN211" s="16">
        <v>1200000</v>
      </c>
      <c r="AO211" s="16">
        <v>7441660</v>
      </c>
      <c r="AP211" s="12">
        <v>4914000</v>
      </c>
      <c r="AQ211" s="313">
        <v>4270000</v>
      </c>
      <c r="AR211" s="123">
        <v>0</v>
      </c>
      <c r="AS211" s="123">
        <v>0</v>
      </c>
      <c r="AT211" s="12">
        <v>4270000</v>
      </c>
      <c r="AU211" s="12">
        <v>-1742340</v>
      </c>
      <c r="AV211" s="13">
        <v>-0.23413324446427275</v>
      </c>
    </row>
    <row r="212" spans="34:48">
      <c r="AH212" s="26">
        <v>25</v>
      </c>
      <c r="AI212">
        <v>12</v>
      </c>
      <c r="AJ212" s="16">
        <v>2564</v>
      </c>
      <c r="AK212" s="16">
        <v>22135000</v>
      </c>
      <c r="AL212" s="16">
        <v>5145620</v>
      </c>
      <c r="AM212" s="16">
        <v>1770000</v>
      </c>
      <c r="AN212" s="16">
        <v>1625000</v>
      </c>
      <c r="AO212" s="16">
        <v>8540620</v>
      </c>
      <c r="AP212" s="12">
        <v>5789000</v>
      </c>
      <c r="AQ212" s="313">
        <v>6195000</v>
      </c>
      <c r="AR212" s="123">
        <v>0</v>
      </c>
      <c r="AS212" s="123">
        <v>0</v>
      </c>
      <c r="AT212" s="12">
        <v>6506500</v>
      </c>
      <c r="AU212" s="12">
        <v>-3754880</v>
      </c>
      <c r="AV212" s="13">
        <v>-0.43964958047542219</v>
      </c>
    </row>
    <row r="213" spans="34:48">
      <c r="AH213" s="26">
        <v>26</v>
      </c>
      <c r="AI213">
        <v>10</v>
      </c>
      <c r="AJ213" s="16">
        <v>2176</v>
      </c>
      <c r="AK213" s="16">
        <v>19289700</v>
      </c>
      <c r="AL213" s="16">
        <v>4322920</v>
      </c>
      <c r="AM213" s="16">
        <v>1466428.5714285714</v>
      </c>
      <c r="AN213" s="16">
        <v>1389285.7142857143</v>
      </c>
      <c r="AO213" s="16">
        <v>7178634.2857142854</v>
      </c>
      <c r="AP213" s="12">
        <v>4915602.8571428573</v>
      </c>
      <c r="AQ213" s="313">
        <v>5200500</v>
      </c>
      <c r="AR213" s="123">
        <v>0</v>
      </c>
      <c r="AS213" s="123">
        <v>0</v>
      </c>
      <c r="AT213" s="12">
        <v>5200500</v>
      </c>
      <c r="AU213" s="12">
        <v>-2937468.5714285714</v>
      </c>
      <c r="AV213" s="13">
        <v>-0.4091960189801323</v>
      </c>
    </row>
    <row r="214" spans="34:48">
      <c r="AH214" s="26">
        <v>27</v>
      </c>
      <c r="AI214">
        <v>9</v>
      </c>
      <c r="AJ214" s="16">
        <v>1521</v>
      </c>
      <c r="AK214" s="16">
        <v>13983000.000000002</v>
      </c>
      <c r="AL214" s="16">
        <v>3116399.9999999995</v>
      </c>
      <c r="AM214" s="16">
        <v>2148571.4285714282</v>
      </c>
      <c r="AN214" s="16">
        <v>760714.28571428568</v>
      </c>
      <c r="AO214" s="16">
        <v>6025685.7142857146</v>
      </c>
      <c r="AP214" s="12">
        <v>2706617.1428571427</v>
      </c>
      <c r="AQ214" s="313">
        <v>3485000</v>
      </c>
      <c r="AR214" s="123">
        <v>0</v>
      </c>
      <c r="AS214" s="123">
        <v>0</v>
      </c>
      <c r="AT214" s="12">
        <v>3485000</v>
      </c>
      <c r="AU214" s="12">
        <v>-165931.42857142823</v>
      </c>
      <c r="AV214" s="13">
        <v>-2.753735200261731E-2</v>
      </c>
    </row>
    <row r="215" spans="34:48">
      <c r="AH215" s="26">
        <v>28</v>
      </c>
      <c r="AI215">
        <v>5</v>
      </c>
      <c r="AJ215" s="16">
        <v>1754</v>
      </c>
      <c r="AK215" s="16">
        <v>13532000</v>
      </c>
      <c r="AL215" s="16">
        <v>2929980</v>
      </c>
      <c r="AM215" s="16">
        <v>1725000</v>
      </c>
      <c r="AN215" s="16">
        <v>850000</v>
      </c>
      <c r="AO215" s="16">
        <v>5504980</v>
      </c>
      <c r="AP215" s="12">
        <v>2500810</v>
      </c>
      <c r="AQ215" s="313">
        <v>3185000</v>
      </c>
      <c r="AR215" s="123">
        <v>0</v>
      </c>
      <c r="AS215" s="123">
        <v>0</v>
      </c>
      <c r="AT215" s="12">
        <v>3185000</v>
      </c>
      <c r="AU215" s="12">
        <v>-180830</v>
      </c>
      <c r="AV215" s="13">
        <v>-3.2848439049733148E-2</v>
      </c>
    </row>
    <row r="216" spans="34:48">
      <c r="AH216" s="26">
        <v>29</v>
      </c>
      <c r="AI216">
        <v>5</v>
      </c>
      <c r="AJ216" s="16">
        <v>902</v>
      </c>
      <c r="AK216" s="16">
        <v>6266000</v>
      </c>
      <c r="AL216" s="16">
        <v>1267840</v>
      </c>
      <c r="AM216" s="16">
        <v>900000</v>
      </c>
      <c r="AN216" s="16">
        <v>750000</v>
      </c>
      <c r="AO216" s="16">
        <v>2917840</v>
      </c>
      <c r="AP216" s="12">
        <v>1066070</v>
      </c>
      <c r="AQ216" s="313">
        <v>1470000</v>
      </c>
      <c r="AR216" s="123">
        <v>0</v>
      </c>
      <c r="AS216" s="123">
        <v>0</v>
      </c>
      <c r="AT216" s="12">
        <v>1470000</v>
      </c>
      <c r="AU216" s="12">
        <v>381770</v>
      </c>
      <c r="AV216" s="13">
        <v>0.13083993639130315</v>
      </c>
    </row>
    <row r="217" spans="34:48">
      <c r="AH217" s="26">
        <v>30</v>
      </c>
      <c r="AI217">
        <v>9</v>
      </c>
      <c r="AJ217" s="16">
        <v>2079</v>
      </c>
      <c r="AK217" s="16">
        <v>14059000</v>
      </c>
      <c r="AL217" s="16">
        <v>2057050</v>
      </c>
      <c r="AM217" s="16">
        <v>2140000</v>
      </c>
      <c r="AN217" s="16">
        <v>450000</v>
      </c>
      <c r="AO217" s="16">
        <v>4647050</v>
      </c>
      <c r="AP217" s="12">
        <v>1364330</v>
      </c>
      <c r="AQ217" s="313">
        <v>2555000</v>
      </c>
      <c r="AR217" s="123">
        <v>0</v>
      </c>
      <c r="AS217" s="123">
        <v>0</v>
      </c>
      <c r="AT217" s="12">
        <v>2555000</v>
      </c>
      <c r="AU217" s="12">
        <v>727720</v>
      </c>
      <c r="AV217" s="13">
        <v>0.1565982720220355</v>
      </c>
    </row>
    <row r="218" spans="34:48">
      <c r="AH218" s="26">
        <v>31</v>
      </c>
      <c r="AI218">
        <v>11</v>
      </c>
      <c r="AJ218" s="16">
        <v>2517</v>
      </c>
      <c r="AK218" s="16">
        <v>18061000</v>
      </c>
      <c r="AL218" s="16">
        <v>2352830</v>
      </c>
      <c r="AM218" s="16">
        <v>750000</v>
      </c>
      <c r="AN218" s="16">
        <v>500000</v>
      </c>
      <c r="AO218" s="16">
        <v>3602830</v>
      </c>
      <c r="AP218" s="12">
        <v>1444839.9999999998</v>
      </c>
      <c r="AQ218" s="313">
        <v>1225000</v>
      </c>
      <c r="AR218" s="123">
        <v>0</v>
      </c>
      <c r="AS218" s="123">
        <v>0</v>
      </c>
      <c r="AT218" s="12">
        <v>1225000</v>
      </c>
      <c r="AU218" s="12">
        <v>932990.00000000023</v>
      </c>
      <c r="AV218" s="13">
        <v>0.25896031730611774</v>
      </c>
    </row>
    <row r="219" spans="34:48">
      <c r="AH219" s="26">
        <v>12026</v>
      </c>
      <c r="AI219">
        <v>215</v>
      </c>
      <c r="AJ219" s="16">
        <v>29017</v>
      </c>
      <c r="AK219" s="16">
        <v>254517000</v>
      </c>
      <c r="AL219" s="16">
        <v>65771910</v>
      </c>
      <c r="AM219" s="16">
        <v>16467857.142857142</v>
      </c>
      <c r="AN219" s="16">
        <v>0</v>
      </c>
      <c r="AO219" s="16">
        <v>83054052.857142851</v>
      </c>
      <c r="AP219" s="12">
        <v>57287168.571428567</v>
      </c>
      <c r="AQ219" s="313">
        <v>25725000</v>
      </c>
      <c r="AR219" s="123">
        <v>1939285.7142857143</v>
      </c>
      <c r="AS219" s="123">
        <v>246587.007096774</v>
      </c>
      <c r="AT219" s="12">
        <v>27910872.721382491</v>
      </c>
      <c r="AU219" s="12">
        <v>-2143988.4356682152</v>
      </c>
      <c r="AV219" s="13">
        <v>-2.5814374638116495E-2</v>
      </c>
    </row>
    <row r="220" spans="34:48">
      <c r="AH220" s="26" t="s">
        <v>181</v>
      </c>
      <c r="AI220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2">
        <v>0</v>
      </c>
      <c r="AQ220" s="313">
        <v>0</v>
      </c>
      <c r="AR220" s="123">
        <v>0</v>
      </c>
      <c r="AS220" s="123">
        <v>0</v>
      </c>
      <c r="AT220" s="12">
        <v>0</v>
      </c>
      <c r="AU220" s="12">
        <v>0</v>
      </c>
      <c r="AV220" s="13">
        <v>0</v>
      </c>
    </row>
    <row r="221" spans="34:48">
      <c r="AH221" s="278" t="s">
        <v>178</v>
      </c>
      <c r="AI221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35">
        <v>0</v>
      </c>
      <c r="AQ221" s="313">
        <v>0</v>
      </c>
      <c r="AR221" s="123">
        <v>0</v>
      </c>
      <c r="AS221" s="123">
        <v>0</v>
      </c>
      <c r="AT221" s="35">
        <v>0</v>
      </c>
      <c r="AU221" s="35">
        <v>0</v>
      </c>
      <c r="AV221" s="13">
        <v>0</v>
      </c>
    </row>
    <row r="222" spans="34:48">
      <c r="AH222" s="278" t="s">
        <v>196</v>
      </c>
      <c r="AI222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35">
        <v>0</v>
      </c>
      <c r="AQ222" s="313">
        <v>0</v>
      </c>
      <c r="AR222" s="123">
        <v>0</v>
      </c>
      <c r="AS222" s="123">
        <v>0</v>
      </c>
      <c r="AT222" s="35">
        <v>0</v>
      </c>
      <c r="AU222" s="35">
        <v>0</v>
      </c>
      <c r="AV222" s="13">
        <v>0</v>
      </c>
    </row>
    <row r="223" spans="34:48">
      <c r="AH223" s="278" t="s">
        <v>170</v>
      </c>
      <c r="AI223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35">
        <v>0</v>
      </c>
      <c r="AQ223" s="313">
        <v>0</v>
      </c>
      <c r="AR223" s="123">
        <v>0</v>
      </c>
      <c r="AS223" s="123">
        <v>0</v>
      </c>
      <c r="AT223" s="35">
        <v>0</v>
      </c>
      <c r="AU223" s="35">
        <v>0</v>
      </c>
      <c r="AV223" s="13">
        <v>0</v>
      </c>
    </row>
    <row r="224" spans="34:48">
      <c r="AH224" s="278" t="s">
        <v>27</v>
      </c>
      <c r="AI224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35">
        <v>0</v>
      </c>
      <c r="AQ224" s="313">
        <v>0</v>
      </c>
      <c r="AR224" s="123">
        <v>0</v>
      </c>
      <c r="AS224" s="123">
        <v>0</v>
      </c>
      <c r="AT224" s="35">
        <v>0</v>
      </c>
      <c r="AU224" s="35">
        <v>0</v>
      </c>
      <c r="AV224" s="13">
        <v>0</v>
      </c>
    </row>
    <row r="225" spans="34:48">
      <c r="AH225" s="278" t="s">
        <v>203</v>
      </c>
      <c r="AI225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35">
        <v>0</v>
      </c>
      <c r="AQ225" s="313">
        <v>0</v>
      </c>
      <c r="AR225" s="123">
        <v>0</v>
      </c>
      <c r="AS225" s="123">
        <v>0</v>
      </c>
      <c r="AT225" s="35">
        <v>0</v>
      </c>
      <c r="AU225" s="35">
        <v>0</v>
      </c>
      <c r="AV225" s="13">
        <v>0</v>
      </c>
    </row>
    <row r="226" spans="34:48">
      <c r="AH226" s="278" t="s">
        <v>33</v>
      </c>
      <c r="AI22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35">
        <v>0</v>
      </c>
      <c r="AQ226" s="313">
        <v>0</v>
      </c>
      <c r="AR226" s="123">
        <v>0</v>
      </c>
      <c r="AS226" s="123">
        <v>0</v>
      </c>
      <c r="AT226" s="35">
        <v>0</v>
      </c>
      <c r="AU226" s="35">
        <v>0</v>
      </c>
      <c r="AV226" s="13">
        <v>0</v>
      </c>
    </row>
    <row r="227" spans="34:48">
      <c r="AH227" s="278" t="s">
        <v>204</v>
      </c>
      <c r="AI227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35">
        <v>0</v>
      </c>
      <c r="AQ227" s="313">
        <v>0</v>
      </c>
      <c r="AR227" s="123">
        <v>0</v>
      </c>
      <c r="AS227" s="123">
        <v>0</v>
      </c>
      <c r="AT227" s="35">
        <v>0</v>
      </c>
      <c r="AU227" s="35">
        <v>0</v>
      </c>
      <c r="AV227" s="13">
        <v>0</v>
      </c>
    </row>
    <row r="228" spans="34:48">
      <c r="AH228" s="278" t="s">
        <v>171</v>
      </c>
      <c r="AI228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35">
        <v>0</v>
      </c>
      <c r="AQ228" s="313">
        <v>0</v>
      </c>
      <c r="AR228" s="123">
        <v>0</v>
      </c>
      <c r="AS228" s="123">
        <v>0</v>
      </c>
      <c r="AT228" s="35">
        <v>0</v>
      </c>
      <c r="AU228" s="35">
        <v>0</v>
      </c>
      <c r="AV228" s="13">
        <v>0</v>
      </c>
    </row>
    <row r="229" spans="34:48">
      <c r="AH229" s="278" t="s">
        <v>175</v>
      </c>
      <c r="AI229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35">
        <v>0</v>
      </c>
      <c r="AQ229" s="313">
        <v>0</v>
      </c>
      <c r="AR229" s="123">
        <v>0</v>
      </c>
      <c r="AS229" s="123">
        <v>0</v>
      </c>
      <c r="AT229" s="35">
        <v>0</v>
      </c>
      <c r="AU229" s="35">
        <v>0</v>
      </c>
      <c r="AV229" s="13">
        <v>0</v>
      </c>
    </row>
    <row r="230" spans="34:48">
      <c r="AH230" s="278" t="s">
        <v>199</v>
      </c>
      <c r="AI230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35">
        <v>0</v>
      </c>
      <c r="AQ230" s="313">
        <v>0</v>
      </c>
      <c r="AR230" s="123">
        <v>0</v>
      </c>
      <c r="AS230" s="123">
        <v>0</v>
      </c>
      <c r="AT230" s="35">
        <v>0</v>
      </c>
      <c r="AU230" s="35">
        <v>0</v>
      </c>
      <c r="AV230" s="13">
        <v>0</v>
      </c>
    </row>
    <row r="231" spans="34:48">
      <c r="AH231" s="278" t="s">
        <v>176</v>
      </c>
      <c r="AI231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35">
        <v>0</v>
      </c>
      <c r="AQ231" s="313">
        <v>0</v>
      </c>
      <c r="AR231" s="123">
        <v>0</v>
      </c>
      <c r="AS231" s="123">
        <v>0</v>
      </c>
      <c r="AT231" s="35">
        <v>0</v>
      </c>
      <c r="AU231" s="35">
        <v>0</v>
      </c>
      <c r="AV231" s="13">
        <v>0</v>
      </c>
    </row>
    <row r="232" spans="34:48">
      <c r="AH232" s="278" t="s">
        <v>29</v>
      </c>
      <c r="AI232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35">
        <v>0</v>
      </c>
      <c r="AQ232" s="313">
        <v>0</v>
      </c>
      <c r="AR232" s="123">
        <v>0</v>
      </c>
      <c r="AS232" s="123">
        <v>0</v>
      </c>
      <c r="AT232" s="35">
        <v>0</v>
      </c>
      <c r="AU232" s="35">
        <v>0</v>
      </c>
      <c r="AV232" s="13">
        <v>0</v>
      </c>
    </row>
    <row r="233" spans="34:48">
      <c r="AH233" s="278" t="s">
        <v>177</v>
      </c>
      <c r="AI233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35">
        <v>0</v>
      </c>
      <c r="AQ233" s="313">
        <v>0</v>
      </c>
      <c r="AR233" s="123">
        <v>0</v>
      </c>
      <c r="AS233" s="123">
        <v>0</v>
      </c>
      <c r="AT233" s="35">
        <v>0</v>
      </c>
      <c r="AU233" s="35">
        <v>0</v>
      </c>
      <c r="AV233" s="13">
        <v>0</v>
      </c>
    </row>
    <row r="234" spans="34:48">
      <c r="AH234" s="278" t="s">
        <v>23</v>
      </c>
      <c r="AI234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35">
        <v>0</v>
      </c>
      <c r="AQ234" s="313">
        <v>0</v>
      </c>
      <c r="AR234" s="123">
        <v>0</v>
      </c>
      <c r="AS234" s="123">
        <v>0</v>
      </c>
      <c r="AT234" s="35">
        <v>0</v>
      </c>
      <c r="AU234" s="35">
        <v>0</v>
      </c>
      <c r="AV234" s="13">
        <v>0</v>
      </c>
    </row>
    <row r="235" spans="34:48">
      <c r="AH235" s="278" t="s">
        <v>202</v>
      </c>
      <c r="AI235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35">
        <v>0</v>
      </c>
      <c r="AQ235" s="313">
        <v>0</v>
      </c>
      <c r="AR235" s="123">
        <v>0</v>
      </c>
      <c r="AS235" s="123">
        <v>0</v>
      </c>
      <c r="AT235" s="35">
        <v>0</v>
      </c>
      <c r="AU235" s="35">
        <v>0</v>
      </c>
      <c r="AV235" s="13">
        <v>0</v>
      </c>
    </row>
    <row r="236" spans="34:48">
      <c r="AH236" s="278" t="s">
        <v>200</v>
      </c>
      <c r="AI23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35">
        <v>0</v>
      </c>
      <c r="AQ236" s="313">
        <v>0</v>
      </c>
      <c r="AR236" s="123">
        <v>0</v>
      </c>
      <c r="AS236" s="123">
        <v>0</v>
      </c>
      <c r="AT236" s="35">
        <v>0</v>
      </c>
      <c r="AU236" s="35">
        <v>0</v>
      </c>
      <c r="AV236" s="13">
        <v>0</v>
      </c>
    </row>
    <row r="237" spans="34:48">
      <c r="AH237" s="278" t="s">
        <v>34</v>
      </c>
      <c r="AI237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35">
        <v>0</v>
      </c>
      <c r="AQ237" s="313">
        <v>0</v>
      </c>
      <c r="AR237" s="123">
        <v>0</v>
      </c>
      <c r="AS237" s="123">
        <v>0</v>
      </c>
      <c r="AT237" s="35">
        <v>0</v>
      </c>
      <c r="AU237" s="35">
        <v>0</v>
      </c>
      <c r="AV237" s="13">
        <v>0</v>
      </c>
    </row>
    <row r="238" spans="34:48">
      <c r="AH238" s="278" t="s">
        <v>201</v>
      </c>
      <c r="AI238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35">
        <v>0</v>
      </c>
      <c r="AQ238" s="313">
        <v>0</v>
      </c>
      <c r="AR238" s="123">
        <v>0</v>
      </c>
      <c r="AS238" s="123">
        <v>0</v>
      </c>
      <c r="AT238" s="35">
        <v>0</v>
      </c>
      <c r="AU238" s="35">
        <v>0</v>
      </c>
      <c r="AV238" s="13">
        <v>0</v>
      </c>
    </row>
    <row r="239" spans="34:48">
      <c r="AH239" s="26" t="s">
        <v>182</v>
      </c>
      <c r="AI239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2">
        <v>0</v>
      </c>
      <c r="AQ239" s="313">
        <v>0</v>
      </c>
      <c r="AR239" s="123">
        <v>0</v>
      </c>
      <c r="AS239" s="123">
        <v>0</v>
      </c>
      <c r="AT239" s="12">
        <v>0</v>
      </c>
      <c r="AU239" s="12">
        <v>0</v>
      </c>
      <c r="AV239" s="13">
        <v>0</v>
      </c>
    </row>
    <row r="240" spans="34:48">
      <c r="AH240" s="278" t="s">
        <v>178</v>
      </c>
      <c r="AI240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35">
        <v>0</v>
      </c>
      <c r="AQ240" s="313">
        <v>0</v>
      </c>
      <c r="AR240" s="123">
        <v>0</v>
      </c>
      <c r="AS240" s="123">
        <v>0</v>
      </c>
      <c r="AT240" s="35">
        <v>0</v>
      </c>
      <c r="AU240" s="35">
        <v>0</v>
      </c>
      <c r="AV240" s="13">
        <v>0</v>
      </c>
    </row>
    <row r="241" spans="34:48">
      <c r="AH241" s="278" t="s">
        <v>196</v>
      </c>
      <c r="AI241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35">
        <v>0</v>
      </c>
      <c r="AQ241" s="313">
        <v>0</v>
      </c>
      <c r="AR241" s="123">
        <v>0</v>
      </c>
      <c r="AS241" s="123">
        <v>0</v>
      </c>
      <c r="AT241" s="35">
        <v>0</v>
      </c>
      <c r="AU241" s="35">
        <v>0</v>
      </c>
      <c r="AV241" s="13">
        <v>0</v>
      </c>
    </row>
    <row r="242" spans="34:48">
      <c r="AH242" s="278" t="s">
        <v>170</v>
      </c>
      <c r="AI242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35">
        <v>0</v>
      </c>
      <c r="AQ242" s="313">
        <v>0</v>
      </c>
      <c r="AR242" s="123">
        <v>0</v>
      </c>
      <c r="AS242" s="123">
        <v>0</v>
      </c>
      <c r="AT242" s="35">
        <v>0</v>
      </c>
      <c r="AU242" s="35">
        <v>0</v>
      </c>
      <c r="AV242" s="13">
        <v>0</v>
      </c>
    </row>
    <row r="243" spans="34:48">
      <c r="AH243" s="278" t="s">
        <v>27</v>
      </c>
      <c r="AI243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35">
        <v>0</v>
      </c>
      <c r="AQ243" s="313">
        <v>0</v>
      </c>
      <c r="AR243" s="123">
        <v>0</v>
      </c>
      <c r="AS243" s="123">
        <v>0</v>
      </c>
      <c r="AT243" s="35">
        <v>0</v>
      </c>
      <c r="AU243" s="35">
        <v>0</v>
      </c>
      <c r="AV243" s="13">
        <v>0</v>
      </c>
    </row>
    <row r="244" spans="34:48">
      <c r="AH244" s="278" t="s">
        <v>203</v>
      </c>
      <c r="AI244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35">
        <v>0</v>
      </c>
      <c r="AQ244" s="313">
        <v>0</v>
      </c>
      <c r="AR244" s="123">
        <v>0</v>
      </c>
      <c r="AS244" s="123">
        <v>0</v>
      </c>
      <c r="AT244" s="35">
        <v>0</v>
      </c>
      <c r="AU244" s="35">
        <v>0</v>
      </c>
      <c r="AV244" s="13">
        <v>0</v>
      </c>
    </row>
    <row r="245" spans="34:48">
      <c r="AH245" s="278" t="s">
        <v>33</v>
      </c>
      <c r="AI245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35">
        <v>0</v>
      </c>
      <c r="AQ245" s="313">
        <v>0</v>
      </c>
      <c r="AR245" s="123">
        <v>0</v>
      </c>
      <c r="AS245" s="123">
        <v>0</v>
      </c>
      <c r="AT245" s="35">
        <v>0</v>
      </c>
      <c r="AU245" s="35">
        <v>0</v>
      </c>
      <c r="AV245" s="13">
        <v>0</v>
      </c>
    </row>
    <row r="246" spans="34:48">
      <c r="AH246" s="278" t="s">
        <v>204</v>
      </c>
      <c r="AI24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35">
        <v>0</v>
      </c>
      <c r="AQ246" s="313">
        <v>0</v>
      </c>
      <c r="AR246" s="123">
        <v>0</v>
      </c>
      <c r="AS246" s="123">
        <v>0</v>
      </c>
      <c r="AT246" s="35">
        <v>0</v>
      </c>
      <c r="AU246" s="35">
        <v>0</v>
      </c>
      <c r="AV246" s="13">
        <v>0</v>
      </c>
    </row>
    <row r="247" spans="34:48">
      <c r="AH247" s="278" t="s">
        <v>171</v>
      </c>
      <c r="AI247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35">
        <v>0</v>
      </c>
      <c r="AQ247" s="313">
        <v>0</v>
      </c>
      <c r="AR247" s="123">
        <v>0</v>
      </c>
      <c r="AS247" s="123">
        <v>0</v>
      </c>
      <c r="AT247" s="35">
        <v>0</v>
      </c>
      <c r="AU247" s="35">
        <v>0</v>
      </c>
      <c r="AV247" s="13">
        <v>0</v>
      </c>
    </row>
    <row r="248" spans="34:48">
      <c r="AH248" s="278" t="s">
        <v>175</v>
      </c>
      <c r="AI248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35">
        <v>0</v>
      </c>
      <c r="AQ248" s="313">
        <v>0</v>
      </c>
      <c r="AR248" s="123">
        <v>0</v>
      </c>
      <c r="AS248" s="123">
        <v>0</v>
      </c>
      <c r="AT248" s="35">
        <v>0</v>
      </c>
      <c r="AU248" s="35">
        <v>0</v>
      </c>
      <c r="AV248" s="13">
        <v>0</v>
      </c>
    </row>
    <row r="249" spans="34:48">
      <c r="AH249" s="278" t="s">
        <v>199</v>
      </c>
      <c r="AI249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35">
        <v>0</v>
      </c>
      <c r="AQ249" s="313">
        <v>0</v>
      </c>
      <c r="AR249" s="123">
        <v>0</v>
      </c>
      <c r="AS249" s="123">
        <v>0</v>
      </c>
      <c r="AT249" s="35">
        <v>0</v>
      </c>
      <c r="AU249" s="35">
        <v>0</v>
      </c>
      <c r="AV249" s="13">
        <v>0</v>
      </c>
    </row>
    <row r="250" spans="34:48">
      <c r="AH250" s="278" t="s">
        <v>176</v>
      </c>
      <c r="AI250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35">
        <v>0</v>
      </c>
      <c r="AQ250" s="313">
        <v>0</v>
      </c>
      <c r="AR250" s="123">
        <v>0</v>
      </c>
      <c r="AS250" s="123">
        <v>0</v>
      </c>
      <c r="AT250" s="35">
        <v>0</v>
      </c>
      <c r="AU250" s="35">
        <v>0</v>
      </c>
      <c r="AV250" s="13">
        <v>0</v>
      </c>
    </row>
    <row r="251" spans="34:48">
      <c r="AH251" s="278" t="s">
        <v>29</v>
      </c>
      <c r="AI251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35">
        <v>0</v>
      </c>
      <c r="AQ251" s="313">
        <v>0</v>
      </c>
      <c r="AR251" s="123">
        <v>0</v>
      </c>
      <c r="AS251" s="123">
        <v>0</v>
      </c>
      <c r="AT251" s="35">
        <v>0</v>
      </c>
      <c r="AU251" s="35">
        <v>0</v>
      </c>
      <c r="AV251" s="13">
        <v>0</v>
      </c>
    </row>
    <row r="252" spans="34:48">
      <c r="AH252" s="278" t="s">
        <v>177</v>
      </c>
      <c r="AI252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35">
        <v>0</v>
      </c>
      <c r="AQ252" s="313">
        <v>0</v>
      </c>
      <c r="AR252" s="123">
        <v>0</v>
      </c>
      <c r="AS252" s="123">
        <v>0</v>
      </c>
      <c r="AT252" s="35">
        <v>0</v>
      </c>
      <c r="AU252" s="35">
        <v>0</v>
      </c>
      <c r="AV252" s="13">
        <v>0</v>
      </c>
    </row>
    <row r="253" spans="34:48">
      <c r="AH253" s="278" t="s">
        <v>23</v>
      </c>
      <c r="AI253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35">
        <v>0</v>
      </c>
      <c r="AQ253" s="313">
        <v>0</v>
      </c>
      <c r="AR253" s="123">
        <v>0</v>
      </c>
      <c r="AS253" s="123">
        <v>0</v>
      </c>
      <c r="AT253" s="35">
        <v>0</v>
      </c>
      <c r="AU253" s="35">
        <v>0</v>
      </c>
      <c r="AV253" s="13">
        <v>0</v>
      </c>
    </row>
    <row r="254" spans="34:48">
      <c r="AH254" s="278" t="s">
        <v>202</v>
      </c>
      <c r="AI254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35">
        <v>0</v>
      </c>
      <c r="AQ254" s="313">
        <v>0</v>
      </c>
      <c r="AR254" s="123">
        <v>0</v>
      </c>
      <c r="AS254" s="123">
        <v>0</v>
      </c>
      <c r="AT254" s="35">
        <v>0</v>
      </c>
      <c r="AU254" s="35">
        <v>0</v>
      </c>
      <c r="AV254" s="13">
        <v>0</v>
      </c>
    </row>
    <row r="255" spans="34:48">
      <c r="AH255" s="278" t="s">
        <v>200</v>
      </c>
      <c r="AI255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35">
        <v>0</v>
      </c>
      <c r="AQ255" s="313">
        <v>0</v>
      </c>
      <c r="AR255" s="123">
        <v>0</v>
      </c>
      <c r="AS255" s="123">
        <v>0</v>
      </c>
      <c r="AT255" s="35">
        <v>0</v>
      </c>
      <c r="AU255" s="35">
        <v>0</v>
      </c>
      <c r="AV255" s="13">
        <v>0</v>
      </c>
    </row>
    <row r="256" spans="34:48">
      <c r="AH256" s="278" t="s">
        <v>34</v>
      </c>
      <c r="AI25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35">
        <v>0</v>
      </c>
      <c r="AQ256" s="313">
        <v>0</v>
      </c>
      <c r="AR256" s="123">
        <v>0</v>
      </c>
      <c r="AS256" s="123">
        <v>0</v>
      </c>
      <c r="AT256" s="35">
        <v>0</v>
      </c>
      <c r="AU256" s="35">
        <v>0</v>
      </c>
      <c r="AV256" s="13">
        <v>0</v>
      </c>
    </row>
    <row r="257" spans="34:48">
      <c r="AH257" s="278" t="s">
        <v>201</v>
      </c>
      <c r="AI257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35">
        <v>0</v>
      </c>
      <c r="AQ257" s="313">
        <v>0</v>
      </c>
      <c r="AR257" s="123">
        <v>0</v>
      </c>
      <c r="AS257" s="123">
        <v>0</v>
      </c>
      <c r="AT257" s="35">
        <v>0</v>
      </c>
      <c r="AU257" s="35">
        <v>0</v>
      </c>
      <c r="AV257" s="13">
        <v>0</v>
      </c>
    </row>
    <row r="258" spans="34:48">
      <c r="AH258" s="11" t="s">
        <v>282</v>
      </c>
      <c r="AI258">
        <v>29</v>
      </c>
      <c r="AJ258" s="16">
        <v>194658</v>
      </c>
      <c r="AK258" s="16">
        <v>1792292000</v>
      </c>
      <c r="AL258" s="16">
        <v>421374820</v>
      </c>
      <c r="AM258" s="16">
        <v>122708285.71428572</v>
      </c>
      <c r="AN258" s="16">
        <v>25539561.000000007</v>
      </c>
      <c r="AO258" s="16">
        <v>573097666.71428561</v>
      </c>
      <c r="AP258" s="12">
        <v>375740625.14285713</v>
      </c>
      <c r="AQ258" s="313">
        <v>160719328.57142857</v>
      </c>
      <c r="AR258" s="123">
        <v>12240000</v>
      </c>
      <c r="AS258" s="123">
        <v>250000</v>
      </c>
      <c r="AT258" s="12">
        <v>173209328.57142857</v>
      </c>
      <c r="AU258" s="12">
        <v>24147713</v>
      </c>
      <c r="AV258" s="13">
        <v>4.2135423685189591E-2</v>
      </c>
    </row>
    <row r="259" spans="34:48">
      <c r="AH259" s="26">
        <v>1</v>
      </c>
      <c r="AI259">
        <v>12</v>
      </c>
      <c r="AJ259" s="16">
        <v>2042</v>
      </c>
      <c r="AK259" s="16">
        <v>18900000</v>
      </c>
      <c r="AL259" s="16">
        <v>3969000</v>
      </c>
      <c r="AM259" s="16">
        <v>914285.7142857142</v>
      </c>
      <c r="AN259" s="16">
        <v>586968.51612903224</v>
      </c>
      <c r="AO259" s="16">
        <v>5470254.2304147463</v>
      </c>
      <c r="AP259" s="12">
        <v>3514057.1428571427</v>
      </c>
      <c r="AQ259" s="313">
        <v>1217828.5714285714</v>
      </c>
      <c r="AR259" s="123"/>
      <c r="AS259" s="123"/>
      <c r="AT259" s="12">
        <v>1217828.5714285714</v>
      </c>
      <c r="AU259" s="12">
        <v>738368.51612903178</v>
      </c>
      <c r="AV259" s="13">
        <v>0.13497883005577418</v>
      </c>
    </row>
    <row r="260" spans="34:48">
      <c r="AH260" s="26">
        <v>2</v>
      </c>
      <c r="AI260">
        <v>15</v>
      </c>
      <c r="AJ260" s="16">
        <v>4243</v>
      </c>
      <c r="AK260" s="16">
        <v>39114000</v>
      </c>
      <c r="AL260" s="16">
        <v>8213940</v>
      </c>
      <c r="AM260" s="16">
        <v>2000000</v>
      </c>
      <c r="AN260" s="16">
        <v>1027194.9032258064</v>
      </c>
      <c r="AO260" s="16">
        <v>11241134.903225806</v>
      </c>
      <c r="AP260" s="12">
        <v>7394400</v>
      </c>
      <c r="AQ260" s="313">
        <v>2664000</v>
      </c>
      <c r="AR260" s="123">
        <v>0</v>
      </c>
      <c r="AS260" s="123"/>
      <c r="AT260" s="12">
        <v>2664000</v>
      </c>
      <c r="AU260" s="12">
        <v>1182734.9032258056</v>
      </c>
      <c r="AV260" s="13">
        <v>0.10521490164542041</v>
      </c>
    </row>
    <row r="261" spans="34:48">
      <c r="AH261" s="26">
        <v>3</v>
      </c>
      <c r="AI261">
        <v>14</v>
      </c>
      <c r="AJ261" s="16">
        <v>4410</v>
      </c>
      <c r="AK261" s="16">
        <v>40536000</v>
      </c>
      <c r="AL261" s="16">
        <v>8512560</v>
      </c>
      <c r="AM261" s="16">
        <v>1850000</v>
      </c>
      <c r="AN261" s="16">
        <v>1027194.9032258064</v>
      </c>
      <c r="AO261" s="16">
        <v>11639754.903225806</v>
      </c>
      <c r="AP261" s="12">
        <v>7228000</v>
      </c>
      <c r="AQ261" s="313">
        <v>2464200</v>
      </c>
      <c r="AR261" s="123">
        <v>0</v>
      </c>
      <c r="AS261" s="123"/>
      <c r="AT261" s="12">
        <v>2464200</v>
      </c>
      <c r="AU261" s="12">
        <v>1947554.9032258056</v>
      </c>
      <c r="AV261" s="13">
        <v>0.16731923648032024</v>
      </c>
    </row>
    <row r="262" spans="34:48">
      <c r="AH262" s="26">
        <v>4</v>
      </c>
      <c r="AI262">
        <v>15</v>
      </c>
      <c r="AJ262" s="16">
        <v>4531</v>
      </c>
      <c r="AK262" s="16">
        <v>41488000</v>
      </c>
      <c r="AL262" s="16">
        <v>8712480</v>
      </c>
      <c r="AM262" s="16">
        <v>1875000</v>
      </c>
      <c r="AN262" s="16">
        <v>1027194.9032258064</v>
      </c>
      <c r="AO262" s="16">
        <v>11614674.903225806</v>
      </c>
      <c r="AP262" s="12">
        <v>41783677</v>
      </c>
      <c r="AQ262" s="313">
        <v>2497500</v>
      </c>
      <c r="AR262" s="123">
        <v>0</v>
      </c>
      <c r="AS262" s="123"/>
      <c r="AT262" s="12">
        <v>2497500</v>
      </c>
      <c r="AU262" s="12">
        <v>-32666502.096774194</v>
      </c>
      <c r="AV262" s="13">
        <v>-2.8125197105346058</v>
      </c>
    </row>
    <row r="263" spans="34:48">
      <c r="AH263" s="26">
        <v>5</v>
      </c>
      <c r="AI263">
        <v>17</v>
      </c>
      <c r="AJ263" s="16">
        <v>7638</v>
      </c>
      <c r="AK263" s="16">
        <v>71354000</v>
      </c>
      <c r="AL263" s="16">
        <v>15219940</v>
      </c>
      <c r="AM263" s="16">
        <v>1899999.9999999998</v>
      </c>
      <c r="AN263" s="16">
        <v>1043003.2027649769</v>
      </c>
      <c r="AO263" s="16">
        <v>18412943.202764977</v>
      </c>
      <c r="AP263" s="12">
        <v>6685600</v>
      </c>
      <c r="AQ263" s="313">
        <v>2530800</v>
      </c>
      <c r="AR263" s="123">
        <v>0</v>
      </c>
      <c r="AS263" s="123"/>
      <c r="AT263" s="12">
        <v>2530800</v>
      </c>
      <c r="AU263" s="12">
        <v>9196543.2027649768</v>
      </c>
      <c r="AV263" s="13">
        <v>0.49946079241606411</v>
      </c>
    </row>
    <row r="264" spans="34:48">
      <c r="AH264" s="26">
        <v>6</v>
      </c>
      <c r="AI264">
        <v>15</v>
      </c>
      <c r="AJ264" s="16">
        <v>4227</v>
      </c>
      <c r="AK264" s="16">
        <v>38662000</v>
      </c>
      <c r="AL264" s="16">
        <v>8119020</v>
      </c>
      <c r="AM264" s="16">
        <v>2100000</v>
      </c>
      <c r="AN264" s="16">
        <v>1137853</v>
      </c>
      <c r="AO264" s="16">
        <v>11406873</v>
      </c>
      <c r="AP264" s="12">
        <v>7581600</v>
      </c>
      <c r="AQ264" s="313">
        <v>2940000</v>
      </c>
      <c r="AR264" s="123">
        <v>0</v>
      </c>
      <c r="AS264" s="123"/>
      <c r="AT264" s="12">
        <v>2940000</v>
      </c>
      <c r="AU264" s="12">
        <v>885273</v>
      </c>
      <c r="AV264" s="13">
        <v>7.7608736417070653E-2</v>
      </c>
    </row>
    <row r="265" spans="34:48">
      <c r="AH265" s="26">
        <v>7</v>
      </c>
      <c r="AI265">
        <v>15</v>
      </c>
      <c r="AJ265" s="16">
        <v>5060</v>
      </c>
      <c r="AK265" s="16">
        <v>45596000</v>
      </c>
      <c r="AL265" s="16">
        <v>9575160</v>
      </c>
      <c r="AM265" s="16">
        <v>2250000</v>
      </c>
      <c r="AN265" s="16">
        <v>1137853</v>
      </c>
      <c r="AO265" s="16">
        <v>13013013</v>
      </c>
      <c r="AP265" s="12">
        <v>8548000</v>
      </c>
      <c r="AQ265" s="313">
        <v>3150000</v>
      </c>
      <c r="AR265" s="123">
        <v>0</v>
      </c>
      <c r="AS265" s="123"/>
      <c r="AT265" s="12">
        <v>3150000</v>
      </c>
      <c r="AU265" s="12">
        <v>1315013</v>
      </c>
      <c r="AV265" s="13">
        <v>0.101053691408746</v>
      </c>
    </row>
    <row r="266" spans="34:48">
      <c r="AH266" s="26">
        <v>8</v>
      </c>
      <c r="AI266">
        <v>15</v>
      </c>
      <c r="AJ266" s="16">
        <v>335</v>
      </c>
      <c r="AK266" s="16">
        <v>44522000</v>
      </c>
      <c r="AL266" s="16">
        <v>9349620</v>
      </c>
      <c r="AM266" s="16">
        <v>2125000</v>
      </c>
      <c r="AN266" s="16">
        <v>1137853</v>
      </c>
      <c r="AO266" s="16">
        <v>12662473</v>
      </c>
      <c r="AP266" s="12">
        <v>10421291</v>
      </c>
      <c r="AQ266" s="313">
        <v>2975000</v>
      </c>
      <c r="AR266" s="123"/>
      <c r="AS266" s="123">
        <v>125000</v>
      </c>
      <c r="AT266" s="12">
        <v>3100000</v>
      </c>
      <c r="AU266" s="12">
        <v>-858818</v>
      </c>
      <c r="AV266" s="13">
        <v>-6.7823876110140568E-2</v>
      </c>
    </row>
    <row r="267" spans="34:48">
      <c r="AH267" s="26">
        <v>9</v>
      </c>
      <c r="AI267">
        <v>13</v>
      </c>
      <c r="AJ267" s="16">
        <v>4190</v>
      </c>
      <c r="AK267" s="16">
        <v>38012000</v>
      </c>
      <c r="AL267" s="16">
        <v>7982520</v>
      </c>
      <c r="AM267" s="16">
        <v>1724999.9999999998</v>
      </c>
      <c r="AN267" s="16">
        <v>1128380.4423963134</v>
      </c>
      <c r="AO267" s="16">
        <v>11085900.442396313</v>
      </c>
      <c r="AP267" s="12">
        <v>6851999.9999999991</v>
      </c>
      <c r="AQ267" s="313">
        <v>2450000</v>
      </c>
      <c r="AR267" s="123">
        <v>0</v>
      </c>
      <c r="AS267" s="123">
        <v>124999.99999999999</v>
      </c>
      <c r="AT267" s="12">
        <v>2575000</v>
      </c>
      <c r="AU267" s="12">
        <v>1658900.4423963139</v>
      </c>
      <c r="AV267" s="13">
        <v>0.14964056830711789</v>
      </c>
    </row>
    <row r="268" spans="34:48">
      <c r="AH268" s="346">
        <v>10</v>
      </c>
      <c r="AI268" s="389">
        <v>12</v>
      </c>
      <c r="AJ268" s="303">
        <v>2589</v>
      </c>
      <c r="AK268" s="303">
        <v>23428000</v>
      </c>
      <c r="AL268" s="303">
        <v>4919880</v>
      </c>
      <c r="AM268" s="303">
        <v>1725000</v>
      </c>
      <c r="AN268" s="303">
        <v>1071545.0967741935</v>
      </c>
      <c r="AO268" s="303">
        <v>7816425.0967741935</v>
      </c>
      <c r="AP268" s="302">
        <v>5571200</v>
      </c>
      <c r="AQ268" s="347">
        <v>2450000</v>
      </c>
      <c r="AR268" s="348">
        <v>0</v>
      </c>
      <c r="AS268" s="348">
        <v>0</v>
      </c>
      <c r="AT268" s="302">
        <v>2450000</v>
      </c>
      <c r="AU268" s="302">
        <v>-204774.90322580654</v>
      </c>
      <c r="AV268" s="304">
        <v>-2.6198025400424589E-2</v>
      </c>
    </row>
    <row r="269" spans="34:48">
      <c r="AH269" s="346">
        <v>11</v>
      </c>
      <c r="AI269" s="389">
        <v>12</v>
      </c>
      <c r="AJ269" s="303">
        <v>2783</v>
      </c>
      <c r="AK269" s="303">
        <v>25308000</v>
      </c>
      <c r="AL269" s="303">
        <v>5314680</v>
      </c>
      <c r="AM269" s="303">
        <v>1650000</v>
      </c>
      <c r="AN269" s="303">
        <v>1071545.0967741935</v>
      </c>
      <c r="AO269" s="303">
        <v>8136225.0967741935</v>
      </c>
      <c r="AP269" s="302">
        <v>5576400</v>
      </c>
      <c r="AQ269" s="347">
        <v>2345000</v>
      </c>
      <c r="AR269" s="348">
        <v>0</v>
      </c>
      <c r="AS269" s="348">
        <v>0</v>
      </c>
      <c r="AT269" s="302">
        <v>2345000</v>
      </c>
      <c r="AU269" s="302">
        <v>214825.09677419346</v>
      </c>
      <c r="AV269" s="304">
        <v>2.6403534098308829E-2</v>
      </c>
    </row>
    <row r="270" spans="34:48">
      <c r="AH270" s="346">
        <v>12</v>
      </c>
      <c r="AI270" s="389">
        <v>16</v>
      </c>
      <c r="AJ270" s="303">
        <v>2824</v>
      </c>
      <c r="AK270" s="303">
        <v>25732000</v>
      </c>
      <c r="AL270" s="303">
        <v>5403720</v>
      </c>
      <c r="AM270" s="303">
        <v>2050000</v>
      </c>
      <c r="AN270" s="303">
        <v>1071545.0967741935</v>
      </c>
      <c r="AO270" s="303">
        <v>8725265.0967741944</v>
      </c>
      <c r="AP270" s="302">
        <v>6409200</v>
      </c>
      <c r="AQ270" s="347">
        <v>2905000</v>
      </c>
      <c r="AR270" s="348">
        <v>0</v>
      </c>
      <c r="AS270" s="348">
        <v>0</v>
      </c>
      <c r="AT270" s="302">
        <v>2905000</v>
      </c>
      <c r="AU270" s="302">
        <v>-588934.90322580561</v>
      </c>
      <c r="AV270" s="304">
        <v>-6.749765155485532E-2</v>
      </c>
    </row>
    <row r="271" spans="34:48">
      <c r="AH271" s="346">
        <v>13</v>
      </c>
      <c r="AI271" s="389">
        <v>16</v>
      </c>
      <c r="AJ271" s="303">
        <v>3440</v>
      </c>
      <c r="AK271" s="303">
        <v>31540000</v>
      </c>
      <c r="AL271" s="303">
        <v>6623400</v>
      </c>
      <c r="AM271" s="303">
        <v>2100000</v>
      </c>
      <c r="AN271" s="303">
        <v>1071545.0967741935</v>
      </c>
      <c r="AO271" s="303">
        <v>9794945.0967741944</v>
      </c>
      <c r="AP271" s="302">
        <v>7202000</v>
      </c>
      <c r="AQ271" s="347">
        <v>2940000</v>
      </c>
      <c r="AR271" s="348">
        <v>0</v>
      </c>
      <c r="AS271" s="348">
        <v>0</v>
      </c>
      <c r="AT271" s="302">
        <v>2940000</v>
      </c>
      <c r="AU271" s="302">
        <v>-347054.90322580561</v>
      </c>
      <c r="AV271" s="304">
        <v>-3.5432041710994636E-2</v>
      </c>
    </row>
    <row r="272" spans="34:48">
      <c r="AH272" s="26">
        <v>14</v>
      </c>
      <c r="AI272">
        <v>14</v>
      </c>
      <c r="AJ272" s="16">
        <v>2774</v>
      </c>
      <c r="AK272" s="16">
        <v>25492000</v>
      </c>
      <c r="AL272" s="16">
        <v>5353320</v>
      </c>
      <c r="AM272" s="16">
        <v>1250000</v>
      </c>
      <c r="AN272" s="16">
        <v>1137110.5752688171</v>
      </c>
      <c r="AO272" s="16">
        <v>7740430.5752688171</v>
      </c>
      <c r="AP272" s="12">
        <v>4869200</v>
      </c>
      <c r="AQ272" s="313">
        <v>1855000</v>
      </c>
      <c r="AR272" s="123">
        <v>0</v>
      </c>
      <c r="AS272" s="123">
        <v>0</v>
      </c>
      <c r="AT272" s="12">
        <v>1855000</v>
      </c>
      <c r="AU272" s="12">
        <v>1016230.5752688169</v>
      </c>
      <c r="AV272" s="13">
        <v>0.13128863638616439</v>
      </c>
    </row>
    <row r="273" spans="34:48">
      <c r="AH273" s="26">
        <v>52</v>
      </c>
      <c r="AI273">
        <v>16</v>
      </c>
      <c r="AJ273" s="16">
        <v>2080</v>
      </c>
      <c r="AK273" s="16">
        <v>18630000</v>
      </c>
      <c r="AL273" s="16">
        <v>4843800</v>
      </c>
      <c r="AM273" s="16">
        <v>2090000</v>
      </c>
      <c r="AN273" s="16">
        <v>0</v>
      </c>
      <c r="AO273" s="16">
        <v>6933800</v>
      </c>
      <c r="AP273" s="12">
        <v>3886340</v>
      </c>
      <c r="AQ273" s="313">
        <v>2695000</v>
      </c>
      <c r="AR273" s="123">
        <v>0</v>
      </c>
      <c r="AS273" s="123">
        <v>0</v>
      </c>
      <c r="AT273" s="12">
        <v>2695000</v>
      </c>
      <c r="AU273" s="12">
        <v>352460</v>
      </c>
      <c r="AV273" s="13">
        <v>5.0832155527993306E-2</v>
      </c>
    </row>
    <row r="274" spans="34:48">
      <c r="AH274" s="26">
        <v>51</v>
      </c>
      <c r="AI274">
        <v>18</v>
      </c>
      <c r="AJ274" s="16">
        <v>2705</v>
      </c>
      <c r="AK274" s="16">
        <v>24200000</v>
      </c>
      <c r="AL274" s="16">
        <v>6292000</v>
      </c>
      <c r="AM274" s="16">
        <v>2195000</v>
      </c>
      <c r="AN274" s="16">
        <v>0</v>
      </c>
      <c r="AO274" s="16">
        <v>8487000</v>
      </c>
      <c r="AP274" s="12">
        <v>5383380</v>
      </c>
      <c r="AQ274" s="313">
        <v>3045000</v>
      </c>
      <c r="AR274" s="123">
        <v>0</v>
      </c>
      <c r="AS274" s="123">
        <v>0</v>
      </c>
      <c r="AT274" s="12">
        <v>3045000</v>
      </c>
      <c r="AU274" s="12">
        <v>58620</v>
      </c>
      <c r="AV274" s="13">
        <v>6.9070342877341814E-3</v>
      </c>
    </row>
    <row r="275" spans="34:48">
      <c r="AH275" s="26">
        <v>50</v>
      </c>
      <c r="AI275">
        <v>14</v>
      </c>
      <c r="AJ275" s="16">
        <v>2350</v>
      </c>
      <c r="AK275" s="16">
        <v>21022000</v>
      </c>
      <c r="AL275" s="16">
        <v>5465720</v>
      </c>
      <c r="AM275" s="16">
        <v>1970000</v>
      </c>
      <c r="AN275" s="16">
        <v>0</v>
      </c>
      <c r="AO275" s="16">
        <v>7435720</v>
      </c>
      <c r="AP275" s="12">
        <v>4325640</v>
      </c>
      <c r="AQ275" s="313">
        <v>2590000</v>
      </c>
      <c r="AR275" s="123">
        <v>0</v>
      </c>
      <c r="AS275" s="123">
        <v>0</v>
      </c>
      <c r="AT275" s="12">
        <v>2590000</v>
      </c>
      <c r="AU275" s="12">
        <v>520080</v>
      </c>
      <c r="AV275" s="13">
        <v>6.9943462099164577E-2</v>
      </c>
    </row>
    <row r="276" spans="34:48">
      <c r="AH276" s="26">
        <v>49</v>
      </c>
      <c r="AI276">
        <v>13</v>
      </c>
      <c r="AJ276" s="16">
        <v>2264</v>
      </c>
      <c r="AK276" s="16">
        <v>20284000</v>
      </c>
      <c r="AL276" s="16">
        <v>5273840</v>
      </c>
      <c r="AM276" s="16">
        <v>2200000</v>
      </c>
      <c r="AN276" s="16">
        <v>0</v>
      </c>
      <c r="AO276" s="16">
        <v>7473840</v>
      </c>
      <c r="AP276" s="12">
        <v>4602540</v>
      </c>
      <c r="AQ276" s="313">
        <v>2660000</v>
      </c>
      <c r="AR276" s="123">
        <v>0</v>
      </c>
      <c r="AS276" s="123">
        <v>0</v>
      </c>
      <c r="AT276" s="12">
        <v>2660000</v>
      </c>
      <c r="AU276" s="12">
        <v>211300</v>
      </c>
      <c r="AV276" s="13">
        <v>2.8271945880564742E-2</v>
      </c>
    </row>
    <row r="277" spans="34:48">
      <c r="AH277" s="26">
        <v>48</v>
      </c>
      <c r="AI277">
        <v>14</v>
      </c>
      <c r="AJ277" s="16">
        <v>1918</v>
      </c>
      <c r="AK277" s="16">
        <v>17866000</v>
      </c>
      <c r="AL277" s="16">
        <v>4645160</v>
      </c>
      <c r="AM277" s="16">
        <v>1440000</v>
      </c>
      <c r="AN277" s="16">
        <v>0</v>
      </c>
      <c r="AO277" s="16">
        <v>6085160</v>
      </c>
      <c r="AP277" s="12">
        <v>4364600</v>
      </c>
      <c r="AQ277" s="313">
        <v>2275000</v>
      </c>
      <c r="AR277" s="123">
        <v>0</v>
      </c>
      <c r="AS277" s="123">
        <v>0</v>
      </c>
      <c r="AT277" s="12">
        <v>2275000</v>
      </c>
      <c r="AU277" s="12">
        <v>-554440</v>
      </c>
      <c r="AV277" s="13">
        <v>-9.1113462916340732E-2</v>
      </c>
    </row>
    <row r="278" spans="34:48">
      <c r="AH278" s="26">
        <v>47</v>
      </c>
      <c r="AI278">
        <v>16</v>
      </c>
      <c r="AJ278" s="16">
        <v>2222</v>
      </c>
      <c r="AK278" s="16">
        <v>19946000</v>
      </c>
      <c r="AL278" s="16">
        <v>5185960</v>
      </c>
      <c r="AM278" s="16">
        <v>2000000</v>
      </c>
      <c r="AN278" s="16">
        <v>0</v>
      </c>
      <c r="AO278" s="16">
        <v>7185960</v>
      </c>
      <c r="AP278" s="12">
        <v>4669480</v>
      </c>
      <c r="AQ278" s="313">
        <v>2415000</v>
      </c>
      <c r="AR278" s="123">
        <v>0</v>
      </c>
      <c r="AS278" s="123">
        <v>0</v>
      </c>
      <c r="AT278" s="12">
        <v>2415000</v>
      </c>
      <c r="AU278" s="12">
        <v>101480</v>
      </c>
      <c r="AV278" s="13">
        <v>1.4121982309948844E-2</v>
      </c>
    </row>
    <row r="279" spans="34:48">
      <c r="AH279" s="26">
        <v>46</v>
      </c>
      <c r="AI279">
        <v>10</v>
      </c>
      <c r="AJ279" s="16">
        <v>1905</v>
      </c>
      <c r="AK279" s="16">
        <v>16970000</v>
      </c>
      <c r="AL279" s="16">
        <v>4412200</v>
      </c>
      <c r="AM279" s="16">
        <v>1425000</v>
      </c>
      <c r="AN279" s="16">
        <v>0</v>
      </c>
      <c r="AO279" s="16">
        <v>5837200</v>
      </c>
      <c r="AP279" s="12">
        <v>3460920</v>
      </c>
      <c r="AQ279" s="313">
        <v>1715000</v>
      </c>
      <c r="AR279" s="123">
        <v>0</v>
      </c>
      <c r="AS279" s="123">
        <v>0</v>
      </c>
      <c r="AT279" s="12">
        <v>1715000</v>
      </c>
      <c r="AU279" s="12">
        <v>661280</v>
      </c>
      <c r="AV279" s="13">
        <v>0.11328719248954978</v>
      </c>
    </row>
    <row r="280" spans="34:48">
      <c r="AH280" s="26">
        <v>45</v>
      </c>
      <c r="AI280">
        <v>12</v>
      </c>
      <c r="AJ280" s="16">
        <v>2110</v>
      </c>
      <c r="AK280" s="16">
        <v>18918000</v>
      </c>
      <c r="AL280" s="16">
        <v>4918680</v>
      </c>
      <c r="AM280" s="16">
        <v>1875000</v>
      </c>
      <c r="AN280" s="16">
        <v>0</v>
      </c>
      <c r="AO280" s="16">
        <v>6793680</v>
      </c>
      <c r="AP280" s="12">
        <v>3880140</v>
      </c>
      <c r="AQ280" s="313">
        <v>2415000</v>
      </c>
      <c r="AR280" s="123">
        <v>300000</v>
      </c>
      <c r="AS280" s="123">
        <v>0</v>
      </c>
      <c r="AT280" s="12">
        <v>2715000</v>
      </c>
      <c r="AU280" s="12">
        <v>198540</v>
      </c>
      <c r="AV280" s="13">
        <v>2.9224220157558201E-2</v>
      </c>
    </row>
    <row r="281" spans="34:48">
      <c r="AH281" s="26">
        <v>44</v>
      </c>
      <c r="AI281">
        <v>14</v>
      </c>
      <c r="AJ281" s="16">
        <v>2292</v>
      </c>
      <c r="AK281" s="16">
        <v>20514000</v>
      </c>
      <c r="AL281" s="16">
        <v>5333640</v>
      </c>
      <c r="AM281" s="16">
        <v>1825000</v>
      </c>
      <c r="AN281" s="16">
        <v>0</v>
      </c>
      <c r="AO281" s="16">
        <v>7258640</v>
      </c>
      <c r="AP281" s="12">
        <v>3960140</v>
      </c>
      <c r="AQ281" s="313">
        <v>2555000</v>
      </c>
      <c r="AR281" s="123">
        <v>700000</v>
      </c>
      <c r="AS281" s="123">
        <v>0</v>
      </c>
      <c r="AT281" s="12">
        <v>3255000</v>
      </c>
      <c r="AU281" s="12">
        <v>43500</v>
      </c>
      <c r="AV281" s="13">
        <v>5.9928581662680612E-3</v>
      </c>
    </row>
    <row r="282" spans="34:48">
      <c r="AH282" s="26">
        <v>43</v>
      </c>
      <c r="AI282">
        <v>18</v>
      </c>
      <c r="AJ282" s="16">
        <v>2424</v>
      </c>
      <c r="AK282" s="16">
        <v>21458000</v>
      </c>
      <c r="AL282" s="16">
        <v>5579080</v>
      </c>
      <c r="AM282" s="16">
        <v>2325000</v>
      </c>
      <c r="AN282" s="16">
        <v>0</v>
      </c>
      <c r="AO282" s="16">
        <v>7904080</v>
      </c>
      <c r="AP282" s="12">
        <v>4493280</v>
      </c>
      <c r="AQ282" s="313">
        <v>2905000</v>
      </c>
      <c r="AR282" s="123">
        <v>700000</v>
      </c>
      <c r="AS282" s="123">
        <v>0</v>
      </c>
      <c r="AT282" s="12">
        <v>3605000</v>
      </c>
      <c r="AU282" s="12">
        <v>-194200</v>
      </c>
      <c r="AV282" s="13">
        <v>-2.4569589376625744E-2</v>
      </c>
    </row>
    <row r="283" spans="34:48">
      <c r="AH283" s="26">
        <v>41</v>
      </c>
      <c r="AI283">
        <v>19</v>
      </c>
      <c r="AJ283" s="16">
        <v>2939</v>
      </c>
      <c r="AK283" s="16">
        <v>26608000</v>
      </c>
      <c r="AL283" s="16">
        <v>6918080</v>
      </c>
      <c r="AM283" s="16">
        <v>2400000</v>
      </c>
      <c r="AN283" s="16">
        <v>0</v>
      </c>
      <c r="AO283" s="16">
        <v>9318080</v>
      </c>
      <c r="AP283" s="12">
        <v>5603180</v>
      </c>
      <c r="AQ283" s="313">
        <v>2905000</v>
      </c>
      <c r="AR283" s="123">
        <v>700000</v>
      </c>
      <c r="AS283" s="123">
        <v>0</v>
      </c>
      <c r="AT283" s="12">
        <v>3605000</v>
      </c>
      <c r="AU283" s="12">
        <v>109900</v>
      </c>
      <c r="AV283" s="13">
        <v>1.1794275215495038E-2</v>
      </c>
    </row>
    <row r="284" spans="34:48">
      <c r="AH284" s="26">
        <v>40</v>
      </c>
      <c r="AI284">
        <v>21</v>
      </c>
      <c r="AJ284" s="16">
        <v>3538</v>
      </c>
      <c r="AK284" s="16">
        <v>31600000</v>
      </c>
      <c r="AL284" s="16">
        <v>8216000</v>
      </c>
      <c r="AM284" s="16">
        <v>2875000</v>
      </c>
      <c r="AN284" s="16">
        <v>0</v>
      </c>
      <c r="AO284" s="16">
        <v>11216000</v>
      </c>
      <c r="AP284" s="12">
        <v>5631980</v>
      </c>
      <c r="AQ284" s="313">
        <v>3675000</v>
      </c>
      <c r="AR284" s="123">
        <v>700000</v>
      </c>
      <c r="AS284" s="123">
        <v>0</v>
      </c>
      <c r="AT284" s="12">
        <v>4375000</v>
      </c>
      <c r="AU284" s="12">
        <v>1209020</v>
      </c>
      <c r="AV284" s="13">
        <v>0.10779422253922967</v>
      </c>
    </row>
    <row r="285" spans="34:48">
      <c r="AH285" s="26">
        <v>39</v>
      </c>
      <c r="AI285">
        <v>26</v>
      </c>
      <c r="AJ285" s="16">
        <v>4456</v>
      </c>
      <c r="AK285" s="16">
        <v>40072000</v>
      </c>
      <c r="AL285" s="16">
        <v>10418720</v>
      </c>
      <c r="AM285" s="16">
        <v>4000000</v>
      </c>
      <c r="AN285" s="16">
        <v>0</v>
      </c>
      <c r="AO285" s="16">
        <v>14643720</v>
      </c>
      <c r="AP285" s="12">
        <v>7637080</v>
      </c>
      <c r="AQ285" s="313">
        <v>4655000</v>
      </c>
      <c r="AR285" s="123">
        <v>700000</v>
      </c>
      <c r="AS285" s="123">
        <v>0</v>
      </c>
      <c r="AT285" s="12">
        <v>5355000</v>
      </c>
      <c r="AU285" s="12">
        <v>1651640</v>
      </c>
      <c r="AV285" s="13">
        <v>0.11278828057351548</v>
      </c>
    </row>
    <row r="286" spans="34:48">
      <c r="AH286" s="26">
        <v>38</v>
      </c>
      <c r="AI286">
        <v>29</v>
      </c>
      <c r="AJ286" s="16">
        <v>4521</v>
      </c>
      <c r="AK286" s="16">
        <v>40670000</v>
      </c>
      <c r="AL286" s="16">
        <v>10574200</v>
      </c>
      <c r="AM286" s="16">
        <v>4175000</v>
      </c>
      <c r="AN286" s="16">
        <v>0</v>
      </c>
      <c r="AO286" s="16">
        <v>14774200</v>
      </c>
      <c r="AP286" s="12">
        <v>10672480</v>
      </c>
      <c r="AQ286" s="313">
        <v>5075000</v>
      </c>
      <c r="AR286" s="123">
        <v>700000</v>
      </c>
      <c r="AS286" s="123">
        <v>0</v>
      </c>
      <c r="AT286" s="12">
        <v>5775000</v>
      </c>
      <c r="AU286" s="12">
        <v>-1673280</v>
      </c>
      <c r="AV286" s="13">
        <v>-0.11325689377428219</v>
      </c>
    </row>
    <row r="287" spans="34:48">
      <c r="AH287" s="26">
        <v>37</v>
      </c>
      <c r="AI287">
        <v>26</v>
      </c>
      <c r="AJ287" s="16">
        <v>4991</v>
      </c>
      <c r="AK287" s="16">
        <v>43178000</v>
      </c>
      <c r="AL287" s="16">
        <v>11226280</v>
      </c>
      <c r="AM287" s="16">
        <v>4150000</v>
      </c>
      <c r="AN287" s="16">
        <v>0</v>
      </c>
      <c r="AO287" s="16">
        <v>15426280</v>
      </c>
      <c r="AP287" s="12">
        <v>11290960</v>
      </c>
      <c r="AQ287" s="313">
        <v>5250000</v>
      </c>
      <c r="AR287" s="123">
        <v>740000</v>
      </c>
      <c r="AS287" s="123">
        <v>0</v>
      </c>
      <c r="AT287" s="12">
        <v>5990000</v>
      </c>
      <c r="AU287" s="12">
        <v>-1854680</v>
      </c>
      <c r="AV287" s="13">
        <v>-0.12022859691383794</v>
      </c>
    </row>
    <row r="288" spans="34:48">
      <c r="AH288" s="26">
        <v>36</v>
      </c>
      <c r="AI288">
        <v>27</v>
      </c>
      <c r="AJ288" s="16">
        <v>4847</v>
      </c>
      <c r="AK288" s="16">
        <v>43568000</v>
      </c>
      <c r="AL288" s="16">
        <v>11327680</v>
      </c>
      <c r="AM288" s="16">
        <v>3950000</v>
      </c>
      <c r="AN288" s="16">
        <v>0</v>
      </c>
      <c r="AO288" s="16">
        <v>15277680</v>
      </c>
      <c r="AP288" s="12">
        <v>11219900</v>
      </c>
      <c r="AQ288" s="313">
        <v>5005000</v>
      </c>
      <c r="AR288" s="123">
        <v>700000</v>
      </c>
      <c r="AS288" s="123">
        <v>0</v>
      </c>
      <c r="AT288" s="12">
        <v>5705000</v>
      </c>
      <c r="AU288" s="12">
        <v>-1647220</v>
      </c>
      <c r="AV288" s="13">
        <v>-0.10781872640348535</v>
      </c>
    </row>
    <row r="289" spans="34:48">
      <c r="AH289" s="26">
        <v>35</v>
      </c>
      <c r="AI289">
        <v>27</v>
      </c>
      <c r="AJ289" s="16">
        <v>4709</v>
      </c>
      <c r="AK289" s="16">
        <v>42352000</v>
      </c>
      <c r="AL289" s="16">
        <v>11011520</v>
      </c>
      <c r="AM289" s="16">
        <v>4395000</v>
      </c>
      <c r="AN289" s="16">
        <v>0</v>
      </c>
      <c r="AO289" s="16">
        <v>15581520</v>
      </c>
      <c r="AP289" s="12">
        <v>10723780</v>
      </c>
      <c r="AQ289" s="313">
        <v>4865000</v>
      </c>
      <c r="AR289" s="123">
        <v>700000</v>
      </c>
      <c r="AS289" s="123">
        <v>0</v>
      </c>
      <c r="AT289" s="12">
        <v>5565000</v>
      </c>
      <c r="AU289" s="12">
        <v>-707260</v>
      </c>
      <c r="AV289" s="13">
        <v>-4.539095030523338E-2</v>
      </c>
    </row>
    <row r="290" spans="34:48">
      <c r="AH290" s="26">
        <v>34</v>
      </c>
      <c r="AI290">
        <v>27</v>
      </c>
      <c r="AJ290" s="16">
        <v>4096</v>
      </c>
      <c r="AK290" s="16">
        <v>36532000</v>
      </c>
      <c r="AL290" s="16">
        <v>9498320</v>
      </c>
      <c r="AM290" s="16">
        <v>3700000</v>
      </c>
      <c r="AN290" s="16">
        <v>0</v>
      </c>
      <c r="AO290" s="16">
        <v>13248320</v>
      </c>
      <c r="AP290" s="12">
        <v>7623040</v>
      </c>
      <c r="AQ290" s="313">
        <v>4270000</v>
      </c>
      <c r="AR290" s="123">
        <v>700000</v>
      </c>
      <c r="AS290" s="123">
        <v>0</v>
      </c>
      <c r="AT290" s="12">
        <v>4970000</v>
      </c>
      <c r="AU290" s="12">
        <v>655280</v>
      </c>
      <c r="AV290" s="13">
        <v>4.9461365667495955E-2</v>
      </c>
    </row>
    <row r="291" spans="34:48">
      <c r="AH291" s="26">
        <v>33</v>
      </c>
      <c r="AI291">
        <v>24</v>
      </c>
      <c r="AJ291" s="16">
        <v>4767</v>
      </c>
      <c r="AK291" s="16">
        <v>42880000</v>
      </c>
      <c r="AL291" s="16">
        <v>11148800</v>
      </c>
      <c r="AM291" s="16">
        <v>3550000</v>
      </c>
      <c r="AN291" s="16">
        <v>0</v>
      </c>
      <c r="AO291" s="16">
        <v>14698800</v>
      </c>
      <c r="AP291" s="12">
        <v>8568960</v>
      </c>
      <c r="AQ291" s="313">
        <v>4305000</v>
      </c>
      <c r="AR291" s="123">
        <v>700000</v>
      </c>
      <c r="AS291" s="123">
        <v>0</v>
      </c>
      <c r="AT291" s="12">
        <v>5005000</v>
      </c>
      <c r="AU291" s="12">
        <v>1124840</v>
      </c>
      <c r="AV291" s="13">
        <v>7.6525974909516417E-2</v>
      </c>
    </row>
    <row r="292" spans="34:48">
      <c r="AH292" s="26">
        <v>32</v>
      </c>
      <c r="AI292">
        <v>25</v>
      </c>
      <c r="AJ292" s="16">
        <v>4992</v>
      </c>
      <c r="AK292" s="16">
        <v>44734000</v>
      </c>
      <c r="AL292" s="16">
        <v>11630840</v>
      </c>
      <c r="AM292" s="16">
        <v>3525000</v>
      </c>
      <c r="AN292" s="16">
        <v>0</v>
      </c>
      <c r="AO292" s="16">
        <v>15155840</v>
      </c>
      <c r="AP292" s="12">
        <v>8959580</v>
      </c>
      <c r="AQ292" s="313">
        <v>4515000</v>
      </c>
      <c r="AR292" s="123">
        <v>840000</v>
      </c>
      <c r="AS292" s="123">
        <v>0</v>
      </c>
      <c r="AT292" s="12">
        <v>5355000</v>
      </c>
      <c r="AU292" s="12">
        <v>841260</v>
      </c>
      <c r="AV292" s="13">
        <v>5.5507315991723323E-2</v>
      </c>
    </row>
    <row r="293" spans="34:48">
      <c r="AH293" s="26">
        <v>15</v>
      </c>
      <c r="AI293">
        <v>17</v>
      </c>
      <c r="AJ293" s="16">
        <v>3667</v>
      </c>
      <c r="AK293" s="16">
        <v>33652000</v>
      </c>
      <c r="AL293" s="16">
        <v>7066920</v>
      </c>
      <c r="AM293" s="16">
        <v>2075000</v>
      </c>
      <c r="AN293" s="16">
        <v>1163336.7666666666</v>
      </c>
      <c r="AO293" s="16">
        <v>10555256.766666666</v>
      </c>
      <c r="AP293" s="12">
        <v>7351200</v>
      </c>
      <c r="AQ293" s="313">
        <v>2940000</v>
      </c>
      <c r="AR293" s="123">
        <v>0</v>
      </c>
      <c r="AS293" s="123">
        <v>0</v>
      </c>
      <c r="AT293" s="12">
        <v>2940000</v>
      </c>
      <c r="AU293" s="12">
        <v>264056.76666666567</v>
      </c>
      <c r="AV293" s="13">
        <v>2.5016612338655066E-2</v>
      </c>
    </row>
    <row r="294" spans="34:48">
      <c r="AH294" s="26">
        <v>16</v>
      </c>
      <c r="AI294">
        <v>17</v>
      </c>
      <c r="AJ294" s="16">
        <v>5015</v>
      </c>
      <c r="AK294" s="16">
        <v>45136000</v>
      </c>
      <c r="AL294" s="16">
        <v>9478560</v>
      </c>
      <c r="AM294" s="16">
        <v>2300000</v>
      </c>
      <c r="AN294" s="16">
        <v>1163336.7666666666</v>
      </c>
      <c r="AO294" s="16">
        <v>12941896.766666666</v>
      </c>
      <c r="AP294" s="12">
        <v>8712000</v>
      </c>
      <c r="AQ294" s="313">
        <v>3290000</v>
      </c>
      <c r="AR294" s="123">
        <v>0</v>
      </c>
      <c r="AS294" s="123">
        <v>0</v>
      </c>
      <c r="AT294" s="12">
        <v>3290000</v>
      </c>
      <c r="AU294" s="12">
        <v>939896.76666666567</v>
      </c>
      <c r="AV294" s="13">
        <v>7.2624344299166199E-2</v>
      </c>
    </row>
    <row r="295" spans="34:48">
      <c r="AH295" s="26">
        <v>17</v>
      </c>
      <c r="AI295">
        <v>16</v>
      </c>
      <c r="AJ295" s="16">
        <v>4600</v>
      </c>
      <c r="AK295" s="16">
        <v>41868000</v>
      </c>
      <c r="AL295" s="16">
        <v>8792280</v>
      </c>
      <c r="AM295" s="16">
        <v>1548000</v>
      </c>
      <c r="AN295" s="16">
        <v>1163336.7666666666</v>
      </c>
      <c r="AO295" s="16">
        <v>11703616.766666666</v>
      </c>
      <c r="AP295" s="12">
        <v>5205000</v>
      </c>
      <c r="AQ295" s="313">
        <v>1155000</v>
      </c>
      <c r="AR295" s="123">
        <v>0</v>
      </c>
      <c r="AS295" s="123">
        <v>0</v>
      </c>
      <c r="AT295" s="12">
        <v>1155000</v>
      </c>
      <c r="AU295" s="12">
        <v>5343616.7666666657</v>
      </c>
      <c r="AV295" s="13">
        <v>0.45657824185476925</v>
      </c>
    </row>
    <row r="296" spans="34:48">
      <c r="AH296" s="26">
        <v>18</v>
      </c>
      <c r="AI296">
        <v>16</v>
      </c>
      <c r="AJ296" s="16">
        <v>7526</v>
      </c>
      <c r="AK296" s="16">
        <v>68386000</v>
      </c>
      <c r="AL296" s="16">
        <v>14361060</v>
      </c>
      <c r="AM296" s="16">
        <v>1836000</v>
      </c>
      <c r="AN296" s="16">
        <v>1371049.5440860214</v>
      </c>
      <c r="AO296" s="16">
        <v>17668109.544086024</v>
      </c>
      <c r="AP296" s="12">
        <v>6346100</v>
      </c>
      <c r="AQ296" s="313">
        <v>3570000</v>
      </c>
      <c r="AR296" s="123">
        <v>0</v>
      </c>
      <c r="AS296" s="123">
        <v>0</v>
      </c>
      <c r="AT296" s="12">
        <v>3570000</v>
      </c>
      <c r="AU296" s="12">
        <v>7752009.5440860223</v>
      </c>
      <c r="AV296" s="13">
        <v>0.43875715875221194</v>
      </c>
    </row>
    <row r="297" spans="34:48">
      <c r="AH297" s="26">
        <v>19</v>
      </c>
      <c r="AI297">
        <v>16</v>
      </c>
      <c r="AJ297" s="16">
        <v>4656</v>
      </c>
      <c r="AK297" s="16">
        <v>42120000</v>
      </c>
      <c r="AL297" s="16">
        <v>8845200</v>
      </c>
      <c r="AM297" s="16">
        <v>1584000</v>
      </c>
      <c r="AN297" s="16">
        <v>1235999.935483871</v>
      </c>
      <c r="AO297" s="16">
        <v>11965199.935483871</v>
      </c>
      <c r="AP297" s="12">
        <v>6405400</v>
      </c>
      <c r="AQ297" s="313">
        <v>3115000</v>
      </c>
      <c r="AR297" s="123">
        <v>0</v>
      </c>
      <c r="AS297" s="123">
        <v>0</v>
      </c>
      <c r="AT297" s="12">
        <v>3115000</v>
      </c>
      <c r="AU297" s="12">
        <v>2444799.935483871</v>
      </c>
      <c r="AV297" s="13">
        <v>0.20432587409037756</v>
      </c>
    </row>
    <row r="298" spans="34:48">
      <c r="AH298" s="26">
        <v>20</v>
      </c>
      <c r="AI298">
        <v>16</v>
      </c>
      <c r="AJ298" s="16">
        <v>4825</v>
      </c>
      <c r="AK298" s="16">
        <v>43856000</v>
      </c>
      <c r="AL298" s="16">
        <v>9209760</v>
      </c>
      <c r="AM298" s="16">
        <v>1692000</v>
      </c>
      <c r="AN298" s="16">
        <v>1235999.935483871</v>
      </c>
      <c r="AO298" s="16">
        <v>12137759.935483871</v>
      </c>
      <c r="AP298" s="12">
        <v>6702500</v>
      </c>
      <c r="AQ298" s="313">
        <v>3360000</v>
      </c>
      <c r="AR298" s="123">
        <v>0</v>
      </c>
      <c r="AS298" s="123">
        <v>0</v>
      </c>
      <c r="AT298" s="12">
        <v>3360000</v>
      </c>
      <c r="AU298" s="12">
        <v>2075259.935483871</v>
      </c>
      <c r="AV298" s="13">
        <v>0.17097552979417541</v>
      </c>
    </row>
    <row r="299" spans="34:48">
      <c r="AH299" s="26">
        <v>21</v>
      </c>
      <c r="AI299">
        <v>16</v>
      </c>
      <c r="AJ299" s="16">
        <v>4643</v>
      </c>
      <c r="AK299" s="16">
        <v>41788000</v>
      </c>
      <c r="AL299" s="16">
        <v>8809320</v>
      </c>
      <c r="AM299" s="16">
        <v>1656000</v>
      </c>
      <c r="AN299" s="16">
        <v>1235999.935483871</v>
      </c>
      <c r="AO299" s="16">
        <v>11801319.935483871</v>
      </c>
      <c r="AP299" s="12">
        <v>6418700</v>
      </c>
      <c r="AQ299" s="313">
        <v>3220000</v>
      </c>
      <c r="AR299" s="123">
        <v>0</v>
      </c>
      <c r="AS299" s="123">
        <v>0</v>
      </c>
      <c r="AT299" s="12">
        <v>3220000</v>
      </c>
      <c r="AU299" s="12">
        <v>2162619.935483871</v>
      </c>
      <c r="AV299" s="13">
        <v>0.18325237747189341</v>
      </c>
    </row>
    <row r="300" spans="34:48">
      <c r="AH300" s="26">
        <v>22</v>
      </c>
      <c r="AI300">
        <v>14</v>
      </c>
      <c r="AJ300" s="16">
        <v>4307</v>
      </c>
      <c r="AK300" s="16">
        <v>38842000</v>
      </c>
      <c r="AL300" s="16">
        <v>8212080</v>
      </c>
      <c r="AM300" s="16">
        <v>1547999.9999999998</v>
      </c>
      <c r="AN300" s="16">
        <v>1213714.2661290322</v>
      </c>
      <c r="AO300" s="16">
        <v>11023794.266129032</v>
      </c>
      <c r="AP300" s="12">
        <v>6001299.9999999991</v>
      </c>
      <c r="AQ300" s="313">
        <v>3010000</v>
      </c>
      <c r="AR300" s="123">
        <v>0</v>
      </c>
      <c r="AS300" s="123">
        <v>0</v>
      </c>
      <c r="AT300" s="12">
        <v>3010000</v>
      </c>
      <c r="AU300" s="12">
        <v>2012494.2661290334</v>
      </c>
      <c r="AV300" s="13">
        <v>0.18255912778710756</v>
      </c>
    </row>
    <row r="301" spans="34:48">
      <c r="AH301" s="26">
        <v>23</v>
      </c>
      <c r="AI301">
        <v>13</v>
      </c>
      <c r="AJ301" s="16">
        <v>4019</v>
      </c>
      <c r="AK301" s="16">
        <v>36082000</v>
      </c>
      <c r="AL301" s="16">
        <v>7644700</v>
      </c>
      <c r="AM301" s="16">
        <v>2375000</v>
      </c>
      <c r="AN301" s="16">
        <v>1080000.25</v>
      </c>
      <c r="AO301" s="16">
        <v>11099700.25</v>
      </c>
      <c r="AP301" s="12">
        <v>5428940</v>
      </c>
      <c r="AQ301" s="313">
        <v>2625000</v>
      </c>
      <c r="AR301" s="123">
        <v>0</v>
      </c>
      <c r="AS301" s="123">
        <v>0</v>
      </c>
      <c r="AT301" s="12">
        <v>2625000</v>
      </c>
      <c r="AU301" s="12">
        <v>3045760.25</v>
      </c>
      <c r="AV301" s="13">
        <v>0.27440022535743702</v>
      </c>
    </row>
    <row r="302" spans="34:48">
      <c r="AH302" s="26">
        <v>24</v>
      </c>
      <c r="AI302">
        <v>12</v>
      </c>
      <c r="AJ302" s="16">
        <v>3375</v>
      </c>
      <c r="AK302" s="16">
        <v>22710000</v>
      </c>
      <c r="AL302" s="16">
        <v>5962020</v>
      </c>
      <c r="AM302" s="16">
        <v>2375000</v>
      </c>
      <c r="AN302" s="16">
        <v>0</v>
      </c>
      <c r="AO302" s="16">
        <v>8337020</v>
      </c>
      <c r="AP302" s="12">
        <v>4157060</v>
      </c>
      <c r="AQ302" s="313">
        <v>2520000</v>
      </c>
      <c r="AR302" s="123">
        <v>0</v>
      </c>
      <c r="AS302" s="123">
        <v>0</v>
      </c>
      <c r="AT302" s="12">
        <v>2520000</v>
      </c>
      <c r="AU302" s="12">
        <v>1659960</v>
      </c>
      <c r="AV302" s="13">
        <v>0.19910711501231856</v>
      </c>
    </row>
    <row r="303" spans="34:48">
      <c r="AH303" s="26">
        <v>25</v>
      </c>
      <c r="AI303">
        <v>12</v>
      </c>
      <c r="AJ303" s="16">
        <v>3323</v>
      </c>
      <c r="AK303" s="16">
        <v>29730000</v>
      </c>
      <c r="AL303" s="16">
        <v>7729800</v>
      </c>
      <c r="AM303" s="16">
        <v>1900000</v>
      </c>
      <c r="AN303" s="16">
        <v>0</v>
      </c>
      <c r="AO303" s="16">
        <v>9704800</v>
      </c>
      <c r="AP303" s="12">
        <v>5974940</v>
      </c>
      <c r="AQ303" s="313">
        <v>2240000</v>
      </c>
      <c r="AR303" s="123">
        <v>0</v>
      </c>
      <c r="AS303" s="123">
        <v>0</v>
      </c>
      <c r="AT303" s="12">
        <v>2240000</v>
      </c>
      <c r="AU303" s="12">
        <v>1489860</v>
      </c>
      <c r="AV303" s="13">
        <v>0.15351784683867778</v>
      </c>
    </row>
    <row r="304" spans="34:48">
      <c r="AH304" s="26">
        <v>26</v>
      </c>
      <c r="AI304">
        <v>18</v>
      </c>
      <c r="AJ304" s="16">
        <v>4380</v>
      </c>
      <c r="AK304" s="16">
        <v>39202000</v>
      </c>
      <c r="AL304" s="16">
        <v>10192520</v>
      </c>
      <c r="AM304" s="16">
        <v>2475000</v>
      </c>
      <c r="AN304" s="16">
        <v>0</v>
      </c>
      <c r="AO304" s="16">
        <v>12692520</v>
      </c>
      <c r="AP304" s="12">
        <v>8175860</v>
      </c>
      <c r="AQ304" s="313">
        <v>3465000</v>
      </c>
      <c r="AR304" s="123">
        <v>0</v>
      </c>
      <c r="AS304" s="123">
        <v>0</v>
      </c>
      <c r="AT304" s="12">
        <v>3465000</v>
      </c>
      <c r="AU304" s="12">
        <v>1051660</v>
      </c>
      <c r="AV304" s="13">
        <v>8.2856674639866623E-2</v>
      </c>
    </row>
    <row r="305" spans="34:48">
      <c r="AH305" s="26">
        <v>27</v>
      </c>
      <c r="AI305">
        <v>19</v>
      </c>
      <c r="AJ305" s="16">
        <v>3809</v>
      </c>
      <c r="AK305" s="16">
        <v>34156000</v>
      </c>
      <c r="AL305" s="16">
        <v>8880560</v>
      </c>
      <c r="AM305" s="16">
        <v>3225000</v>
      </c>
      <c r="AN305" s="16">
        <v>0</v>
      </c>
      <c r="AO305" s="16">
        <v>12105560</v>
      </c>
      <c r="AP305" s="12">
        <v>5709760</v>
      </c>
      <c r="AQ305" s="313">
        <v>3325000</v>
      </c>
      <c r="AR305" s="123">
        <v>0</v>
      </c>
      <c r="AS305" s="123">
        <v>0</v>
      </c>
      <c r="AT305" s="12">
        <v>3325000</v>
      </c>
      <c r="AU305" s="12">
        <v>3070800</v>
      </c>
      <c r="AV305" s="13">
        <v>0.25366856221438744</v>
      </c>
    </row>
    <row r="306" spans="34:48">
      <c r="AH306" s="26">
        <v>28</v>
      </c>
      <c r="AI306">
        <v>23</v>
      </c>
      <c r="AJ306" s="16">
        <v>4929</v>
      </c>
      <c r="AK306" s="16">
        <v>43878000</v>
      </c>
      <c r="AL306" s="16">
        <v>11408280</v>
      </c>
      <c r="AM306" s="16">
        <v>3400000</v>
      </c>
      <c r="AN306" s="16">
        <v>0</v>
      </c>
      <c r="AO306" s="16">
        <v>14808280</v>
      </c>
      <c r="AP306" s="12">
        <v>9085520</v>
      </c>
      <c r="AQ306" s="313">
        <v>4760000</v>
      </c>
      <c r="AR306" s="123">
        <v>840000</v>
      </c>
      <c r="AS306" s="123">
        <v>0</v>
      </c>
      <c r="AT306" s="12">
        <v>5600000</v>
      </c>
      <c r="AU306" s="12">
        <v>122760</v>
      </c>
      <c r="AV306" s="13">
        <v>8.2899566999003263E-3</v>
      </c>
    </row>
    <row r="307" spans="34:48">
      <c r="AH307" s="26">
        <v>29</v>
      </c>
      <c r="AI307">
        <v>22</v>
      </c>
      <c r="AJ307" s="16">
        <v>4821</v>
      </c>
      <c r="AK307" s="16">
        <v>43272000</v>
      </c>
      <c r="AL307" s="16">
        <v>11250720</v>
      </c>
      <c r="AM307" s="16">
        <v>3650000</v>
      </c>
      <c r="AN307" s="16">
        <v>0</v>
      </c>
      <c r="AO307" s="16">
        <v>15075720</v>
      </c>
      <c r="AP307" s="12">
        <v>8723340</v>
      </c>
      <c r="AQ307" s="313">
        <v>4095000</v>
      </c>
      <c r="AR307" s="123">
        <v>840000</v>
      </c>
      <c r="AS307" s="123">
        <v>0</v>
      </c>
      <c r="AT307" s="12">
        <v>4935000</v>
      </c>
      <c r="AU307" s="12">
        <v>1417380</v>
      </c>
      <c r="AV307" s="13">
        <v>9.4017400163972267E-2</v>
      </c>
    </row>
    <row r="308" spans="34:48">
      <c r="AH308" s="26">
        <v>30</v>
      </c>
      <c r="AI308">
        <v>23</v>
      </c>
      <c r="AJ308" s="16">
        <v>4464</v>
      </c>
      <c r="AK308" s="16">
        <v>40272000</v>
      </c>
      <c r="AL308" s="16">
        <v>10470720</v>
      </c>
      <c r="AM308" s="16">
        <v>3325000</v>
      </c>
      <c r="AN308" s="16">
        <v>0</v>
      </c>
      <c r="AO308" s="16">
        <v>13895720</v>
      </c>
      <c r="AP308" s="12">
        <v>7931040</v>
      </c>
      <c r="AQ308" s="313">
        <v>4025000</v>
      </c>
      <c r="AR308" s="123">
        <v>840000</v>
      </c>
      <c r="AS308" s="123">
        <v>0</v>
      </c>
      <c r="AT308" s="12">
        <v>4865000</v>
      </c>
      <c r="AU308" s="12">
        <v>1099680</v>
      </c>
      <c r="AV308" s="13">
        <v>7.9138036748005861E-2</v>
      </c>
    </row>
    <row r="309" spans="34:48">
      <c r="AH309" s="26">
        <v>31</v>
      </c>
      <c r="AI309">
        <v>21</v>
      </c>
      <c r="AJ309" s="16">
        <v>4186</v>
      </c>
      <c r="AK309" s="16">
        <v>37536000</v>
      </c>
      <c r="AL309" s="16">
        <v>9759360</v>
      </c>
      <c r="AM309" s="16">
        <v>3150000</v>
      </c>
      <c r="AN309" s="16">
        <v>0</v>
      </c>
      <c r="AO309" s="16">
        <v>12959360</v>
      </c>
      <c r="AP309" s="12">
        <v>5170540</v>
      </c>
      <c r="AQ309" s="313">
        <v>3815000</v>
      </c>
      <c r="AR309" s="123">
        <v>840000</v>
      </c>
      <c r="AS309" s="123">
        <v>0</v>
      </c>
      <c r="AT309" s="12">
        <v>4655000</v>
      </c>
      <c r="AU309" s="12">
        <v>3133820</v>
      </c>
      <c r="AV309" s="13">
        <v>0.24181904044644181</v>
      </c>
    </row>
    <row r="310" spans="34:48">
      <c r="AH310" s="26">
        <v>12026</v>
      </c>
      <c r="AI310">
        <v>13</v>
      </c>
      <c r="AJ310" s="16">
        <v>901</v>
      </c>
      <c r="AK310" s="16">
        <v>8120000</v>
      </c>
      <c r="AL310" s="16">
        <v>2111200</v>
      </c>
      <c r="AM310" s="16">
        <v>1015000</v>
      </c>
      <c r="AN310" s="16">
        <v>0</v>
      </c>
      <c r="AO310" s="16">
        <v>3126200</v>
      </c>
      <c r="AP310" s="12">
        <v>1647400</v>
      </c>
      <c r="AQ310" s="313">
        <v>1015000</v>
      </c>
      <c r="AR310" s="123">
        <v>0</v>
      </c>
      <c r="AS310" s="123">
        <v>0</v>
      </c>
      <c r="AT310" s="12">
        <v>1015000</v>
      </c>
      <c r="AU310" s="12">
        <v>463800</v>
      </c>
      <c r="AV310" s="13">
        <v>0.14835903013242915</v>
      </c>
    </row>
    <row r="311" spans="34:48">
      <c r="AH311" s="26" t="s">
        <v>181</v>
      </c>
      <c r="AI311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2">
        <v>0</v>
      </c>
      <c r="AQ311" s="313">
        <v>0</v>
      </c>
      <c r="AR311" s="123">
        <v>0</v>
      </c>
      <c r="AS311" s="123">
        <v>0</v>
      </c>
      <c r="AT311" s="12">
        <v>0</v>
      </c>
      <c r="AU311" s="12">
        <v>0</v>
      </c>
      <c r="AV311" s="13">
        <v>0</v>
      </c>
    </row>
    <row r="312" spans="34:48">
      <c r="AH312" s="278" t="s">
        <v>178</v>
      </c>
      <c r="AI312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35">
        <v>0</v>
      </c>
      <c r="AQ312" s="313">
        <v>0</v>
      </c>
      <c r="AR312" s="123">
        <v>0</v>
      </c>
      <c r="AS312" s="123">
        <v>0</v>
      </c>
      <c r="AT312" s="35">
        <v>0</v>
      </c>
      <c r="AU312" s="35">
        <v>0</v>
      </c>
      <c r="AV312" s="13">
        <v>0</v>
      </c>
    </row>
    <row r="313" spans="34:48">
      <c r="AH313" s="278" t="s">
        <v>196</v>
      </c>
      <c r="AI313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35">
        <v>0</v>
      </c>
      <c r="AQ313" s="313">
        <v>0</v>
      </c>
      <c r="AR313" s="123">
        <v>0</v>
      </c>
      <c r="AS313" s="123">
        <v>0</v>
      </c>
      <c r="AT313" s="35">
        <v>0</v>
      </c>
      <c r="AU313" s="35">
        <v>0</v>
      </c>
      <c r="AV313" s="13">
        <v>0</v>
      </c>
    </row>
    <row r="314" spans="34:48">
      <c r="AH314" s="278" t="s">
        <v>170</v>
      </c>
      <c r="AI314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35">
        <v>0</v>
      </c>
      <c r="AQ314" s="313">
        <v>0</v>
      </c>
      <c r="AR314" s="123">
        <v>0</v>
      </c>
      <c r="AS314" s="123">
        <v>0</v>
      </c>
      <c r="AT314" s="35">
        <v>0</v>
      </c>
      <c r="AU314" s="35">
        <v>0</v>
      </c>
      <c r="AV314" s="13">
        <v>0</v>
      </c>
    </row>
    <row r="315" spans="34:48">
      <c r="AH315" s="278" t="s">
        <v>27</v>
      </c>
      <c r="AI315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35">
        <v>0</v>
      </c>
      <c r="AQ315" s="313">
        <v>0</v>
      </c>
      <c r="AR315" s="123">
        <v>0</v>
      </c>
      <c r="AS315" s="123">
        <v>0</v>
      </c>
      <c r="AT315" s="35">
        <v>0</v>
      </c>
      <c r="AU315" s="35">
        <v>0</v>
      </c>
      <c r="AV315" s="13">
        <v>0</v>
      </c>
    </row>
    <row r="316" spans="34:48">
      <c r="AH316" s="278" t="s">
        <v>203</v>
      </c>
      <c r="AI3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35">
        <v>0</v>
      </c>
      <c r="AQ316" s="313">
        <v>0</v>
      </c>
      <c r="AR316" s="123">
        <v>0</v>
      </c>
      <c r="AS316" s="123">
        <v>0</v>
      </c>
      <c r="AT316" s="35">
        <v>0</v>
      </c>
      <c r="AU316" s="35">
        <v>0</v>
      </c>
      <c r="AV316" s="13">
        <v>0</v>
      </c>
    </row>
    <row r="317" spans="34:48">
      <c r="AH317" s="278" t="s">
        <v>33</v>
      </c>
      <c r="AI317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35">
        <v>0</v>
      </c>
      <c r="AQ317" s="313">
        <v>0</v>
      </c>
      <c r="AR317" s="123">
        <v>0</v>
      </c>
      <c r="AS317" s="123">
        <v>0</v>
      </c>
      <c r="AT317" s="35">
        <v>0</v>
      </c>
      <c r="AU317" s="35">
        <v>0</v>
      </c>
      <c r="AV317" s="13">
        <v>0</v>
      </c>
    </row>
    <row r="318" spans="34:48">
      <c r="AH318" s="278" t="s">
        <v>204</v>
      </c>
      <c r="AI318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35">
        <v>0</v>
      </c>
      <c r="AQ318" s="313">
        <v>0</v>
      </c>
      <c r="AR318" s="123">
        <v>0</v>
      </c>
      <c r="AS318" s="123">
        <v>0</v>
      </c>
      <c r="AT318" s="35">
        <v>0</v>
      </c>
      <c r="AU318" s="35">
        <v>0</v>
      </c>
      <c r="AV318" s="13">
        <v>0</v>
      </c>
    </row>
    <row r="319" spans="34:48">
      <c r="AH319" s="278" t="s">
        <v>171</v>
      </c>
      <c r="AI319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35">
        <v>0</v>
      </c>
      <c r="AQ319" s="313">
        <v>0</v>
      </c>
      <c r="AR319" s="123">
        <v>0</v>
      </c>
      <c r="AS319" s="123">
        <v>0</v>
      </c>
      <c r="AT319" s="35">
        <v>0</v>
      </c>
      <c r="AU319" s="35">
        <v>0</v>
      </c>
      <c r="AV319" s="13">
        <v>0</v>
      </c>
    </row>
    <row r="320" spans="34:48">
      <c r="AH320" s="278" t="s">
        <v>175</v>
      </c>
      <c r="AI320">
        <v>0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35">
        <v>0</v>
      </c>
      <c r="AQ320" s="313">
        <v>0</v>
      </c>
      <c r="AR320" s="123">
        <v>0</v>
      </c>
      <c r="AS320" s="123">
        <v>0</v>
      </c>
      <c r="AT320" s="35">
        <v>0</v>
      </c>
      <c r="AU320" s="35">
        <v>0</v>
      </c>
      <c r="AV320" s="13">
        <v>0</v>
      </c>
    </row>
    <row r="321" spans="34:48">
      <c r="AH321" s="278" t="s">
        <v>199</v>
      </c>
      <c r="AI321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35">
        <v>0</v>
      </c>
      <c r="AQ321" s="313">
        <v>0</v>
      </c>
      <c r="AR321" s="123">
        <v>0</v>
      </c>
      <c r="AS321" s="123">
        <v>0</v>
      </c>
      <c r="AT321" s="35">
        <v>0</v>
      </c>
      <c r="AU321" s="35">
        <v>0</v>
      </c>
      <c r="AV321" s="13">
        <v>0</v>
      </c>
    </row>
    <row r="322" spans="34:48">
      <c r="AH322" s="278" t="s">
        <v>176</v>
      </c>
      <c r="AI322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>
        <v>0</v>
      </c>
      <c r="AP322" s="35">
        <v>0</v>
      </c>
      <c r="AQ322" s="313">
        <v>0</v>
      </c>
      <c r="AR322" s="123">
        <v>0</v>
      </c>
      <c r="AS322" s="123">
        <v>0</v>
      </c>
      <c r="AT322" s="35">
        <v>0</v>
      </c>
      <c r="AU322" s="35">
        <v>0</v>
      </c>
      <c r="AV322" s="13">
        <v>0</v>
      </c>
    </row>
    <row r="323" spans="34:48">
      <c r="AH323" s="278" t="s">
        <v>29</v>
      </c>
      <c r="AI323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35">
        <v>0</v>
      </c>
      <c r="AQ323" s="313">
        <v>0</v>
      </c>
      <c r="AR323" s="123">
        <v>0</v>
      </c>
      <c r="AS323" s="123">
        <v>0</v>
      </c>
      <c r="AT323" s="35">
        <v>0</v>
      </c>
      <c r="AU323" s="35">
        <v>0</v>
      </c>
      <c r="AV323" s="13">
        <v>0</v>
      </c>
    </row>
    <row r="324" spans="34:48">
      <c r="AH324" s="278" t="s">
        <v>177</v>
      </c>
      <c r="AI324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35">
        <v>0</v>
      </c>
      <c r="AQ324" s="313">
        <v>0</v>
      </c>
      <c r="AR324" s="123">
        <v>0</v>
      </c>
      <c r="AS324" s="123">
        <v>0</v>
      </c>
      <c r="AT324" s="35">
        <v>0</v>
      </c>
      <c r="AU324" s="35">
        <v>0</v>
      </c>
      <c r="AV324" s="13">
        <v>0</v>
      </c>
    </row>
    <row r="325" spans="34:48">
      <c r="AH325" s="278" t="s">
        <v>23</v>
      </c>
      <c r="AI325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35">
        <v>0</v>
      </c>
      <c r="AQ325" s="313">
        <v>0</v>
      </c>
      <c r="AR325" s="123">
        <v>0</v>
      </c>
      <c r="AS325" s="123">
        <v>0</v>
      </c>
      <c r="AT325" s="35">
        <v>0</v>
      </c>
      <c r="AU325" s="35">
        <v>0</v>
      </c>
      <c r="AV325" s="13">
        <v>0</v>
      </c>
    </row>
    <row r="326" spans="34:48">
      <c r="AH326" s="278" t="s">
        <v>202</v>
      </c>
      <c r="AI32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35">
        <v>0</v>
      </c>
      <c r="AQ326" s="313">
        <v>0</v>
      </c>
      <c r="AR326" s="123">
        <v>0</v>
      </c>
      <c r="AS326" s="123">
        <v>0</v>
      </c>
      <c r="AT326" s="35">
        <v>0</v>
      </c>
      <c r="AU326" s="35">
        <v>0</v>
      </c>
      <c r="AV326" s="13">
        <v>0</v>
      </c>
    </row>
    <row r="327" spans="34:48">
      <c r="AH327" s="278" t="s">
        <v>200</v>
      </c>
      <c r="AI327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35">
        <v>0</v>
      </c>
      <c r="AQ327" s="313">
        <v>0</v>
      </c>
      <c r="AR327" s="123">
        <v>0</v>
      </c>
      <c r="AS327" s="123">
        <v>0</v>
      </c>
      <c r="AT327" s="35">
        <v>0</v>
      </c>
      <c r="AU327" s="35">
        <v>0</v>
      </c>
      <c r="AV327" s="13">
        <v>0</v>
      </c>
    </row>
    <row r="328" spans="34:48">
      <c r="AH328" s="278" t="s">
        <v>34</v>
      </c>
      <c r="AI328">
        <v>0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35">
        <v>0</v>
      </c>
      <c r="AQ328" s="313">
        <v>0</v>
      </c>
      <c r="AR328" s="123">
        <v>0</v>
      </c>
      <c r="AS328" s="123">
        <v>0</v>
      </c>
      <c r="AT328" s="35">
        <v>0</v>
      </c>
      <c r="AU328" s="35">
        <v>0</v>
      </c>
      <c r="AV328" s="13">
        <v>0</v>
      </c>
    </row>
    <row r="329" spans="34:48">
      <c r="AH329" s="278" t="s">
        <v>201</v>
      </c>
      <c r="AI329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35">
        <v>0</v>
      </c>
      <c r="AQ329" s="313">
        <v>0</v>
      </c>
      <c r="AR329" s="123">
        <v>0</v>
      </c>
      <c r="AS329" s="123">
        <v>0</v>
      </c>
      <c r="AT329" s="35">
        <v>0</v>
      </c>
      <c r="AU329" s="35">
        <v>0</v>
      </c>
      <c r="AV329" s="13">
        <v>0</v>
      </c>
    </row>
    <row r="330" spans="34:48">
      <c r="AH330" s="26" t="s">
        <v>182</v>
      </c>
      <c r="AI330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2">
        <v>0</v>
      </c>
      <c r="AQ330" s="313">
        <v>0</v>
      </c>
      <c r="AR330" s="123">
        <v>0</v>
      </c>
      <c r="AS330" s="123">
        <v>0</v>
      </c>
      <c r="AT330" s="12">
        <v>0</v>
      </c>
      <c r="AU330" s="12">
        <v>0</v>
      </c>
      <c r="AV330" s="13">
        <v>0</v>
      </c>
    </row>
    <row r="331" spans="34:48">
      <c r="AH331" s="278" t="s">
        <v>178</v>
      </c>
      <c r="AI331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35">
        <v>0</v>
      </c>
      <c r="AQ331" s="313">
        <v>0</v>
      </c>
      <c r="AR331" s="123">
        <v>0</v>
      </c>
      <c r="AS331" s="123">
        <v>0</v>
      </c>
      <c r="AT331" s="35">
        <v>0</v>
      </c>
      <c r="AU331" s="35">
        <v>0</v>
      </c>
      <c r="AV331" s="13">
        <v>0</v>
      </c>
    </row>
    <row r="332" spans="34:48">
      <c r="AH332" s="278" t="s">
        <v>196</v>
      </c>
      <c r="AI332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35">
        <v>0</v>
      </c>
      <c r="AQ332" s="313">
        <v>0</v>
      </c>
      <c r="AR332" s="123">
        <v>0</v>
      </c>
      <c r="AS332" s="123">
        <v>0</v>
      </c>
      <c r="AT332" s="35">
        <v>0</v>
      </c>
      <c r="AU332" s="35">
        <v>0</v>
      </c>
      <c r="AV332" s="13">
        <v>0</v>
      </c>
    </row>
    <row r="333" spans="34:48">
      <c r="AH333" s="278" t="s">
        <v>170</v>
      </c>
      <c r="AI333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35">
        <v>0</v>
      </c>
      <c r="AQ333" s="313">
        <v>0</v>
      </c>
      <c r="AR333" s="123">
        <v>0</v>
      </c>
      <c r="AS333" s="123">
        <v>0</v>
      </c>
      <c r="AT333" s="35">
        <v>0</v>
      </c>
      <c r="AU333" s="35">
        <v>0</v>
      </c>
      <c r="AV333" s="13">
        <v>0</v>
      </c>
    </row>
    <row r="334" spans="34:48">
      <c r="AH334" s="278" t="s">
        <v>27</v>
      </c>
      <c r="AI334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35">
        <v>0</v>
      </c>
      <c r="AQ334" s="313">
        <v>0</v>
      </c>
      <c r="AR334" s="123">
        <v>0</v>
      </c>
      <c r="AS334" s="123">
        <v>0</v>
      </c>
      <c r="AT334" s="35">
        <v>0</v>
      </c>
      <c r="AU334" s="35">
        <v>0</v>
      </c>
      <c r="AV334" s="13">
        <v>0</v>
      </c>
    </row>
    <row r="335" spans="34:48">
      <c r="AH335" s="278" t="s">
        <v>203</v>
      </c>
      <c r="AI335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35">
        <v>0</v>
      </c>
      <c r="AQ335" s="313">
        <v>0</v>
      </c>
      <c r="AR335" s="123">
        <v>0</v>
      </c>
      <c r="AS335" s="123">
        <v>0</v>
      </c>
      <c r="AT335" s="35">
        <v>0</v>
      </c>
      <c r="AU335" s="35">
        <v>0</v>
      </c>
      <c r="AV335" s="13">
        <v>0</v>
      </c>
    </row>
    <row r="336" spans="34:48">
      <c r="AH336" s="278" t="s">
        <v>33</v>
      </c>
      <c r="AI33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35">
        <v>0</v>
      </c>
      <c r="AQ336" s="313">
        <v>0</v>
      </c>
      <c r="AR336" s="123">
        <v>0</v>
      </c>
      <c r="AS336" s="123">
        <v>0</v>
      </c>
      <c r="AT336" s="35">
        <v>0</v>
      </c>
      <c r="AU336" s="35">
        <v>0</v>
      </c>
      <c r="AV336" s="13">
        <v>0</v>
      </c>
    </row>
    <row r="337" spans="34:48">
      <c r="AH337" s="278" t="s">
        <v>204</v>
      </c>
      <c r="AI337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35">
        <v>0</v>
      </c>
      <c r="AQ337" s="313">
        <v>0</v>
      </c>
      <c r="AR337" s="123">
        <v>0</v>
      </c>
      <c r="AS337" s="123">
        <v>0</v>
      </c>
      <c r="AT337" s="35">
        <v>0</v>
      </c>
      <c r="AU337" s="35">
        <v>0</v>
      </c>
      <c r="AV337" s="13">
        <v>0</v>
      </c>
    </row>
    <row r="338" spans="34:48">
      <c r="AH338" s="278" t="s">
        <v>171</v>
      </c>
      <c r="AI338">
        <v>0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35">
        <v>0</v>
      </c>
      <c r="AQ338" s="313">
        <v>0</v>
      </c>
      <c r="AR338" s="123">
        <v>0</v>
      </c>
      <c r="AS338" s="123">
        <v>0</v>
      </c>
      <c r="AT338" s="35">
        <v>0</v>
      </c>
      <c r="AU338" s="35">
        <v>0</v>
      </c>
      <c r="AV338" s="13">
        <v>0</v>
      </c>
    </row>
    <row r="339" spans="34:48">
      <c r="AH339" s="278" t="s">
        <v>175</v>
      </c>
      <c r="AI339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35">
        <v>0</v>
      </c>
      <c r="AQ339" s="313">
        <v>0</v>
      </c>
      <c r="AR339" s="123">
        <v>0</v>
      </c>
      <c r="AS339" s="123">
        <v>0</v>
      </c>
      <c r="AT339" s="35">
        <v>0</v>
      </c>
      <c r="AU339" s="35">
        <v>0</v>
      </c>
      <c r="AV339" s="13">
        <v>0</v>
      </c>
    </row>
    <row r="340" spans="34:48">
      <c r="AH340" s="278" t="s">
        <v>199</v>
      </c>
      <c r="AI340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35">
        <v>0</v>
      </c>
      <c r="AQ340" s="313">
        <v>0</v>
      </c>
      <c r="AR340" s="123">
        <v>0</v>
      </c>
      <c r="AS340" s="123">
        <v>0</v>
      </c>
      <c r="AT340" s="35">
        <v>0</v>
      </c>
      <c r="AU340" s="35">
        <v>0</v>
      </c>
      <c r="AV340" s="13">
        <v>0</v>
      </c>
    </row>
    <row r="341" spans="34:48">
      <c r="AH341" s="278" t="s">
        <v>176</v>
      </c>
      <c r="AI341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35">
        <v>0</v>
      </c>
      <c r="AQ341" s="313">
        <v>0</v>
      </c>
      <c r="AR341" s="123">
        <v>0</v>
      </c>
      <c r="AS341" s="123">
        <v>0</v>
      </c>
      <c r="AT341" s="35">
        <v>0</v>
      </c>
      <c r="AU341" s="35">
        <v>0</v>
      </c>
      <c r="AV341" s="13">
        <v>0</v>
      </c>
    </row>
    <row r="342" spans="34:48">
      <c r="AH342" s="278" t="s">
        <v>29</v>
      </c>
      <c r="AI342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35">
        <v>0</v>
      </c>
      <c r="AQ342" s="313">
        <v>0</v>
      </c>
      <c r="AR342" s="123">
        <v>0</v>
      </c>
      <c r="AS342" s="123">
        <v>0</v>
      </c>
      <c r="AT342" s="35">
        <v>0</v>
      </c>
      <c r="AU342" s="35">
        <v>0</v>
      </c>
      <c r="AV342" s="13">
        <v>0</v>
      </c>
    </row>
    <row r="343" spans="34:48">
      <c r="AH343" s="278" t="s">
        <v>177</v>
      </c>
      <c r="AI343">
        <v>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35">
        <v>0</v>
      </c>
      <c r="AQ343" s="313">
        <v>0</v>
      </c>
      <c r="AR343" s="123">
        <v>0</v>
      </c>
      <c r="AS343" s="123">
        <v>0</v>
      </c>
      <c r="AT343" s="35">
        <v>0</v>
      </c>
      <c r="AU343" s="35">
        <v>0</v>
      </c>
      <c r="AV343" s="13">
        <v>0</v>
      </c>
    </row>
    <row r="344" spans="34:48">
      <c r="AH344" s="278" t="s">
        <v>23</v>
      </c>
      <c r="AI344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35">
        <v>0</v>
      </c>
      <c r="AQ344" s="313">
        <v>0</v>
      </c>
      <c r="AR344" s="123">
        <v>0</v>
      </c>
      <c r="AS344" s="123">
        <v>0</v>
      </c>
      <c r="AT344" s="35">
        <v>0</v>
      </c>
      <c r="AU344" s="35">
        <v>0</v>
      </c>
      <c r="AV344" s="13">
        <v>0</v>
      </c>
    </row>
    <row r="345" spans="34:48">
      <c r="AH345" s="278" t="s">
        <v>202</v>
      </c>
      <c r="AI345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35">
        <v>0</v>
      </c>
      <c r="AQ345" s="313">
        <v>0</v>
      </c>
      <c r="AR345" s="123">
        <v>0</v>
      </c>
      <c r="AS345" s="123">
        <v>0</v>
      </c>
      <c r="AT345" s="35">
        <v>0</v>
      </c>
      <c r="AU345" s="35">
        <v>0</v>
      </c>
      <c r="AV345" s="13">
        <v>0</v>
      </c>
    </row>
    <row r="346" spans="34:48">
      <c r="AH346" s="278" t="s">
        <v>200</v>
      </c>
      <c r="AI34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35">
        <v>0</v>
      </c>
      <c r="AQ346" s="313">
        <v>0</v>
      </c>
      <c r="AR346" s="123">
        <v>0</v>
      </c>
      <c r="AS346" s="123">
        <v>0</v>
      </c>
      <c r="AT346" s="35">
        <v>0</v>
      </c>
      <c r="AU346" s="35">
        <v>0</v>
      </c>
      <c r="AV346" s="13">
        <v>0</v>
      </c>
    </row>
    <row r="347" spans="34:48">
      <c r="AH347" s="278" t="s">
        <v>34</v>
      </c>
      <c r="AI347">
        <v>0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0</v>
      </c>
      <c r="AP347" s="35">
        <v>0</v>
      </c>
      <c r="AQ347" s="313">
        <v>0</v>
      </c>
      <c r="AR347" s="123">
        <v>0</v>
      </c>
      <c r="AS347" s="123">
        <v>0</v>
      </c>
      <c r="AT347" s="35">
        <v>0</v>
      </c>
      <c r="AU347" s="35">
        <v>0</v>
      </c>
      <c r="AV347" s="13">
        <v>0</v>
      </c>
    </row>
    <row r="348" spans="34:48">
      <c r="AH348" s="278" t="s">
        <v>201</v>
      </c>
      <c r="AI348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35">
        <v>0</v>
      </c>
      <c r="AQ348" s="313">
        <v>0</v>
      </c>
      <c r="AR348" s="123">
        <v>0</v>
      </c>
      <c r="AS348" s="123">
        <v>0</v>
      </c>
      <c r="AT348" s="35">
        <v>0</v>
      </c>
      <c r="AU348" s="35">
        <v>0</v>
      </c>
      <c r="AV348" s="13">
        <v>0</v>
      </c>
    </row>
    <row r="349" spans="34:48">
      <c r="AH349" s="11" t="s">
        <v>24</v>
      </c>
      <c r="AI349">
        <v>65</v>
      </c>
      <c r="AJ349" s="16">
        <v>375924</v>
      </c>
      <c r="AK349" s="16">
        <v>3367254080</v>
      </c>
      <c r="AL349" s="16">
        <v>777087777.60000002</v>
      </c>
      <c r="AM349" s="16">
        <v>275818071.42857146</v>
      </c>
      <c r="AN349" s="16">
        <v>80855999.000000015</v>
      </c>
      <c r="AO349" s="16">
        <v>1151196048.0285716</v>
      </c>
      <c r="AP349" s="12">
        <v>758207859.57142854</v>
      </c>
      <c r="AQ349" s="313">
        <v>396819957.14285713</v>
      </c>
      <c r="AR349" s="123">
        <v>41940000</v>
      </c>
      <c r="AS349" s="123">
        <v>794515</v>
      </c>
      <c r="AT349" s="12">
        <v>439429472.14285713</v>
      </c>
      <c r="AU349" s="12">
        <v>-46441283.68571426</v>
      </c>
      <c r="AV349" s="13">
        <v>-4.0341767820733197E-2</v>
      </c>
    </row>
    <row r="350" spans="34:48">
      <c r="AH350" s="26">
        <v>1</v>
      </c>
      <c r="AI350">
        <v>40</v>
      </c>
      <c r="AJ350" s="16">
        <v>4861</v>
      </c>
      <c r="AK350" s="16">
        <v>44544000</v>
      </c>
      <c r="AL350" s="16">
        <v>890880</v>
      </c>
      <c r="AM350" s="16">
        <v>3128571.4285714282</v>
      </c>
      <c r="AN350" s="16">
        <v>1954324.2580645161</v>
      </c>
      <c r="AO350" s="16">
        <v>5973775.6866359441</v>
      </c>
      <c r="AP350" s="12">
        <v>10398228.571428571</v>
      </c>
      <c r="AQ350" s="313">
        <v>4167257.1428571427</v>
      </c>
      <c r="AR350" s="123"/>
      <c r="AS350" s="123"/>
      <c r="AT350" s="12">
        <v>4167257.1428571427</v>
      </c>
      <c r="AU350" s="12">
        <v>-8591710.0276497677</v>
      </c>
      <c r="AV350" s="13">
        <v>-1.4382378044208219</v>
      </c>
    </row>
    <row r="351" spans="34:48">
      <c r="AH351" s="26">
        <v>2</v>
      </c>
      <c r="AI351">
        <v>44</v>
      </c>
      <c r="AJ351" s="16">
        <v>9110</v>
      </c>
      <c r="AK351" s="16">
        <v>83081000</v>
      </c>
      <c r="AL351" s="16">
        <v>17447010</v>
      </c>
      <c r="AM351" s="16">
        <v>5625000</v>
      </c>
      <c r="AN351" s="16">
        <v>3420067.4516129033</v>
      </c>
      <c r="AO351" s="16">
        <v>26492077.451612905</v>
      </c>
      <c r="AP351" s="12">
        <v>18475900</v>
      </c>
      <c r="AQ351" s="313">
        <v>10156500</v>
      </c>
      <c r="AR351" s="123">
        <v>0</v>
      </c>
      <c r="AS351" s="123"/>
      <c r="AT351" s="12">
        <v>10156500</v>
      </c>
      <c r="AU351" s="12">
        <v>-2140322.5483870953</v>
      </c>
      <c r="AV351" s="13">
        <v>-8.0791042238810423E-2</v>
      </c>
    </row>
    <row r="352" spans="34:48">
      <c r="AH352" s="26">
        <v>3</v>
      </c>
      <c r="AI352">
        <v>47</v>
      </c>
      <c r="AJ352" s="16">
        <v>9176</v>
      </c>
      <c r="AK352" s="16">
        <v>83342000</v>
      </c>
      <c r="AL352" s="16">
        <v>17501820</v>
      </c>
      <c r="AM352" s="16">
        <v>5950000</v>
      </c>
      <c r="AN352" s="16">
        <v>3420067.4516129033</v>
      </c>
      <c r="AO352" s="16">
        <v>27471887.451612905</v>
      </c>
      <c r="AP352" s="12">
        <v>18858600</v>
      </c>
      <c r="AQ352" s="313">
        <v>7925400</v>
      </c>
      <c r="AR352" s="123">
        <v>0</v>
      </c>
      <c r="AS352" s="123"/>
      <c r="AT352" s="12">
        <v>7925400</v>
      </c>
      <c r="AU352" s="12">
        <v>687887.45161290467</v>
      </c>
      <c r="AV352" s="13">
        <v>2.503968658231082E-2</v>
      </c>
    </row>
    <row r="353" spans="34:48">
      <c r="AH353" s="26">
        <v>4</v>
      </c>
      <c r="AI353">
        <v>53</v>
      </c>
      <c r="AJ353" s="16">
        <v>9405</v>
      </c>
      <c r="AK353" s="16">
        <v>85420000</v>
      </c>
      <c r="AL353" s="16">
        <v>17938200</v>
      </c>
      <c r="AM353" s="16">
        <v>6575000</v>
      </c>
      <c r="AN353" s="16">
        <v>3420067.4516129033</v>
      </c>
      <c r="AO353" s="16">
        <v>28558267.451612905</v>
      </c>
      <c r="AP353" s="12">
        <v>27186234</v>
      </c>
      <c r="AQ353" s="313">
        <v>8757900</v>
      </c>
      <c r="AR353" s="123">
        <v>0</v>
      </c>
      <c r="AS353" s="123"/>
      <c r="AT353" s="12">
        <v>8757900</v>
      </c>
      <c r="AU353" s="12">
        <v>-7385866.5483870953</v>
      </c>
      <c r="AV353" s="13">
        <v>-0.25862446175704396</v>
      </c>
    </row>
    <row r="354" spans="34:48">
      <c r="AH354" s="26">
        <v>5</v>
      </c>
      <c r="AI354">
        <v>50</v>
      </c>
      <c r="AJ354" s="16">
        <v>16782</v>
      </c>
      <c r="AK354" s="16">
        <v>152536000</v>
      </c>
      <c r="AL354" s="16">
        <v>32032560</v>
      </c>
      <c r="AM354" s="16">
        <v>657500</v>
      </c>
      <c r="AN354" s="16">
        <v>3546175.7085253457</v>
      </c>
      <c r="AO354" s="16">
        <v>37686235.708525345</v>
      </c>
      <c r="AP354" s="12">
        <v>19852599.999999996</v>
      </c>
      <c r="AQ354" s="313">
        <v>8757900</v>
      </c>
      <c r="AR354" s="123">
        <v>840000</v>
      </c>
      <c r="AS354" s="123"/>
      <c r="AT354" s="12">
        <v>9597900</v>
      </c>
      <c r="AU354" s="12">
        <v>8235735.7085253485</v>
      </c>
      <c r="AV354" s="13">
        <v>0.21853431508051274</v>
      </c>
    </row>
    <row r="355" spans="34:48">
      <c r="AH355" s="26">
        <v>6</v>
      </c>
      <c r="AI355">
        <v>59</v>
      </c>
      <c r="AJ355" s="16">
        <v>9707</v>
      </c>
      <c r="AK355" s="16">
        <v>87376000</v>
      </c>
      <c r="AL355" s="16">
        <v>18348960</v>
      </c>
      <c r="AM355" s="16">
        <v>9770000</v>
      </c>
      <c r="AN355" s="16">
        <v>4302825.25</v>
      </c>
      <c r="AO355" s="16">
        <v>33121785.25</v>
      </c>
      <c r="AP355" s="12">
        <v>22588600</v>
      </c>
      <c r="AQ355" s="313">
        <v>10395000</v>
      </c>
      <c r="AR355" s="123">
        <v>840000</v>
      </c>
      <c r="AS355" s="123"/>
      <c r="AT355" s="12">
        <v>11235000</v>
      </c>
      <c r="AU355" s="12">
        <v>-701814.75</v>
      </c>
      <c r="AV355" s="13">
        <v>-2.1188916741738732E-2</v>
      </c>
    </row>
    <row r="356" spans="34:48">
      <c r="AH356" s="26">
        <v>7</v>
      </c>
      <c r="AI356">
        <v>63</v>
      </c>
      <c r="AJ356" s="16">
        <v>11585</v>
      </c>
      <c r="AK356" s="16">
        <v>104357000</v>
      </c>
      <c r="AL356" s="16">
        <v>21914970</v>
      </c>
      <c r="AM356" s="16">
        <v>8600000</v>
      </c>
      <c r="AN356" s="16">
        <v>4302825.25</v>
      </c>
      <c r="AO356" s="16">
        <v>35767795.25</v>
      </c>
      <c r="AP356" s="12">
        <v>26445500</v>
      </c>
      <c r="AQ356" s="313">
        <v>12040000</v>
      </c>
      <c r="AR356" s="123">
        <v>840000</v>
      </c>
      <c r="AS356" s="123"/>
      <c r="AT356" s="12">
        <v>12880000</v>
      </c>
      <c r="AU356" s="12">
        <v>-3557704.75</v>
      </c>
      <c r="AV356" s="13">
        <v>-9.9466705317823575E-2</v>
      </c>
    </row>
    <row r="357" spans="34:48">
      <c r="AH357" s="26">
        <v>8</v>
      </c>
      <c r="AI357">
        <v>61</v>
      </c>
      <c r="AJ357" s="16">
        <v>11022</v>
      </c>
      <c r="AK357" s="16">
        <v>99493000</v>
      </c>
      <c r="AL357" s="16">
        <v>20893530</v>
      </c>
      <c r="AM357" s="16">
        <v>8050000</v>
      </c>
      <c r="AN357" s="16">
        <v>4302825.25</v>
      </c>
      <c r="AO357" s="16">
        <v>34746355.25</v>
      </c>
      <c r="AP357" s="12">
        <v>30870067</v>
      </c>
      <c r="AQ357" s="313">
        <v>11270000</v>
      </c>
      <c r="AR357" s="123">
        <v>840000</v>
      </c>
      <c r="AS357" s="123">
        <v>0</v>
      </c>
      <c r="AT357" s="12">
        <v>12110000</v>
      </c>
      <c r="AU357" s="12">
        <v>-8233711.75</v>
      </c>
      <c r="AV357" s="13">
        <v>-0.23696619949800346</v>
      </c>
    </row>
    <row r="358" spans="34:48">
      <c r="AH358" s="26">
        <v>9</v>
      </c>
      <c r="AI358">
        <v>63</v>
      </c>
      <c r="AJ358" s="16">
        <v>10254</v>
      </c>
      <c r="AK358" s="16">
        <v>93484000</v>
      </c>
      <c r="AL358" s="16">
        <v>19631640</v>
      </c>
      <c r="AM358" s="16">
        <v>7774999.9999999991</v>
      </c>
      <c r="AN358" s="16">
        <v>4361772.6059907833</v>
      </c>
      <c r="AO358" s="16">
        <v>33368412.605990782</v>
      </c>
      <c r="AP358" s="12">
        <v>24202600</v>
      </c>
      <c r="AQ358" s="313">
        <v>11200000</v>
      </c>
      <c r="AR358" s="123">
        <v>840000</v>
      </c>
      <c r="AS358" s="123">
        <v>0</v>
      </c>
      <c r="AT358" s="12">
        <v>12040000</v>
      </c>
      <c r="AU358" s="12">
        <v>-2874187.3940092162</v>
      </c>
      <c r="AV358" s="13">
        <v>-8.6134975251810464E-2</v>
      </c>
    </row>
    <row r="359" spans="34:48">
      <c r="AH359" s="346">
        <v>10</v>
      </c>
      <c r="AI359" s="389">
        <v>63</v>
      </c>
      <c r="AJ359" s="303">
        <v>6621</v>
      </c>
      <c r="AK359" s="303">
        <v>60837000</v>
      </c>
      <c r="AL359" s="303">
        <v>12775770</v>
      </c>
      <c r="AM359" s="303">
        <v>7775000</v>
      </c>
      <c r="AN359" s="303">
        <v>4715456.7419354841</v>
      </c>
      <c r="AO359" s="303">
        <v>26616226.741935484</v>
      </c>
      <c r="AP359" s="302">
        <v>21596500</v>
      </c>
      <c r="AQ359" s="347">
        <v>11410000</v>
      </c>
      <c r="AR359" s="348">
        <v>0</v>
      </c>
      <c r="AS359" s="348">
        <v>112903</v>
      </c>
      <c r="AT359" s="302">
        <v>11522903</v>
      </c>
      <c r="AU359" s="302">
        <v>-6503176.2580645159</v>
      </c>
      <c r="AV359" s="304">
        <v>-0.24433126156903248</v>
      </c>
    </row>
    <row r="360" spans="34:48">
      <c r="AH360" s="346">
        <v>11</v>
      </c>
      <c r="AI360" s="389">
        <v>64</v>
      </c>
      <c r="AJ360" s="303">
        <v>6298</v>
      </c>
      <c r="AK360" s="303">
        <v>58080000</v>
      </c>
      <c r="AL360" s="303">
        <v>12196800</v>
      </c>
      <c r="AM360" s="303">
        <v>8525000</v>
      </c>
      <c r="AN360" s="303">
        <v>4715456.7419354841</v>
      </c>
      <c r="AO360" s="303">
        <v>26237256.741935484</v>
      </c>
      <c r="AP360" s="302">
        <v>23038400</v>
      </c>
      <c r="AQ360" s="347">
        <v>12245000</v>
      </c>
      <c r="AR360" s="348">
        <v>480000</v>
      </c>
      <c r="AS360" s="348">
        <v>112903</v>
      </c>
      <c r="AT360" s="302">
        <v>12837903</v>
      </c>
      <c r="AU360" s="302">
        <v>-9639046.2580645159</v>
      </c>
      <c r="AV360" s="304">
        <v>-0.36738010962320816</v>
      </c>
    </row>
    <row r="361" spans="34:48">
      <c r="AH361" s="346">
        <v>12</v>
      </c>
      <c r="AI361" s="389">
        <v>65</v>
      </c>
      <c r="AJ361" s="303">
        <v>6318</v>
      </c>
      <c r="AK361" s="303">
        <v>58441500</v>
      </c>
      <c r="AL361" s="303">
        <v>12592710</v>
      </c>
      <c r="AM361" s="303">
        <v>11000000</v>
      </c>
      <c r="AN361" s="303">
        <v>4715456.7419354841</v>
      </c>
      <c r="AO361" s="303">
        <v>29058166.741935484</v>
      </c>
      <c r="AP361" s="302">
        <v>26989400</v>
      </c>
      <c r="AQ361" s="347">
        <v>15855000</v>
      </c>
      <c r="AR361" s="348">
        <v>840000</v>
      </c>
      <c r="AS361" s="348">
        <v>112903</v>
      </c>
      <c r="AT361" s="302">
        <v>16807903</v>
      </c>
      <c r="AU361" s="302">
        <v>-14739136.258064516</v>
      </c>
      <c r="AV361" s="304">
        <v>-0.50722870403223463</v>
      </c>
    </row>
    <row r="362" spans="34:48">
      <c r="AH362" s="346">
        <v>13</v>
      </c>
      <c r="AI362" s="389">
        <v>61</v>
      </c>
      <c r="AJ362" s="303">
        <v>9555</v>
      </c>
      <c r="AK362" s="303">
        <v>87416000</v>
      </c>
      <c r="AL362" s="303">
        <v>18769200</v>
      </c>
      <c r="AM362" s="303">
        <v>9550000</v>
      </c>
      <c r="AN362" s="303">
        <v>4715456.7419354841</v>
      </c>
      <c r="AO362" s="303">
        <v>33034656.741935484</v>
      </c>
      <c r="AP362" s="302">
        <v>26741600</v>
      </c>
      <c r="AQ362" s="347">
        <v>13370000</v>
      </c>
      <c r="AR362" s="348">
        <v>840000</v>
      </c>
      <c r="AS362" s="348">
        <v>112903</v>
      </c>
      <c r="AT362" s="302">
        <v>14322903</v>
      </c>
      <c r="AU362" s="302">
        <v>-8029846.2580645159</v>
      </c>
      <c r="AV362" s="304">
        <v>-0.24307339775900003</v>
      </c>
    </row>
    <row r="363" spans="34:48">
      <c r="AH363" s="26">
        <v>14</v>
      </c>
      <c r="AI363">
        <v>49</v>
      </c>
      <c r="AJ363" s="16">
        <v>9620</v>
      </c>
      <c r="AK363" s="16">
        <v>88362000</v>
      </c>
      <c r="AL363" s="16">
        <v>19068840</v>
      </c>
      <c r="AM363" s="16">
        <v>5200000</v>
      </c>
      <c r="AN363" s="16">
        <v>3954331.3548387093</v>
      </c>
      <c r="AO363" s="16">
        <v>28223171.35483871</v>
      </c>
      <c r="AP363" s="12">
        <v>21096000</v>
      </c>
      <c r="AQ363" s="313">
        <v>9380000</v>
      </c>
      <c r="AR363" s="123">
        <v>840000</v>
      </c>
      <c r="AS363" s="123">
        <v>112903</v>
      </c>
      <c r="AT363" s="12">
        <v>10332903</v>
      </c>
      <c r="AU363" s="12">
        <v>-3205731.6451612907</v>
      </c>
      <c r="AV363" s="13">
        <v>-0.11358509661642562</v>
      </c>
    </row>
    <row r="364" spans="34:48">
      <c r="AH364" s="26">
        <v>52</v>
      </c>
      <c r="AI364">
        <v>18</v>
      </c>
      <c r="AJ364" s="16">
        <v>4353</v>
      </c>
      <c r="AK364" s="16">
        <v>30645600</v>
      </c>
      <c r="AL364" s="16">
        <v>7279272</v>
      </c>
      <c r="AM364" s="16">
        <v>2615000</v>
      </c>
      <c r="AN364" s="16">
        <v>0</v>
      </c>
      <c r="AO364" s="16">
        <v>9894272</v>
      </c>
      <c r="AP364" s="12">
        <v>5865220</v>
      </c>
      <c r="AQ364" s="313">
        <v>3395000</v>
      </c>
      <c r="AR364" s="123">
        <v>1460000</v>
      </c>
      <c r="AS364" s="123">
        <v>0</v>
      </c>
      <c r="AT364" s="12">
        <v>4855000</v>
      </c>
      <c r="AU364" s="12">
        <v>-825948.00000000128</v>
      </c>
      <c r="AV364" s="13">
        <v>-8.3477389746309916E-2</v>
      </c>
    </row>
    <row r="365" spans="34:48">
      <c r="AH365" s="26">
        <v>51</v>
      </c>
      <c r="AI365">
        <v>20</v>
      </c>
      <c r="AJ365" s="16">
        <v>4568</v>
      </c>
      <c r="AK365" s="16">
        <v>33453200</v>
      </c>
      <c r="AL365" s="16">
        <v>8140680</v>
      </c>
      <c r="AM365" s="16">
        <v>2575000</v>
      </c>
      <c r="AN365" s="16">
        <v>0</v>
      </c>
      <c r="AO365" s="16">
        <v>10715680</v>
      </c>
      <c r="AP365" s="12">
        <v>6410460</v>
      </c>
      <c r="AQ365" s="313">
        <v>3745000</v>
      </c>
      <c r="AR365" s="123">
        <v>1400000</v>
      </c>
      <c r="AS365" s="123">
        <v>0</v>
      </c>
      <c r="AT365" s="12">
        <v>5145000</v>
      </c>
      <c r="AU365" s="12">
        <v>-839780.0000000014</v>
      </c>
      <c r="AV365" s="13">
        <v>-7.8369268212563403E-2</v>
      </c>
    </row>
    <row r="366" spans="34:48">
      <c r="AH366" s="26">
        <v>50</v>
      </c>
      <c r="AI366">
        <v>24</v>
      </c>
      <c r="AJ366" s="16">
        <v>5049</v>
      </c>
      <c r="AK366" s="16">
        <v>36491200</v>
      </c>
      <c r="AL366" s="16">
        <v>8844264</v>
      </c>
      <c r="AM366" s="16">
        <v>2880000</v>
      </c>
      <c r="AN366" s="16">
        <v>0</v>
      </c>
      <c r="AO366" s="16">
        <v>11724264</v>
      </c>
      <c r="AP366" s="12">
        <v>7627010</v>
      </c>
      <c r="AQ366" s="313">
        <v>4270000</v>
      </c>
      <c r="AR366" s="123">
        <v>1400000</v>
      </c>
      <c r="AS366" s="123">
        <v>0</v>
      </c>
      <c r="AT366" s="12">
        <v>5670000</v>
      </c>
      <c r="AU366" s="12">
        <v>-1572746.0000000014</v>
      </c>
      <c r="AV366" s="13">
        <v>-0.13414453990459455</v>
      </c>
    </row>
    <row r="367" spans="34:48">
      <c r="AH367" s="26">
        <v>49</v>
      </c>
      <c r="AI367">
        <v>23</v>
      </c>
      <c r="AJ367" s="16">
        <v>5869</v>
      </c>
      <c r="AK367" s="16">
        <v>43954180</v>
      </c>
      <c r="AL367" s="16">
        <v>10592472.6</v>
      </c>
      <c r="AM367" s="16">
        <v>3425000</v>
      </c>
      <c r="AN367" s="16">
        <v>0</v>
      </c>
      <c r="AO367" s="16">
        <v>14017472.6</v>
      </c>
      <c r="AP367" s="12">
        <v>8706320</v>
      </c>
      <c r="AQ367" s="313">
        <v>4375000</v>
      </c>
      <c r="AR367" s="123">
        <v>1400000</v>
      </c>
      <c r="AS367" s="123">
        <v>0</v>
      </c>
      <c r="AT367" s="12">
        <v>5775000</v>
      </c>
      <c r="AU367" s="12">
        <v>-463847.4000000013</v>
      </c>
      <c r="AV367" s="13">
        <v>-3.3090658582774851E-2</v>
      </c>
    </row>
    <row r="368" spans="34:48">
      <c r="AH368" s="26">
        <v>48</v>
      </c>
      <c r="AI368">
        <v>18</v>
      </c>
      <c r="AJ368" s="16">
        <v>5089</v>
      </c>
      <c r="AK368" s="16">
        <v>38398100</v>
      </c>
      <c r="AL368" s="16">
        <v>9506237</v>
      </c>
      <c r="AM368" s="16">
        <v>2855000</v>
      </c>
      <c r="AN368" s="16">
        <v>0</v>
      </c>
      <c r="AO368" s="16">
        <v>12361237</v>
      </c>
      <c r="AP368" s="12">
        <v>7822510</v>
      </c>
      <c r="AQ368" s="313">
        <v>3955000</v>
      </c>
      <c r="AR368" s="123">
        <v>1400000</v>
      </c>
      <c r="AS368" s="123">
        <v>0</v>
      </c>
      <c r="AT368" s="12">
        <v>5355000</v>
      </c>
      <c r="AU368" s="12">
        <v>-816273.0000000014</v>
      </c>
      <c r="AV368" s="13">
        <v>-6.6034896022137704E-2</v>
      </c>
    </row>
    <row r="369" spans="34:48">
      <c r="AH369" s="26">
        <v>47</v>
      </c>
      <c r="AI369">
        <v>22</v>
      </c>
      <c r="AJ369" s="16">
        <v>4721</v>
      </c>
      <c r="AK369" s="16">
        <v>36951400</v>
      </c>
      <c r="AL369" s="16">
        <v>9211218</v>
      </c>
      <c r="AM369" s="16">
        <v>3125000</v>
      </c>
      <c r="AN369" s="16">
        <v>0</v>
      </c>
      <c r="AO369" s="16">
        <v>12416218</v>
      </c>
      <c r="AP369" s="12">
        <v>7258780</v>
      </c>
      <c r="AQ369" s="313">
        <v>3815000</v>
      </c>
      <c r="AR369" s="123">
        <v>1300000</v>
      </c>
      <c r="AS369" s="123">
        <v>0</v>
      </c>
      <c r="AT369" s="12">
        <v>5115000</v>
      </c>
      <c r="AU369" s="12">
        <v>42437.999999998719</v>
      </c>
      <c r="AV369" s="13">
        <v>3.4179490083050025E-3</v>
      </c>
    </row>
    <row r="370" spans="34:48">
      <c r="AH370" s="26">
        <v>46</v>
      </c>
      <c r="AI370">
        <v>23</v>
      </c>
      <c r="AJ370" s="16">
        <v>4969</v>
      </c>
      <c r="AK370" s="16">
        <v>39346200</v>
      </c>
      <c r="AL370" s="16">
        <v>9870644</v>
      </c>
      <c r="AM370" s="16">
        <v>3600000</v>
      </c>
      <c r="AN370" s="16">
        <v>0</v>
      </c>
      <c r="AO370" s="16">
        <v>13470644</v>
      </c>
      <c r="AP370" s="12">
        <v>7848960</v>
      </c>
      <c r="AQ370" s="313">
        <v>4410000</v>
      </c>
      <c r="AR370" s="123">
        <v>1400000</v>
      </c>
      <c r="AS370" s="123">
        <v>0</v>
      </c>
      <c r="AT370" s="12">
        <v>5810000</v>
      </c>
      <c r="AU370" s="12">
        <v>-188316.00000000128</v>
      </c>
      <c r="AV370" s="13">
        <v>-1.3979732520583371E-2</v>
      </c>
    </row>
    <row r="371" spans="34:48">
      <c r="AH371" s="26">
        <v>45</v>
      </c>
      <c r="AI371">
        <v>26</v>
      </c>
      <c r="AJ371" s="16">
        <v>4941</v>
      </c>
      <c r="AK371" s="16">
        <v>39953000</v>
      </c>
      <c r="AL371" s="16">
        <v>10157860</v>
      </c>
      <c r="AM371" s="16">
        <v>4000000</v>
      </c>
      <c r="AN371" s="16">
        <v>0</v>
      </c>
      <c r="AO371" s="16">
        <v>14157860</v>
      </c>
      <c r="AP371" s="12">
        <v>8008790</v>
      </c>
      <c r="AQ371" s="313">
        <v>4830000</v>
      </c>
      <c r="AR371" s="123">
        <v>1400000</v>
      </c>
      <c r="AS371" s="123">
        <v>0</v>
      </c>
      <c r="AT371" s="12">
        <v>6230000</v>
      </c>
      <c r="AU371" s="12">
        <v>-80930</v>
      </c>
      <c r="AV371" s="13">
        <v>-5.7162593781828613E-3</v>
      </c>
    </row>
    <row r="372" spans="34:48">
      <c r="AH372" s="26">
        <v>44</v>
      </c>
      <c r="AI372">
        <v>28</v>
      </c>
      <c r="AJ372" s="16">
        <v>5469</v>
      </c>
      <c r="AK372" s="16">
        <v>45930800</v>
      </c>
      <c r="AL372" s="16">
        <v>11847876</v>
      </c>
      <c r="AM372" s="16">
        <v>4025000</v>
      </c>
      <c r="AN372" s="16">
        <v>0</v>
      </c>
      <c r="AO372" s="16">
        <v>15872876</v>
      </c>
      <c r="AP372" s="12">
        <v>9774600</v>
      </c>
      <c r="AQ372" s="313">
        <v>5495000</v>
      </c>
      <c r="AR372" s="123">
        <v>1400000</v>
      </c>
      <c r="AS372" s="123">
        <v>0</v>
      </c>
      <c r="AT372" s="12">
        <v>6770000</v>
      </c>
      <c r="AU372" s="12">
        <v>-671724</v>
      </c>
      <c r="AV372" s="13">
        <v>-4.2318984914895073E-2</v>
      </c>
    </row>
    <row r="373" spans="34:48">
      <c r="AH373" s="26">
        <v>43</v>
      </c>
      <c r="AI373">
        <v>32</v>
      </c>
      <c r="AJ373" s="16">
        <v>5352</v>
      </c>
      <c r="AK373" s="16">
        <v>47850900</v>
      </c>
      <c r="AL373" s="16">
        <v>12460933</v>
      </c>
      <c r="AM373" s="16">
        <v>4725000</v>
      </c>
      <c r="AN373" s="16">
        <v>0</v>
      </c>
      <c r="AO373" s="16">
        <v>17185933</v>
      </c>
      <c r="AP373" s="12">
        <v>10207410</v>
      </c>
      <c r="AQ373" s="313">
        <v>5915000</v>
      </c>
      <c r="AR373" s="123">
        <v>1400000</v>
      </c>
      <c r="AS373" s="123">
        <v>0</v>
      </c>
      <c r="AT373" s="12">
        <v>7315000</v>
      </c>
      <c r="AU373" s="12">
        <v>-336477</v>
      </c>
      <c r="AV373" s="13">
        <v>-1.9578628637735292E-2</v>
      </c>
    </row>
    <row r="374" spans="34:48">
      <c r="AH374" s="26">
        <v>42</v>
      </c>
      <c r="AI374">
        <v>31</v>
      </c>
      <c r="AJ374" s="16">
        <v>9320</v>
      </c>
      <c r="AK374" s="16">
        <v>84047300</v>
      </c>
      <c r="AL374" s="16">
        <v>21945361</v>
      </c>
      <c r="AM374" s="16">
        <v>7525000</v>
      </c>
      <c r="AN374" s="16">
        <v>0</v>
      </c>
      <c r="AO374" s="16">
        <v>29470361</v>
      </c>
      <c r="AP374" s="12">
        <v>17154790</v>
      </c>
      <c r="AQ374" s="313">
        <v>9345000</v>
      </c>
      <c r="AR374" s="123">
        <v>1900000</v>
      </c>
      <c r="AS374" s="123">
        <v>0</v>
      </c>
      <c r="AT374" s="12">
        <v>11245000</v>
      </c>
      <c r="AU374" s="12">
        <v>1070571</v>
      </c>
      <c r="AV374" s="13">
        <v>3.6327040581552429E-2</v>
      </c>
    </row>
    <row r="375" spans="34:48">
      <c r="AH375" s="26">
        <v>41</v>
      </c>
      <c r="AI375">
        <v>37</v>
      </c>
      <c r="AJ375" s="16">
        <v>7808</v>
      </c>
      <c r="AK375" s="16">
        <v>71853000</v>
      </c>
      <c r="AL375" s="16">
        <v>18880460</v>
      </c>
      <c r="AM375" s="16">
        <v>6100000</v>
      </c>
      <c r="AN375" s="16">
        <v>0</v>
      </c>
      <c r="AO375" s="16">
        <v>25080460</v>
      </c>
      <c r="AP375" s="12">
        <v>14818710</v>
      </c>
      <c r="AQ375" s="313">
        <v>7770000</v>
      </c>
      <c r="AR375" s="123">
        <v>700000</v>
      </c>
      <c r="AS375" s="123">
        <v>0</v>
      </c>
      <c r="AT375" s="12">
        <v>8470000</v>
      </c>
      <c r="AU375" s="12">
        <v>1791750</v>
      </c>
      <c r="AV375" s="13">
        <v>7.1440077255361348E-2</v>
      </c>
    </row>
    <row r="376" spans="34:48">
      <c r="AH376" s="26">
        <v>40</v>
      </c>
      <c r="AI376">
        <v>44</v>
      </c>
      <c r="AJ376" s="16">
        <v>8275</v>
      </c>
      <c r="AK376" s="16">
        <v>76313000</v>
      </c>
      <c r="AL376" s="16">
        <v>19997980</v>
      </c>
      <c r="AM376" s="16">
        <v>6625000</v>
      </c>
      <c r="AN376" s="16">
        <v>0</v>
      </c>
      <c r="AO376" s="16">
        <v>26647980</v>
      </c>
      <c r="AP376" s="12">
        <v>13999150</v>
      </c>
      <c r="AQ376" s="313">
        <v>8320000</v>
      </c>
      <c r="AR376" s="123">
        <v>700000</v>
      </c>
      <c r="AS376" s="123">
        <v>0</v>
      </c>
      <c r="AT376" s="12">
        <v>9020000</v>
      </c>
      <c r="AU376" s="12">
        <v>3628830</v>
      </c>
      <c r="AV376" s="13">
        <v>0.13617655071791557</v>
      </c>
    </row>
    <row r="377" spans="34:48">
      <c r="AH377" s="26">
        <v>39</v>
      </c>
      <c r="AI377">
        <v>44</v>
      </c>
      <c r="AJ377" s="16">
        <v>8474</v>
      </c>
      <c r="AK377" s="16">
        <v>78107000</v>
      </c>
      <c r="AL377" s="16">
        <v>20454340</v>
      </c>
      <c r="AM377" s="16">
        <v>6775000</v>
      </c>
      <c r="AN377" s="16">
        <v>0</v>
      </c>
      <c r="AO377" s="16">
        <v>27354340</v>
      </c>
      <c r="AP377" s="12">
        <v>16743590</v>
      </c>
      <c r="AQ377" s="313">
        <v>8505000</v>
      </c>
      <c r="AR377" s="123">
        <v>700000</v>
      </c>
      <c r="AS377" s="123">
        <v>0</v>
      </c>
      <c r="AT377" s="12">
        <v>9205000</v>
      </c>
      <c r="AU377" s="12">
        <v>1405750</v>
      </c>
      <c r="AV377" s="13">
        <v>5.1390382659570653E-2</v>
      </c>
    </row>
    <row r="378" spans="34:48">
      <c r="AH378" s="26">
        <v>38</v>
      </c>
      <c r="AI378">
        <v>42</v>
      </c>
      <c r="AJ378" s="16">
        <v>8303</v>
      </c>
      <c r="AK378" s="16">
        <v>76794000</v>
      </c>
      <c r="AL378" s="16">
        <v>20157400</v>
      </c>
      <c r="AM378" s="16">
        <v>6675000</v>
      </c>
      <c r="AN378" s="16">
        <v>0</v>
      </c>
      <c r="AO378" s="16">
        <v>26907400</v>
      </c>
      <c r="AP378" s="12">
        <v>19514550</v>
      </c>
      <c r="AQ378" s="313">
        <v>8540000</v>
      </c>
      <c r="AR378" s="123">
        <v>700000</v>
      </c>
      <c r="AS378" s="123">
        <v>0</v>
      </c>
      <c r="AT378" s="12">
        <v>9240000</v>
      </c>
      <c r="AU378" s="12">
        <v>-1847150</v>
      </c>
      <c r="AV378" s="13">
        <v>-6.8648401554962574E-2</v>
      </c>
    </row>
    <row r="379" spans="34:48">
      <c r="AH379" s="26">
        <v>37</v>
      </c>
      <c r="AI379">
        <v>42</v>
      </c>
      <c r="AJ379" s="16">
        <v>7492</v>
      </c>
      <c r="AK379" s="16">
        <v>78991000</v>
      </c>
      <c r="AL379" s="16">
        <v>20696980</v>
      </c>
      <c r="AM379" s="16">
        <v>7050000</v>
      </c>
      <c r="AN379" s="16">
        <v>0</v>
      </c>
      <c r="AO379" s="16">
        <v>27846980</v>
      </c>
      <c r="AP379" s="12">
        <v>20464460</v>
      </c>
      <c r="AQ379" s="313">
        <v>8890000</v>
      </c>
      <c r="AR379" s="123">
        <v>700000</v>
      </c>
      <c r="AS379" s="123">
        <v>0</v>
      </c>
      <c r="AT379" s="12">
        <v>9590000</v>
      </c>
      <c r="AU379" s="12">
        <v>-2207480</v>
      </c>
      <c r="AV379" s="13">
        <v>-7.9271791770597747E-2</v>
      </c>
    </row>
    <row r="380" spans="34:48">
      <c r="AH380" s="26">
        <v>36</v>
      </c>
      <c r="AI380">
        <v>43</v>
      </c>
      <c r="AJ380" s="16">
        <v>7708</v>
      </c>
      <c r="AK380" s="16">
        <v>71289000</v>
      </c>
      <c r="AL380" s="16">
        <v>18642780</v>
      </c>
      <c r="AM380" s="16">
        <v>6950000</v>
      </c>
      <c r="AN380" s="16">
        <v>0</v>
      </c>
      <c r="AO380" s="16">
        <v>25592780</v>
      </c>
      <c r="AP380" s="12">
        <v>18830140</v>
      </c>
      <c r="AQ380" s="313">
        <v>8610000</v>
      </c>
      <c r="AR380" s="123">
        <v>700000</v>
      </c>
      <c r="AS380" s="123">
        <v>0</v>
      </c>
      <c r="AT380" s="12">
        <v>9310000</v>
      </c>
      <c r="AU380" s="12">
        <v>-2547360</v>
      </c>
      <c r="AV380" s="13">
        <v>-9.9534321789192109E-2</v>
      </c>
    </row>
    <row r="381" spans="34:48">
      <c r="AH381" s="26">
        <v>35</v>
      </c>
      <c r="AI381">
        <v>40</v>
      </c>
      <c r="AJ381" s="16">
        <v>8039</v>
      </c>
      <c r="AK381" s="16">
        <v>74282000</v>
      </c>
      <c r="AL381" s="16">
        <v>19441640</v>
      </c>
      <c r="AM381" s="16">
        <v>6600000</v>
      </c>
      <c r="AN381" s="16">
        <v>0</v>
      </c>
      <c r="AO381" s="16">
        <v>26041640</v>
      </c>
      <c r="AP381" s="12">
        <v>19122260</v>
      </c>
      <c r="AQ381" s="313">
        <v>7945000</v>
      </c>
      <c r="AR381" s="123">
        <v>700000</v>
      </c>
      <c r="AS381" s="123">
        <v>0</v>
      </c>
      <c r="AT381" s="12">
        <v>8645000</v>
      </c>
      <c r="AU381" s="12">
        <v>-1725620</v>
      </c>
      <c r="AV381" s="13">
        <v>-6.626387585420887E-2</v>
      </c>
    </row>
    <row r="382" spans="34:48">
      <c r="AH382" s="26">
        <v>34</v>
      </c>
      <c r="AI382">
        <v>32</v>
      </c>
      <c r="AJ382" s="16">
        <v>5638</v>
      </c>
      <c r="AK382" s="16">
        <v>51925000</v>
      </c>
      <c r="AL382" s="16">
        <v>13810300</v>
      </c>
      <c r="AM382" s="16">
        <v>4825000</v>
      </c>
      <c r="AN382" s="16">
        <v>0</v>
      </c>
      <c r="AO382" s="16">
        <v>18710300</v>
      </c>
      <c r="AP382" s="12">
        <v>11392560</v>
      </c>
      <c r="AQ382" s="313">
        <v>6125000</v>
      </c>
      <c r="AR382" s="123">
        <v>400000</v>
      </c>
      <c r="AS382" s="123">
        <v>0</v>
      </c>
      <c r="AT382" s="12">
        <v>6525000</v>
      </c>
      <c r="AU382" s="12">
        <v>792740</v>
      </c>
      <c r="AV382" s="13">
        <v>4.2369176336028817E-2</v>
      </c>
    </row>
    <row r="383" spans="34:48">
      <c r="AH383" s="26">
        <v>33</v>
      </c>
      <c r="AI383">
        <v>25</v>
      </c>
      <c r="AJ383" s="16">
        <v>5720</v>
      </c>
      <c r="AK383" s="16">
        <v>52518000</v>
      </c>
      <c r="AL383" s="16">
        <v>13809600</v>
      </c>
      <c r="AM383" s="16">
        <v>4350000</v>
      </c>
      <c r="AN383" s="16">
        <v>0</v>
      </c>
      <c r="AO383" s="16">
        <v>18234600</v>
      </c>
      <c r="AP383" s="12">
        <v>11001120</v>
      </c>
      <c r="AQ383" s="313">
        <v>5320000</v>
      </c>
      <c r="AR383" s="123">
        <v>0</v>
      </c>
      <c r="AS383" s="123">
        <v>230000</v>
      </c>
      <c r="AT383" s="12">
        <v>5550000</v>
      </c>
      <c r="AU383" s="12">
        <v>1683480</v>
      </c>
      <c r="AV383" s="13">
        <v>9.2323385212727455E-2</v>
      </c>
    </row>
    <row r="384" spans="34:48">
      <c r="AH384" s="26">
        <v>32</v>
      </c>
      <c r="AI384">
        <v>30</v>
      </c>
      <c r="AJ384" s="16">
        <v>6386</v>
      </c>
      <c r="AK384" s="16">
        <v>59146000</v>
      </c>
      <c r="AL384" s="16">
        <v>15488840</v>
      </c>
      <c r="AM384" s="16">
        <v>4425000</v>
      </c>
      <c r="AN384" s="16">
        <v>0</v>
      </c>
      <c r="AO384" s="16">
        <v>19913840</v>
      </c>
      <c r="AP384" s="12">
        <v>11954320</v>
      </c>
      <c r="AQ384" s="313">
        <v>5600000</v>
      </c>
      <c r="AR384" s="123">
        <v>500000</v>
      </c>
      <c r="AS384" s="123">
        <v>0</v>
      </c>
      <c r="AT384" s="12">
        <v>6100000</v>
      </c>
      <c r="AU384" s="12">
        <v>1859520</v>
      </c>
      <c r="AV384" s="13">
        <v>9.3378273602680348E-2</v>
      </c>
    </row>
    <row r="385" spans="34:48">
      <c r="AH385" s="26">
        <v>15</v>
      </c>
      <c r="AI385">
        <v>56</v>
      </c>
      <c r="AJ385" s="16">
        <v>12570</v>
      </c>
      <c r="AK385" s="16">
        <v>114695000</v>
      </c>
      <c r="AL385" s="16">
        <v>24634500</v>
      </c>
      <c r="AM385" s="16">
        <v>8375000</v>
      </c>
      <c r="AN385" s="16">
        <v>3649881.2</v>
      </c>
      <c r="AO385" s="16">
        <v>37659381.200000003</v>
      </c>
      <c r="AP385" s="12">
        <v>28190800</v>
      </c>
      <c r="AQ385" s="313">
        <v>12425000</v>
      </c>
      <c r="AR385" s="123">
        <v>0</v>
      </c>
      <c r="AS385" s="123">
        <v>0</v>
      </c>
      <c r="AT385" s="12">
        <v>12425000</v>
      </c>
      <c r="AU385" s="12">
        <v>-2956418.799999997</v>
      </c>
      <c r="AV385" s="13">
        <v>-7.8504178926869797E-2</v>
      </c>
    </row>
    <row r="386" spans="34:48">
      <c r="AH386" s="26">
        <v>16</v>
      </c>
      <c r="AI386">
        <v>53</v>
      </c>
      <c r="AJ386" s="16">
        <v>12654</v>
      </c>
      <c r="AK386" s="16">
        <v>114435000</v>
      </c>
      <c r="AL386" s="16">
        <v>24652350</v>
      </c>
      <c r="AM386" s="16">
        <v>8175000</v>
      </c>
      <c r="AN386" s="16">
        <v>3649881.2</v>
      </c>
      <c r="AO386" s="16">
        <v>37727231.200000003</v>
      </c>
      <c r="AP386" s="12">
        <v>27272900</v>
      </c>
      <c r="AQ386" s="313">
        <v>12005000</v>
      </c>
      <c r="AR386" s="123">
        <v>0</v>
      </c>
      <c r="AS386" s="123">
        <v>0</v>
      </c>
      <c r="AT386" s="12">
        <v>12005000</v>
      </c>
      <c r="AU386" s="12">
        <v>-1550668.799999997</v>
      </c>
      <c r="AV386" s="13">
        <v>-4.1102109820346344E-2</v>
      </c>
    </row>
    <row r="387" spans="34:48">
      <c r="AH387" s="26">
        <v>17</v>
      </c>
      <c r="AI387">
        <v>51</v>
      </c>
      <c r="AJ387" s="16">
        <v>10873</v>
      </c>
      <c r="AK387" s="16">
        <v>98171000</v>
      </c>
      <c r="AL387" s="16">
        <v>20997960</v>
      </c>
      <c r="AM387" s="16">
        <v>5076000</v>
      </c>
      <c r="AN387" s="16">
        <v>3649881.2</v>
      </c>
      <c r="AO387" s="16">
        <v>30873841.199999999</v>
      </c>
      <c r="AP387" s="12">
        <v>18073400</v>
      </c>
      <c r="AQ387" s="313">
        <v>10710000</v>
      </c>
      <c r="AR387" s="123">
        <v>840000</v>
      </c>
      <c r="AS387" s="123">
        <v>0</v>
      </c>
      <c r="AT387" s="12">
        <v>11550000</v>
      </c>
      <c r="AU387" s="12">
        <v>1250441.1999999993</v>
      </c>
      <c r="AV387" s="13">
        <v>4.0501639944951172E-2</v>
      </c>
    </row>
    <row r="388" spans="34:48">
      <c r="AH388" s="26">
        <v>18</v>
      </c>
      <c r="AI388">
        <v>43</v>
      </c>
      <c r="AJ388" s="16">
        <v>9038</v>
      </c>
      <c r="AK388" s="16">
        <v>81962000</v>
      </c>
      <c r="AL388" s="16">
        <v>17561400</v>
      </c>
      <c r="AM388" s="16">
        <v>8046000</v>
      </c>
      <c r="AN388" s="16">
        <v>3355633.4967741934</v>
      </c>
      <c r="AO388" s="16">
        <v>29563033.496774197</v>
      </c>
      <c r="AP388" s="12">
        <v>9643800</v>
      </c>
      <c r="AQ388" s="313">
        <v>16065000</v>
      </c>
      <c r="AR388" s="123">
        <v>840000</v>
      </c>
      <c r="AS388" s="123">
        <v>0</v>
      </c>
      <c r="AT388" s="12">
        <v>16905000</v>
      </c>
      <c r="AU388" s="12">
        <v>3014233.4967741948</v>
      </c>
      <c r="AV388" s="13">
        <v>0.10195954678003853</v>
      </c>
    </row>
    <row r="389" spans="34:48">
      <c r="AH389" s="26">
        <v>19</v>
      </c>
      <c r="AI389">
        <v>34</v>
      </c>
      <c r="AJ389" s="16">
        <v>6877</v>
      </c>
      <c r="AK389" s="16">
        <v>61698000</v>
      </c>
      <c r="AL389" s="16">
        <v>13367340</v>
      </c>
      <c r="AM389" s="16">
        <v>3528000</v>
      </c>
      <c r="AN389" s="16">
        <v>2222477.4193548388</v>
      </c>
      <c r="AO389" s="16">
        <v>20017817.419354837</v>
      </c>
      <c r="AP389" s="12">
        <v>9129300</v>
      </c>
      <c r="AQ389" s="313">
        <v>7105000</v>
      </c>
      <c r="AR389" s="123">
        <v>840000</v>
      </c>
      <c r="AS389" s="123">
        <v>0</v>
      </c>
      <c r="AT389" s="12">
        <v>7945000</v>
      </c>
      <c r="AU389" s="12">
        <v>2943517.4193548374</v>
      </c>
      <c r="AV389" s="13">
        <v>0.147044872959467</v>
      </c>
    </row>
    <row r="390" spans="34:48">
      <c r="AH390" s="26">
        <v>20</v>
      </c>
      <c r="AI390">
        <v>26</v>
      </c>
      <c r="AJ390" s="16">
        <v>5051</v>
      </c>
      <c r="AK390" s="16">
        <v>45376000</v>
      </c>
      <c r="AL390" s="16">
        <v>9795000</v>
      </c>
      <c r="AM390" s="16">
        <v>2628000</v>
      </c>
      <c r="AN390" s="16">
        <v>2222477.4193548388</v>
      </c>
      <c r="AO390" s="16">
        <v>15045477.419354839</v>
      </c>
      <c r="AP390" s="12">
        <v>6725900</v>
      </c>
      <c r="AQ390" s="313">
        <v>5180000</v>
      </c>
      <c r="AR390" s="123">
        <v>840000</v>
      </c>
      <c r="AS390" s="123">
        <v>0</v>
      </c>
      <c r="AT390" s="12">
        <v>6020000</v>
      </c>
      <c r="AU390" s="12">
        <v>2299577.4193548393</v>
      </c>
      <c r="AV390" s="13">
        <v>0.15284177133499341</v>
      </c>
    </row>
    <row r="391" spans="34:48">
      <c r="AH391" s="26">
        <v>21</v>
      </c>
      <c r="AI391">
        <v>24</v>
      </c>
      <c r="AJ391" s="16">
        <v>5077</v>
      </c>
      <c r="AK391" s="16">
        <v>45828000</v>
      </c>
      <c r="AL391" s="16">
        <v>9864720</v>
      </c>
      <c r="AM391" s="16">
        <v>2682000</v>
      </c>
      <c r="AN391" s="16">
        <v>2222477.4193548388</v>
      </c>
      <c r="AO391" s="16">
        <v>14973397.419354839</v>
      </c>
      <c r="AP391" s="12">
        <v>7059300</v>
      </c>
      <c r="AQ391" s="313">
        <v>5530000</v>
      </c>
      <c r="AR391" s="123">
        <v>840000</v>
      </c>
      <c r="AS391" s="123">
        <v>0</v>
      </c>
      <c r="AT391" s="12">
        <v>6370000</v>
      </c>
      <c r="AU391" s="12">
        <v>1544097.4193548393</v>
      </c>
      <c r="AV391" s="13">
        <v>0.10312271664939018</v>
      </c>
    </row>
    <row r="392" spans="34:48">
      <c r="AH392" s="26">
        <v>22</v>
      </c>
      <c r="AI392">
        <v>24</v>
      </c>
      <c r="AJ392" s="16">
        <v>4657</v>
      </c>
      <c r="AK392" s="16">
        <v>41664000</v>
      </c>
      <c r="AL392" s="16">
        <v>8960040</v>
      </c>
      <c r="AM392" s="16">
        <v>2592000</v>
      </c>
      <c r="AN392" s="16">
        <v>2171380.6451612902</v>
      </c>
      <c r="AO392" s="16">
        <v>13973420.645161288</v>
      </c>
      <c r="AP392" s="12">
        <v>6076300</v>
      </c>
      <c r="AQ392" s="313">
        <v>5110000</v>
      </c>
      <c r="AR392" s="123">
        <v>840000</v>
      </c>
      <c r="AS392" s="123">
        <v>0</v>
      </c>
      <c r="AT392" s="12">
        <v>5950000</v>
      </c>
      <c r="AU392" s="12">
        <v>1947120.6451612881</v>
      </c>
      <c r="AV392" s="13">
        <v>0.13934459532895666</v>
      </c>
    </row>
    <row r="393" spans="34:48">
      <c r="AH393" s="26">
        <v>23</v>
      </c>
      <c r="AI393">
        <v>22</v>
      </c>
      <c r="AJ393" s="16">
        <v>5057</v>
      </c>
      <c r="AK393" s="16">
        <v>45794500</v>
      </c>
      <c r="AL393" s="16">
        <v>9832840</v>
      </c>
      <c r="AM393" s="16">
        <v>4125000</v>
      </c>
      <c r="AN393" s="16">
        <v>1864800</v>
      </c>
      <c r="AO393" s="16">
        <v>15822640</v>
      </c>
      <c r="AP393" s="12">
        <v>6616000</v>
      </c>
      <c r="AQ393" s="313">
        <v>4900000</v>
      </c>
      <c r="AR393" s="123">
        <v>840000</v>
      </c>
      <c r="AS393" s="123">
        <v>0</v>
      </c>
      <c r="AT393" s="12">
        <v>5740000</v>
      </c>
      <c r="AU393" s="12">
        <v>3466640</v>
      </c>
      <c r="AV393" s="13">
        <v>0.21909365314511359</v>
      </c>
    </row>
    <row r="394" spans="34:48">
      <c r="AH394" s="26">
        <v>24</v>
      </c>
      <c r="AI394">
        <v>22</v>
      </c>
      <c r="AJ394" s="16">
        <v>4304</v>
      </c>
      <c r="AK394" s="16">
        <v>38606000</v>
      </c>
      <c r="AL394" s="16">
        <v>10103240</v>
      </c>
      <c r="AM394" s="16">
        <v>4025000</v>
      </c>
      <c r="AN394" s="16">
        <v>0</v>
      </c>
      <c r="AO394" s="16">
        <v>14128240</v>
      </c>
      <c r="AP394" s="12">
        <v>7771840</v>
      </c>
      <c r="AQ394" s="313">
        <v>4305000</v>
      </c>
      <c r="AR394" s="123">
        <v>840000</v>
      </c>
      <c r="AS394" s="123">
        <v>0</v>
      </c>
      <c r="AT394" s="12">
        <v>5145000</v>
      </c>
      <c r="AU394" s="12">
        <v>1211400</v>
      </c>
      <c r="AV394" s="13">
        <v>8.5743164045910883E-2</v>
      </c>
    </row>
    <row r="395" spans="34:48">
      <c r="AH395" s="26">
        <v>25</v>
      </c>
      <c r="AI395">
        <v>28</v>
      </c>
      <c r="AJ395" s="16">
        <v>4587</v>
      </c>
      <c r="AK395" s="16">
        <v>41672000</v>
      </c>
      <c r="AL395" s="16">
        <v>10834720</v>
      </c>
      <c r="AM395" s="16">
        <v>4075000</v>
      </c>
      <c r="AN395" s="16">
        <v>0</v>
      </c>
      <c r="AO395" s="16">
        <v>14984720</v>
      </c>
      <c r="AP395" s="12">
        <v>4268620</v>
      </c>
      <c r="AQ395" s="313">
        <v>4970000</v>
      </c>
      <c r="AR395" s="123">
        <v>840000</v>
      </c>
      <c r="AS395" s="123">
        <v>0</v>
      </c>
      <c r="AT395" s="12">
        <v>5810000</v>
      </c>
      <c r="AU395" s="12">
        <v>4906100</v>
      </c>
      <c r="AV395" s="13">
        <v>0.32740685177967954</v>
      </c>
    </row>
    <row r="396" spans="34:48">
      <c r="AH396" s="26">
        <v>26</v>
      </c>
      <c r="AI396">
        <v>26</v>
      </c>
      <c r="AJ396" s="16">
        <v>4774</v>
      </c>
      <c r="AK396" s="16">
        <v>43492000</v>
      </c>
      <c r="AL396" s="16">
        <v>11307920</v>
      </c>
      <c r="AM396" s="16">
        <v>385000</v>
      </c>
      <c r="AN396" s="16">
        <v>0</v>
      </c>
      <c r="AO396" s="16">
        <v>11717920</v>
      </c>
      <c r="AP396" s="12">
        <v>8815900</v>
      </c>
      <c r="AQ396" s="313">
        <v>4900000</v>
      </c>
      <c r="AR396" s="123">
        <v>840000</v>
      </c>
      <c r="AS396" s="123">
        <v>0</v>
      </c>
      <c r="AT396" s="12">
        <v>5740000</v>
      </c>
      <c r="AU396" s="12">
        <v>-2837980</v>
      </c>
      <c r="AV396" s="13">
        <v>-0.24219144694621572</v>
      </c>
    </row>
    <row r="397" spans="34:48">
      <c r="AH397" s="26">
        <v>27</v>
      </c>
      <c r="AI397">
        <v>25</v>
      </c>
      <c r="AJ397" s="16">
        <v>4279</v>
      </c>
      <c r="AK397" s="16">
        <v>38858000</v>
      </c>
      <c r="AL397" s="16">
        <v>10103080</v>
      </c>
      <c r="AM397" s="16">
        <v>4225000</v>
      </c>
      <c r="AN397" s="16">
        <v>0</v>
      </c>
      <c r="AO397" s="16">
        <v>14403080</v>
      </c>
      <c r="AP397" s="12">
        <v>7613850</v>
      </c>
      <c r="AQ397" s="313">
        <v>4725000</v>
      </c>
      <c r="AR397" s="123">
        <v>840000</v>
      </c>
      <c r="AS397" s="123">
        <v>0</v>
      </c>
      <c r="AT397" s="12">
        <v>5565000</v>
      </c>
      <c r="AU397" s="12">
        <v>1224230</v>
      </c>
      <c r="AV397" s="13">
        <v>8.4997792138903627E-2</v>
      </c>
    </row>
    <row r="398" spans="34:48">
      <c r="AH398" s="26">
        <v>28</v>
      </c>
      <c r="AI398">
        <v>23</v>
      </c>
      <c r="AJ398" s="16">
        <v>5023</v>
      </c>
      <c r="AK398" s="16">
        <v>45836000</v>
      </c>
      <c r="AL398" s="16">
        <v>11917360</v>
      </c>
      <c r="AM398" s="16">
        <v>3675000</v>
      </c>
      <c r="AN398" s="16">
        <v>0</v>
      </c>
      <c r="AO398" s="16">
        <v>15642360</v>
      </c>
      <c r="AP398" s="12">
        <v>9390700</v>
      </c>
      <c r="AQ398" s="313">
        <v>5145000</v>
      </c>
      <c r="AR398" s="123">
        <v>840000</v>
      </c>
      <c r="AS398" s="123">
        <v>0</v>
      </c>
      <c r="AT398" s="12">
        <v>5985000</v>
      </c>
      <c r="AU398" s="12">
        <v>266660</v>
      </c>
      <c r="AV398" s="13">
        <v>1.7047299768065689E-2</v>
      </c>
    </row>
    <row r="399" spans="34:48">
      <c r="AH399" s="26">
        <v>29</v>
      </c>
      <c r="AI399">
        <v>26</v>
      </c>
      <c r="AJ399" s="16">
        <v>4918</v>
      </c>
      <c r="AK399" s="16">
        <v>45002000</v>
      </c>
      <c r="AL399" s="16">
        <v>11700520</v>
      </c>
      <c r="AM399" s="16">
        <v>3975000</v>
      </c>
      <c r="AN399" s="16">
        <v>0</v>
      </c>
      <c r="AO399" s="16">
        <v>15850520</v>
      </c>
      <c r="AP399" s="12">
        <v>9273520</v>
      </c>
      <c r="AQ399" s="313">
        <v>4865000</v>
      </c>
      <c r="AR399" s="123">
        <v>720000</v>
      </c>
      <c r="AS399" s="123">
        <v>0</v>
      </c>
      <c r="AT399" s="12">
        <v>5585000</v>
      </c>
      <c r="AU399" s="12">
        <v>992000</v>
      </c>
      <c r="AV399" s="13">
        <v>6.2584697536736969E-2</v>
      </c>
    </row>
    <row r="400" spans="34:48">
      <c r="AH400" s="26">
        <v>30</v>
      </c>
      <c r="AI400">
        <v>31</v>
      </c>
      <c r="AJ400" s="16">
        <v>4646</v>
      </c>
      <c r="AK400" s="16">
        <v>42336000</v>
      </c>
      <c r="AL400" s="16">
        <v>11007360</v>
      </c>
      <c r="AM400" s="16">
        <v>4550000</v>
      </c>
      <c r="AN400" s="16">
        <v>0</v>
      </c>
      <c r="AO400" s="16">
        <v>15782360</v>
      </c>
      <c r="AP400" s="12">
        <v>8804800</v>
      </c>
      <c r="AQ400" s="313">
        <v>5530000</v>
      </c>
      <c r="AR400" s="123">
        <v>840000</v>
      </c>
      <c r="AS400" s="123">
        <v>0</v>
      </c>
      <c r="AT400" s="12">
        <v>6370000</v>
      </c>
      <c r="AU400" s="12">
        <v>607560</v>
      </c>
      <c r="AV400" s="13">
        <v>3.8496143795984886E-2</v>
      </c>
    </row>
    <row r="401" spans="34:48">
      <c r="AH401" s="26">
        <v>31</v>
      </c>
      <c r="AI401">
        <v>29</v>
      </c>
      <c r="AJ401" s="16">
        <v>5384</v>
      </c>
      <c r="AK401" s="16">
        <v>49593000</v>
      </c>
      <c r="AL401" s="16">
        <v>12992940</v>
      </c>
      <c r="AM401" s="16">
        <v>4550000</v>
      </c>
      <c r="AN401" s="16">
        <v>0</v>
      </c>
      <c r="AO401" s="16">
        <v>17617940</v>
      </c>
      <c r="AP401" s="12">
        <v>7410830</v>
      </c>
      <c r="AQ401" s="313">
        <v>5530000</v>
      </c>
      <c r="AR401" s="123">
        <v>840000</v>
      </c>
      <c r="AS401" s="123">
        <v>0</v>
      </c>
      <c r="AT401" s="12">
        <v>6370000</v>
      </c>
      <c r="AU401" s="12">
        <v>3837110</v>
      </c>
      <c r="AV401" s="13">
        <v>0.21779561061054811</v>
      </c>
    </row>
    <row r="402" spans="34:48">
      <c r="AH402" s="26">
        <v>12026</v>
      </c>
      <c r="AI402">
        <v>18</v>
      </c>
      <c r="AJ402" s="16">
        <v>2298</v>
      </c>
      <c r="AK402" s="16">
        <v>17226200</v>
      </c>
      <c r="AL402" s="16">
        <v>4214460</v>
      </c>
      <c r="AM402" s="16">
        <v>1225000</v>
      </c>
      <c r="AN402" s="16">
        <v>0</v>
      </c>
      <c r="AO402" s="16">
        <v>5439460</v>
      </c>
      <c r="AP402" s="12">
        <v>3204160</v>
      </c>
      <c r="AQ402" s="313">
        <v>1715000</v>
      </c>
      <c r="AR402" s="123">
        <v>600000</v>
      </c>
      <c r="AS402" s="123">
        <v>0</v>
      </c>
      <c r="AT402" s="12">
        <v>2315000</v>
      </c>
      <c r="AU402" s="12">
        <v>-79700</v>
      </c>
      <c r="AV402" s="13">
        <v>-1.4652189739422663E-2</v>
      </c>
    </row>
    <row r="403" spans="34:48">
      <c r="AH403" s="26" t="s">
        <v>181</v>
      </c>
      <c r="AI403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2">
        <v>0</v>
      </c>
      <c r="AQ403" s="313">
        <v>0</v>
      </c>
      <c r="AR403" s="123">
        <v>0</v>
      </c>
      <c r="AS403" s="123">
        <v>0</v>
      </c>
      <c r="AT403" s="12">
        <v>0</v>
      </c>
      <c r="AU403" s="12">
        <v>0</v>
      </c>
      <c r="AV403" s="13">
        <v>0</v>
      </c>
    </row>
    <row r="404" spans="34:48">
      <c r="AH404" s="278" t="s">
        <v>178</v>
      </c>
      <c r="AI404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35">
        <v>0</v>
      </c>
      <c r="AQ404" s="313">
        <v>0</v>
      </c>
      <c r="AR404" s="123">
        <v>0</v>
      </c>
      <c r="AS404" s="123">
        <v>0</v>
      </c>
      <c r="AT404" s="35">
        <v>0</v>
      </c>
      <c r="AU404" s="35">
        <v>0</v>
      </c>
      <c r="AV404" s="13">
        <v>0</v>
      </c>
    </row>
    <row r="405" spans="34:48">
      <c r="AH405" s="278" t="s">
        <v>196</v>
      </c>
      <c r="AI405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35">
        <v>0</v>
      </c>
      <c r="AQ405" s="313">
        <v>0</v>
      </c>
      <c r="AR405" s="123">
        <v>0</v>
      </c>
      <c r="AS405" s="123">
        <v>0</v>
      </c>
      <c r="AT405" s="35">
        <v>0</v>
      </c>
      <c r="AU405" s="35">
        <v>0</v>
      </c>
      <c r="AV405" s="13">
        <v>0</v>
      </c>
    </row>
    <row r="406" spans="34:48">
      <c r="AH406" s="278" t="s">
        <v>170</v>
      </c>
      <c r="AI40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35">
        <v>0</v>
      </c>
      <c r="AQ406" s="313">
        <v>0</v>
      </c>
      <c r="AR406" s="123">
        <v>0</v>
      </c>
      <c r="AS406" s="123">
        <v>0</v>
      </c>
      <c r="AT406" s="35">
        <v>0</v>
      </c>
      <c r="AU406" s="35">
        <v>0</v>
      </c>
      <c r="AV406" s="13">
        <v>0</v>
      </c>
    </row>
    <row r="407" spans="34:48">
      <c r="AH407" s="278" t="s">
        <v>27</v>
      </c>
      <c r="AI407">
        <v>0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35">
        <v>0</v>
      </c>
      <c r="AQ407" s="313">
        <v>0</v>
      </c>
      <c r="AR407" s="123">
        <v>0</v>
      </c>
      <c r="AS407" s="123">
        <v>0</v>
      </c>
      <c r="AT407" s="35">
        <v>0</v>
      </c>
      <c r="AU407" s="35">
        <v>0</v>
      </c>
      <c r="AV407" s="13">
        <v>0</v>
      </c>
    </row>
    <row r="408" spans="34:48">
      <c r="AH408" s="278" t="s">
        <v>203</v>
      </c>
      <c r="AI408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35">
        <v>0</v>
      </c>
      <c r="AQ408" s="313">
        <v>0</v>
      </c>
      <c r="AR408" s="123">
        <v>0</v>
      </c>
      <c r="AS408" s="123">
        <v>0</v>
      </c>
      <c r="AT408" s="35">
        <v>0</v>
      </c>
      <c r="AU408" s="35">
        <v>0</v>
      </c>
      <c r="AV408" s="13">
        <v>0</v>
      </c>
    </row>
    <row r="409" spans="34:48">
      <c r="AH409" s="278" t="s">
        <v>33</v>
      </c>
      <c r="AI409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35">
        <v>0</v>
      </c>
      <c r="AQ409" s="313">
        <v>0</v>
      </c>
      <c r="AR409" s="123">
        <v>0</v>
      </c>
      <c r="AS409" s="123">
        <v>0</v>
      </c>
      <c r="AT409" s="35">
        <v>0</v>
      </c>
      <c r="AU409" s="35">
        <v>0</v>
      </c>
      <c r="AV409" s="13">
        <v>0</v>
      </c>
    </row>
    <row r="410" spans="34:48">
      <c r="AH410" s="278" t="s">
        <v>204</v>
      </c>
      <c r="AI410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35">
        <v>0</v>
      </c>
      <c r="AQ410" s="313">
        <v>0</v>
      </c>
      <c r="AR410" s="123">
        <v>0</v>
      </c>
      <c r="AS410" s="123">
        <v>0</v>
      </c>
      <c r="AT410" s="35">
        <v>0</v>
      </c>
      <c r="AU410" s="35">
        <v>0</v>
      </c>
      <c r="AV410" s="13">
        <v>0</v>
      </c>
    </row>
    <row r="411" spans="34:48">
      <c r="AH411" s="278" t="s">
        <v>171</v>
      </c>
      <c r="AI411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35">
        <v>0</v>
      </c>
      <c r="AQ411" s="313">
        <v>0</v>
      </c>
      <c r="AR411" s="123">
        <v>0</v>
      </c>
      <c r="AS411" s="123">
        <v>0</v>
      </c>
      <c r="AT411" s="35">
        <v>0</v>
      </c>
      <c r="AU411" s="35">
        <v>0</v>
      </c>
      <c r="AV411" s="13">
        <v>0</v>
      </c>
    </row>
    <row r="412" spans="34:48">
      <c r="AH412" s="278" t="s">
        <v>175</v>
      </c>
      <c r="AI412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35">
        <v>0</v>
      </c>
      <c r="AQ412" s="313">
        <v>0</v>
      </c>
      <c r="AR412" s="123">
        <v>0</v>
      </c>
      <c r="AS412" s="123">
        <v>0</v>
      </c>
      <c r="AT412" s="35">
        <v>0</v>
      </c>
      <c r="AU412" s="35">
        <v>0</v>
      </c>
      <c r="AV412" s="13">
        <v>0</v>
      </c>
    </row>
    <row r="413" spans="34:48">
      <c r="AH413" s="278" t="s">
        <v>199</v>
      </c>
      <c r="AI413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35">
        <v>0</v>
      </c>
      <c r="AQ413" s="313">
        <v>0</v>
      </c>
      <c r="AR413" s="123">
        <v>0</v>
      </c>
      <c r="AS413" s="123">
        <v>0</v>
      </c>
      <c r="AT413" s="35">
        <v>0</v>
      </c>
      <c r="AU413" s="35">
        <v>0</v>
      </c>
      <c r="AV413" s="13">
        <v>0</v>
      </c>
    </row>
    <row r="414" spans="34:48">
      <c r="AH414" s="278" t="s">
        <v>176</v>
      </c>
      <c r="AI414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35">
        <v>0</v>
      </c>
      <c r="AQ414" s="313">
        <v>0</v>
      </c>
      <c r="AR414" s="123">
        <v>0</v>
      </c>
      <c r="AS414" s="123">
        <v>0</v>
      </c>
      <c r="AT414" s="35">
        <v>0</v>
      </c>
      <c r="AU414" s="35">
        <v>0</v>
      </c>
      <c r="AV414" s="13">
        <v>0</v>
      </c>
    </row>
    <row r="415" spans="34:48">
      <c r="AH415" s="278" t="s">
        <v>29</v>
      </c>
      <c r="AI415">
        <v>0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0</v>
      </c>
      <c r="AP415" s="35">
        <v>0</v>
      </c>
      <c r="AQ415" s="313">
        <v>0</v>
      </c>
      <c r="AR415" s="123">
        <v>0</v>
      </c>
      <c r="AS415" s="123">
        <v>0</v>
      </c>
      <c r="AT415" s="35">
        <v>0</v>
      </c>
      <c r="AU415" s="35">
        <v>0</v>
      </c>
      <c r="AV415" s="13">
        <v>0</v>
      </c>
    </row>
    <row r="416" spans="34:48">
      <c r="AH416" s="278" t="s">
        <v>177</v>
      </c>
      <c r="AI416">
        <v>0</v>
      </c>
      <c r="AJ416" s="16">
        <v>0</v>
      </c>
      <c r="AK416" s="16">
        <v>0</v>
      </c>
      <c r="AL416" s="16">
        <v>0</v>
      </c>
      <c r="AM416" s="16">
        <v>0</v>
      </c>
      <c r="AN416" s="16">
        <v>0</v>
      </c>
      <c r="AO416" s="16">
        <v>0</v>
      </c>
      <c r="AP416" s="35">
        <v>0</v>
      </c>
      <c r="AQ416" s="313">
        <v>0</v>
      </c>
      <c r="AR416" s="123">
        <v>0</v>
      </c>
      <c r="AS416" s="123">
        <v>0</v>
      </c>
      <c r="AT416" s="35">
        <v>0</v>
      </c>
      <c r="AU416" s="35">
        <v>0</v>
      </c>
      <c r="AV416" s="13">
        <v>0</v>
      </c>
    </row>
    <row r="417" spans="34:48">
      <c r="AH417" s="278" t="s">
        <v>23</v>
      </c>
      <c r="AI417">
        <v>0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35">
        <v>0</v>
      </c>
      <c r="AQ417" s="313">
        <v>0</v>
      </c>
      <c r="AR417" s="123">
        <v>0</v>
      </c>
      <c r="AS417" s="123">
        <v>0</v>
      </c>
      <c r="AT417" s="35">
        <v>0</v>
      </c>
      <c r="AU417" s="35">
        <v>0</v>
      </c>
      <c r="AV417" s="13">
        <v>0</v>
      </c>
    </row>
    <row r="418" spans="34:48">
      <c r="AH418" s="278" t="s">
        <v>202</v>
      </c>
      <c r="AI418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35">
        <v>0</v>
      </c>
      <c r="AQ418" s="313">
        <v>0</v>
      </c>
      <c r="AR418" s="123">
        <v>0</v>
      </c>
      <c r="AS418" s="123">
        <v>0</v>
      </c>
      <c r="AT418" s="35">
        <v>0</v>
      </c>
      <c r="AU418" s="35">
        <v>0</v>
      </c>
      <c r="AV418" s="13">
        <v>0</v>
      </c>
    </row>
    <row r="419" spans="34:48">
      <c r="AH419" s="278" t="s">
        <v>200</v>
      </c>
      <c r="AI419">
        <v>0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35">
        <v>0</v>
      </c>
      <c r="AQ419" s="313">
        <v>0</v>
      </c>
      <c r="AR419" s="123">
        <v>0</v>
      </c>
      <c r="AS419" s="123">
        <v>0</v>
      </c>
      <c r="AT419" s="35">
        <v>0</v>
      </c>
      <c r="AU419" s="35">
        <v>0</v>
      </c>
      <c r="AV419" s="13">
        <v>0</v>
      </c>
    </row>
    <row r="420" spans="34:48">
      <c r="AH420" s="278" t="s">
        <v>34</v>
      </c>
      <c r="AI420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35">
        <v>0</v>
      </c>
      <c r="AQ420" s="313">
        <v>0</v>
      </c>
      <c r="AR420" s="123">
        <v>0</v>
      </c>
      <c r="AS420" s="123">
        <v>0</v>
      </c>
      <c r="AT420" s="35">
        <v>0</v>
      </c>
      <c r="AU420" s="35">
        <v>0</v>
      </c>
      <c r="AV420" s="13">
        <v>0</v>
      </c>
    </row>
    <row r="421" spans="34:48">
      <c r="AH421" s="278" t="s">
        <v>201</v>
      </c>
      <c r="AI421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35">
        <v>0</v>
      </c>
      <c r="AQ421" s="313">
        <v>0</v>
      </c>
      <c r="AR421" s="123">
        <v>0</v>
      </c>
      <c r="AS421" s="123">
        <v>0</v>
      </c>
      <c r="AT421" s="35">
        <v>0</v>
      </c>
      <c r="AU421" s="35">
        <v>0</v>
      </c>
      <c r="AV421" s="13">
        <v>0</v>
      </c>
    </row>
    <row r="422" spans="34:48">
      <c r="AH422" s="26" t="s">
        <v>182</v>
      </c>
      <c r="AI422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2">
        <v>0</v>
      </c>
      <c r="AQ422" s="313">
        <v>0</v>
      </c>
      <c r="AR422" s="123">
        <v>0</v>
      </c>
      <c r="AS422" s="123">
        <v>0</v>
      </c>
      <c r="AT422" s="12">
        <v>0</v>
      </c>
      <c r="AU422" s="12">
        <v>0</v>
      </c>
      <c r="AV422" s="13">
        <v>0</v>
      </c>
    </row>
    <row r="423" spans="34:48">
      <c r="AH423" s="278" t="s">
        <v>178</v>
      </c>
      <c r="AI423">
        <v>0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0</v>
      </c>
      <c r="AP423" s="35">
        <v>0</v>
      </c>
      <c r="AQ423" s="313">
        <v>0</v>
      </c>
      <c r="AR423" s="123">
        <v>0</v>
      </c>
      <c r="AS423" s="123">
        <v>0</v>
      </c>
      <c r="AT423" s="35">
        <v>0</v>
      </c>
      <c r="AU423" s="35">
        <v>0</v>
      </c>
      <c r="AV423" s="13">
        <v>0</v>
      </c>
    </row>
    <row r="424" spans="34:48">
      <c r="AH424" s="278" t="s">
        <v>196</v>
      </c>
      <c r="AI424">
        <v>0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35">
        <v>0</v>
      </c>
      <c r="AQ424" s="313">
        <v>0</v>
      </c>
      <c r="AR424" s="123">
        <v>0</v>
      </c>
      <c r="AS424" s="123">
        <v>0</v>
      </c>
      <c r="AT424" s="35">
        <v>0</v>
      </c>
      <c r="AU424" s="35">
        <v>0</v>
      </c>
      <c r="AV424" s="13">
        <v>0</v>
      </c>
    </row>
    <row r="425" spans="34:48">
      <c r="AH425" s="278" t="s">
        <v>170</v>
      </c>
      <c r="AI425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35">
        <v>0</v>
      </c>
      <c r="AQ425" s="313">
        <v>0</v>
      </c>
      <c r="AR425" s="123">
        <v>0</v>
      </c>
      <c r="AS425" s="123">
        <v>0</v>
      </c>
      <c r="AT425" s="35">
        <v>0</v>
      </c>
      <c r="AU425" s="35">
        <v>0</v>
      </c>
      <c r="AV425" s="13">
        <v>0</v>
      </c>
    </row>
    <row r="426" spans="34:48">
      <c r="AH426" s="278" t="s">
        <v>27</v>
      </c>
      <c r="AI42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35">
        <v>0</v>
      </c>
      <c r="AQ426" s="313">
        <v>0</v>
      </c>
      <c r="AR426" s="123">
        <v>0</v>
      </c>
      <c r="AS426" s="123">
        <v>0</v>
      </c>
      <c r="AT426" s="35">
        <v>0</v>
      </c>
      <c r="AU426" s="35">
        <v>0</v>
      </c>
      <c r="AV426" s="13">
        <v>0</v>
      </c>
    </row>
    <row r="427" spans="34:48">
      <c r="AH427" s="278" t="s">
        <v>203</v>
      </c>
      <c r="AI427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35">
        <v>0</v>
      </c>
      <c r="AQ427" s="313">
        <v>0</v>
      </c>
      <c r="AR427" s="123">
        <v>0</v>
      </c>
      <c r="AS427" s="123">
        <v>0</v>
      </c>
      <c r="AT427" s="35">
        <v>0</v>
      </c>
      <c r="AU427" s="35">
        <v>0</v>
      </c>
      <c r="AV427" s="13">
        <v>0</v>
      </c>
    </row>
    <row r="428" spans="34:48">
      <c r="AH428" s="278" t="s">
        <v>33</v>
      </c>
      <c r="AI428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35">
        <v>0</v>
      </c>
      <c r="AQ428" s="313">
        <v>0</v>
      </c>
      <c r="AR428" s="123">
        <v>0</v>
      </c>
      <c r="AS428" s="123">
        <v>0</v>
      </c>
      <c r="AT428" s="35">
        <v>0</v>
      </c>
      <c r="AU428" s="35">
        <v>0</v>
      </c>
      <c r="AV428" s="13">
        <v>0</v>
      </c>
    </row>
    <row r="429" spans="34:48">
      <c r="AH429" s="278" t="s">
        <v>204</v>
      </c>
      <c r="AI429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35">
        <v>0</v>
      </c>
      <c r="AQ429" s="313">
        <v>0</v>
      </c>
      <c r="AR429" s="123">
        <v>0</v>
      </c>
      <c r="AS429" s="123">
        <v>0</v>
      </c>
      <c r="AT429" s="35">
        <v>0</v>
      </c>
      <c r="AU429" s="35">
        <v>0</v>
      </c>
      <c r="AV429" s="13">
        <v>0</v>
      </c>
    </row>
    <row r="430" spans="34:48">
      <c r="AH430" s="278" t="s">
        <v>171</v>
      </c>
      <c r="AI430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35">
        <v>0</v>
      </c>
      <c r="AQ430" s="313">
        <v>0</v>
      </c>
      <c r="AR430" s="123">
        <v>0</v>
      </c>
      <c r="AS430" s="123">
        <v>0</v>
      </c>
      <c r="AT430" s="35">
        <v>0</v>
      </c>
      <c r="AU430" s="35">
        <v>0</v>
      </c>
      <c r="AV430" s="13">
        <v>0</v>
      </c>
    </row>
    <row r="431" spans="34:48">
      <c r="AH431" s="278" t="s">
        <v>175</v>
      </c>
      <c r="AI431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35">
        <v>0</v>
      </c>
      <c r="AQ431" s="313">
        <v>0</v>
      </c>
      <c r="AR431" s="123">
        <v>0</v>
      </c>
      <c r="AS431" s="123">
        <v>0</v>
      </c>
      <c r="AT431" s="35">
        <v>0</v>
      </c>
      <c r="AU431" s="35">
        <v>0</v>
      </c>
      <c r="AV431" s="13">
        <v>0</v>
      </c>
    </row>
    <row r="432" spans="34:48">
      <c r="AH432" s="278" t="s">
        <v>199</v>
      </c>
      <c r="AI432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35">
        <v>0</v>
      </c>
      <c r="AQ432" s="313">
        <v>0</v>
      </c>
      <c r="AR432" s="123">
        <v>0</v>
      </c>
      <c r="AS432" s="123">
        <v>0</v>
      </c>
      <c r="AT432" s="35">
        <v>0</v>
      </c>
      <c r="AU432" s="35">
        <v>0</v>
      </c>
      <c r="AV432" s="13">
        <v>0</v>
      </c>
    </row>
    <row r="433" spans="34:48">
      <c r="AH433" s="278" t="s">
        <v>176</v>
      </c>
      <c r="AI433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35">
        <v>0</v>
      </c>
      <c r="AQ433" s="313">
        <v>0</v>
      </c>
      <c r="AR433" s="123">
        <v>0</v>
      </c>
      <c r="AS433" s="123">
        <v>0</v>
      </c>
      <c r="AT433" s="35">
        <v>0</v>
      </c>
      <c r="AU433" s="35">
        <v>0</v>
      </c>
      <c r="AV433" s="13">
        <v>0</v>
      </c>
    </row>
    <row r="434" spans="34:48">
      <c r="AH434" s="278" t="s">
        <v>29</v>
      </c>
      <c r="AI434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35">
        <v>0</v>
      </c>
      <c r="AQ434" s="313">
        <v>0</v>
      </c>
      <c r="AR434" s="123">
        <v>0</v>
      </c>
      <c r="AS434" s="123">
        <v>0</v>
      </c>
      <c r="AT434" s="35">
        <v>0</v>
      </c>
      <c r="AU434" s="35">
        <v>0</v>
      </c>
      <c r="AV434" s="13">
        <v>0</v>
      </c>
    </row>
    <row r="435" spans="34:48">
      <c r="AH435" s="278" t="s">
        <v>177</v>
      </c>
      <c r="AI435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35">
        <v>0</v>
      </c>
      <c r="AQ435" s="313">
        <v>0</v>
      </c>
      <c r="AR435" s="123">
        <v>0</v>
      </c>
      <c r="AS435" s="123">
        <v>0</v>
      </c>
      <c r="AT435" s="35">
        <v>0</v>
      </c>
      <c r="AU435" s="35">
        <v>0</v>
      </c>
      <c r="AV435" s="13">
        <v>0</v>
      </c>
    </row>
    <row r="436" spans="34:48">
      <c r="AH436" s="278" t="s">
        <v>23</v>
      </c>
      <c r="AI43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35">
        <v>0</v>
      </c>
      <c r="AQ436" s="313">
        <v>0</v>
      </c>
      <c r="AR436" s="123">
        <v>0</v>
      </c>
      <c r="AS436" s="123">
        <v>0</v>
      </c>
      <c r="AT436" s="35">
        <v>0</v>
      </c>
      <c r="AU436" s="35">
        <v>0</v>
      </c>
      <c r="AV436" s="13">
        <v>0</v>
      </c>
    </row>
    <row r="437" spans="34:48">
      <c r="AH437" s="278" t="s">
        <v>202</v>
      </c>
      <c r="AI437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35">
        <v>0</v>
      </c>
      <c r="AQ437" s="313">
        <v>0</v>
      </c>
      <c r="AR437" s="123">
        <v>0</v>
      </c>
      <c r="AS437" s="123">
        <v>0</v>
      </c>
      <c r="AT437" s="35">
        <v>0</v>
      </c>
      <c r="AU437" s="35">
        <v>0</v>
      </c>
      <c r="AV437" s="13">
        <v>0</v>
      </c>
    </row>
    <row r="438" spans="34:48">
      <c r="AH438" s="278" t="s">
        <v>200</v>
      </c>
      <c r="AI438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35">
        <v>0</v>
      </c>
      <c r="AQ438" s="313">
        <v>0</v>
      </c>
      <c r="AR438" s="123">
        <v>0</v>
      </c>
      <c r="AS438" s="123">
        <v>0</v>
      </c>
      <c r="AT438" s="35">
        <v>0</v>
      </c>
      <c r="AU438" s="35">
        <v>0</v>
      </c>
      <c r="AV438" s="13">
        <v>0</v>
      </c>
    </row>
    <row r="439" spans="34:48">
      <c r="AH439" s="278" t="s">
        <v>34</v>
      </c>
      <c r="AI439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0</v>
      </c>
      <c r="AO439" s="16">
        <v>0</v>
      </c>
      <c r="AP439" s="35">
        <v>0</v>
      </c>
      <c r="AQ439" s="313">
        <v>0</v>
      </c>
      <c r="AR439" s="123">
        <v>0</v>
      </c>
      <c r="AS439" s="123">
        <v>0</v>
      </c>
      <c r="AT439" s="35">
        <v>0</v>
      </c>
      <c r="AU439" s="35">
        <v>0</v>
      </c>
      <c r="AV439" s="13">
        <v>0</v>
      </c>
    </row>
    <row r="440" spans="34:48">
      <c r="AH440" s="278" t="s">
        <v>201</v>
      </c>
      <c r="AI440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35">
        <v>0</v>
      </c>
      <c r="AQ440" s="313">
        <v>0</v>
      </c>
      <c r="AR440" s="123">
        <v>0</v>
      </c>
      <c r="AS440" s="123">
        <v>0</v>
      </c>
      <c r="AT440" s="35">
        <v>0</v>
      </c>
      <c r="AU440" s="35">
        <v>0</v>
      </c>
      <c r="AV440" s="13">
        <v>0</v>
      </c>
    </row>
    <row r="441" spans="34:48">
      <c r="AH441" s="11" t="s">
        <v>283</v>
      </c>
      <c r="AI441">
        <v>5</v>
      </c>
      <c r="AJ441" s="16">
        <v>755</v>
      </c>
      <c r="AK441" s="16">
        <v>3464000</v>
      </c>
      <c r="AL441" s="16">
        <v>3464000</v>
      </c>
      <c r="AM441" s="16">
        <v>0</v>
      </c>
      <c r="AN441" s="16">
        <v>0</v>
      </c>
      <c r="AO441" s="16">
        <v>3464000</v>
      </c>
      <c r="AP441" s="12">
        <v>3572800</v>
      </c>
      <c r="AQ441" s="313">
        <v>0</v>
      </c>
      <c r="AR441" s="123">
        <v>4400000</v>
      </c>
      <c r="AS441" s="123">
        <v>1165000</v>
      </c>
      <c r="AT441" s="12">
        <v>5565000</v>
      </c>
      <c r="AU441" s="12">
        <v>-5673800</v>
      </c>
      <c r="AV441" s="13">
        <v>-1.6379330254041571</v>
      </c>
    </row>
    <row r="442" spans="34:48">
      <c r="AH442" s="26">
        <v>40</v>
      </c>
      <c r="AI442">
        <v>3</v>
      </c>
      <c r="AJ442" s="16">
        <v>44</v>
      </c>
      <c r="AK442" s="16">
        <v>144000</v>
      </c>
      <c r="AL442" s="16">
        <v>144000</v>
      </c>
      <c r="AM442" s="16">
        <v>0</v>
      </c>
      <c r="AN442" s="16">
        <v>0</v>
      </c>
      <c r="AO442" s="16">
        <v>144000</v>
      </c>
      <c r="AP442" s="12">
        <v>118800</v>
      </c>
      <c r="AQ442" s="313">
        <v>0</v>
      </c>
      <c r="AR442" s="123">
        <v>100000</v>
      </c>
      <c r="AS442" s="123">
        <v>0</v>
      </c>
      <c r="AT442" s="12">
        <v>100000</v>
      </c>
      <c r="AU442" s="12">
        <v>-74800</v>
      </c>
      <c r="AV442" s="13">
        <v>-0.51944444444444449</v>
      </c>
    </row>
    <row r="443" spans="34:48">
      <c r="AH443" s="26">
        <v>39</v>
      </c>
      <c r="AI443">
        <v>5</v>
      </c>
      <c r="AJ443" s="16">
        <v>130</v>
      </c>
      <c r="AK443" s="16">
        <v>851000</v>
      </c>
      <c r="AL443" s="16">
        <v>851000</v>
      </c>
      <c r="AM443" s="16">
        <v>0</v>
      </c>
      <c r="AN443" s="16">
        <v>0</v>
      </c>
      <c r="AO443" s="16">
        <v>851000</v>
      </c>
      <c r="AP443" s="12">
        <v>950200</v>
      </c>
      <c r="AQ443" s="313">
        <v>0</v>
      </c>
      <c r="AR443" s="123">
        <v>410000</v>
      </c>
      <c r="AS443" s="123">
        <v>230000</v>
      </c>
      <c r="AT443" s="12">
        <v>640000</v>
      </c>
      <c r="AU443" s="12">
        <v>-739200</v>
      </c>
      <c r="AV443" s="13">
        <v>-0.86862514688601644</v>
      </c>
    </row>
    <row r="444" spans="34:48">
      <c r="AH444" s="26">
        <v>38</v>
      </c>
      <c r="AI444">
        <v>4</v>
      </c>
      <c r="AJ444" s="16">
        <v>112</v>
      </c>
      <c r="AK444" s="16">
        <v>429000</v>
      </c>
      <c r="AL444" s="16">
        <v>429000</v>
      </c>
      <c r="AM444" s="16">
        <v>0</v>
      </c>
      <c r="AN444" s="16">
        <v>0</v>
      </c>
      <c r="AO444" s="16">
        <v>429000</v>
      </c>
      <c r="AP444" s="12">
        <v>565800</v>
      </c>
      <c r="AQ444" s="313">
        <v>0</v>
      </c>
      <c r="AR444" s="123">
        <v>350000</v>
      </c>
      <c r="AS444" s="123">
        <v>475000</v>
      </c>
      <c r="AT444" s="12">
        <v>825000</v>
      </c>
      <c r="AU444" s="12">
        <v>-961800</v>
      </c>
      <c r="AV444" s="13">
        <v>-2.2419580419580418</v>
      </c>
    </row>
    <row r="445" spans="34:48">
      <c r="AH445" s="26">
        <v>37</v>
      </c>
      <c r="AI445">
        <v>4</v>
      </c>
      <c r="AJ445" s="16">
        <v>112</v>
      </c>
      <c r="AK445" s="16">
        <v>429000</v>
      </c>
      <c r="AL445" s="16">
        <v>429000</v>
      </c>
      <c r="AM445" s="16">
        <v>0</v>
      </c>
      <c r="AN445" s="16">
        <v>0</v>
      </c>
      <c r="AO445" s="16">
        <v>429000</v>
      </c>
      <c r="AP445" s="12">
        <v>565800</v>
      </c>
      <c r="AQ445" s="313">
        <v>0</v>
      </c>
      <c r="AR445" s="123">
        <v>740000</v>
      </c>
      <c r="AS445" s="123">
        <v>0</v>
      </c>
      <c r="AT445" s="12">
        <v>740000</v>
      </c>
      <c r="AU445" s="12">
        <v>-876800</v>
      </c>
      <c r="AV445" s="13">
        <v>-2.0438228438228436</v>
      </c>
    </row>
    <row r="446" spans="34:48">
      <c r="AH446" s="26">
        <v>36</v>
      </c>
      <c r="AI446">
        <v>3</v>
      </c>
      <c r="AJ446" s="16">
        <v>112</v>
      </c>
      <c r="AK446" s="16">
        <v>486000</v>
      </c>
      <c r="AL446" s="16">
        <v>486000</v>
      </c>
      <c r="AM446" s="16">
        <v>0</v>
      </c>
      <c r="AN446" s="16">
        <v>0</v>
      </c>
      <c r="AO446" s="16">
        <v>486000</v>
      </c>
      <c r="AP446" s="12">
        <v>547200</v>
      </c>
      <c r="AQ446" s="313">
        <v>0</v>
      </c>
      <c r="AR446" s="123">
        <v>700000</v>
      </c>
      <c r="AS446" s="123">
        <v>0</v>
      </c>
      <c r="AT446" s="12">
        <v>700000</v>
      </c>
      <c r="AU446" s="12">
        <v>-761200</v>
      </c>
      <c r="AV446" s="13">
        <v>-1.5662551440329218</v>
      </c>
    </row>
    <row r="447" spans="34:48">
      <c r="AH447" s="26">
        <v>35</v>
      </c>
      <c r="AI447">
        <v>2</v>
      </c>
      <c r="AJ447" s="16">
        <v>92</v>
      </c>
      <c r="AK447" s="16">
        <v>360000</v>
      </c>
      <c r="AL447" s="16">
        <v>360000</v>
      </c>
      <c r="AM447" s="16">
        <v>0</v>
      </c>
      <c r="AN447" s="16">
        <v>0</v>
      </c>
      <c r="AO447" s="16">
        <v>360000</v>
      </c>
      <c r="AP447" s="12">
        <v>282000</v>
      </c>
      <c r="AQ447" s="313">
        <v>0</v>
      </c>
      <c r="AR447" s="123">
        <v>700000</v>
      </c>
      <c r="AS447" s="123">
        <v>0</v>
      </c>
      <c r="AT447" s="12">
        <v>700000</v>
      </c>
      <c r="AU447" s="12">
        <v>-622000</v>
      </c>
      <c r="AV447" s="13">
        <v>-1.7277777777777779</v>
      </c>
    </row>
    <row r="448" spans="34:48">
      <c r="AH448" s="26">
        <v>34</v>
      </c>
      <c r="AI448">
        <v>2</v>
      </c>
      <c r="AJ448" s="16">
        <v>73</v>
      </c>
      <c r="AK448" s="16">
        <v>268000</v>
      </c>
      <c r="AL448" s="16">
        <v>268000</v>
      </c>
      <c r="AM448" s="16">
        <v>0</v>
      </c>
      <c r="AN448" s="16">
        <v>0</v>
      </c>
      <c r="AO448" s="16">
        <v>268000</v>
      </c>
      <c r="AP448" s="12">
        <v>263600</v>
      </c>
      <c r="AQ448" s="313">
        <v>0</v>
      </c>
      <c r="AR448" s="123">
        <v>700000</v>
      </c>
      <c r="AS448" s="123">
        <v>0</v>
      </c>
      <c r="AT448" s="12">
        <v>700000</v>
      </c>
      <c r="AU448" s="12">
        <v>-695600</v>
      </c>
      <c r="AV448" s="13">
        <v>-2.5955223880597016</v>
      </c>
    </row>
    <row r="449" spans="34:48">
      <c r="AH449" s="26">
        <v>33</v>
      </c>
      <c r="AI449">
        <v>2</v>
      </c>
      <c r="AJ449" s="16">
        <v>80</v>
      </c>
      <c r="AK449" s="16">
        <v>497000</v>
      </c>
      <c r="AL449" s="16">
        <v>497000</v>
      </c>
      <c r="AM449" s="16">
        <v>0</v>
      </c>
      <c r="AN449" s="16">
        <v>0</v>
      </c>
      <c r="AO449" s="16">
        <v>497000</v>
      </c>
      <c r="AP449" s="12">
        <v>279400</v>
      </c>
      <c r="AQ449" s="313">
        <v>0</v>
      </c>
      <c r="AR449" s="123">
        <v>700000</v>
      </c>
      <c r="AS449" s="123">
        <v>460000</v>
      </c>
      <c r="AT449" s="12">
        <v>1160000</v>
      </c>
      <c r="AU449" s="12">
        <v>-942400</v>
      </c>
      <c r="AV449" s="13">
        <v>-1.8961770623742455</v>
      </c>
    </row>
    <row r="450" spans="34:48">
      <c r="AH450" s="26" t="s">
        <v>181</v>
      </c>
      <c r="AI450">
        <v>0</v>
      </c>
      <c r="AJ450" s="16">
        <v>0</v>
      </c>
      <c r="AK450" s="16">
        <v>0</v>
      </c>
      <c r="AL450" s="16">
        <v>0</v>
      </c>
      <c r="AM450" s="16">
        <v>0</v>
      </c>
      <c r="AN450" s="16">
        <v>0</v>
      </c>
      <c r="AO450" s="16">
        <v>0</v>
      </c>
      <c r="AP450" s="12">
        <v>0</v>
      </c>
      <c r="AQ450" s="313">
        <v>0</v>
      </c>
      <c r="AR450" s="123">
        <v>0</v>
      </c>
      <c r="AS450" s="123">
        <v>0</v>
      </c>
      <c r="AT450" s="12">
        <v>0</v>
      </c>
      <c r="AU450" s="12">
        <v>0</v>
      </c>
      <c r="AV450" s="13">
        <v>0</v>
      </c>
    </row>
    <row r="451" spans="34:48">
      <c r="AH451" s="278" t="s">
        <v>178</v>
      </c>
      <c r="AI451">
        <v>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35">
        <v>0</v>
      </c>
      <c r="AQ451" s="313">
        <v>0</v>
      </c>
      <c r="AR451" s="123">
        <v>0</v>
      </c>
      <c r="AS451" s="123">
        <v>0</v>
      </c>
      <c r="AT451" s="35">
        <v>0</v>
      </c>
      <c r="AU451" s="35">
        <v>0</v>
      </c>
      <c r="AV451" s="13">
        <v>0</v>
      </c>
    </row>
    <row r="452" spans="34:48">
      <c r="AH452" s="278" t="s">
        <v>196</v>
      </c>
      <c r="AI452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35">
        <v>0</v>
      </c>
      <c r="AQ452" s="313">
        <v>0</v>
      </c>
      <c r="AR452" s="123">
        <v>0</v>
      </c>
      <c r="AS452" s="123">
        <v>0</v>
      </c>
      <c r="AT452" s="35">
        <v>0</v>
      </c>
      <c r="AU452" s="35">
        <v>0</v>
      </c>
      <c r="AV452" s="13">
        <v>0</v>
      </c>
    </row>
    <row r="453" spans="34:48">
      <c r="AH453" s="278" t="s">
        <v>170</v>
      </c>
      <c r="AI453">
        <v>0</v>
      </c>
      <c r="AJ453" s="16">
        <v>0</v>
      </c>
      <c r="AK453" s="16">
        <v>0</v>
      </c>
      <c r="AL453" s="16">
        <v>0</v>
      </c>
      <c r="AM453" s="16">
        <v>0</v>
      </c>
      <c r="AN453" s="16">
        <v>0</v>
      </c>
      <c r="AO453" s="16">
        <v>0</v>
      </c>
      <c r="AP453" s="35">
        <v>0</v>
      </c>
      <c r="AQ453" s="313">
        <v>0</v>
      </c>
      <c r="AR453" s="123">
        <v>0</v>
      </c>
      <c r="AS453" s="123">
        <v>0</v>
      </c>
      <c r="AT453" s="35">
        <v>0</v>
      </c>
      <c r="AU453" s="35">
        <v>0</v>
      </c>
      <c r="AV453" s="13">
        <v>0</v>
      </c>
    </row>
    <row r="454" spans="34:48">
      <c r="AH454" s="278" t="s">
        <v>27</v>
      </c>
      <c r="AI454">
        <v>0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0</v>
      </c>
      <c r="AP454" s="35">
        <v>0</v>
      </c>
      <c r="AQ454" s="313">
        <v>0</v>
      </c>
      <c r="AR454" s="123">
        <v>0</v>
      </c>
      <c r="AS454" s="123">
        <v>0</v>
      </c>
      <c r="AT454" s="35">
        <v>0</v>
      </c>
      <c r="AU454" s="35">
        <v>0</v>
      </c>
      <c r="AV454" s="13">
        <v>0</v>
      </c>
    </row>
    <row r="455" spans="34:48">
      <c r="AH455" s="278" t="s">
        <v>203</v>
      </c>
      <c r="AI455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35">
        <v>0</v>
      </c>
      <c r="AQ455" s="313">
        <v>0</v>
      </c>
      <c r="AR455" s="123">
        <v>0</v>
      </c>
      <c r="AS455" s="123">
        <v>0</v>
      </c>
      <c r="AT455" s="35">
        <v>0</v>
      </c>
      <c r="AU455" s="35">
        <v>0</v>
      </c>
      <c r="AV455" s="13">
        <v>0</v>
      </c>
    </row>
    <row r="456" spans="34:48">
      <c r="AH456" s="278" t="s">
        <v>33</v>
      </c>
      <c r="AI456">
        <v>0</v>
      </c>
      <c r="AJ456" s="16">
        <v>0</v>
      </c>
      <c r="AK456" s="16">
        <v>0</v>
      </c>
      <c r="AL456" s="16">
        <v>0</v>
      </c>
      <c r="AM456" s="16">
        <v>0</v>
      </c>
      <c r="AN456" s="16">
        <v>0</v>
      </c>
      <c r="AO456" s="16">
        <v>0</v>
      </c>
      <c r="AP456" s="35">
        <v>0</v>
      </c>
      <c r="AQ456" s="313">
        <v>0</v>
      </c>
      <c r="AR456" s="123">
        <v>0</v>
      </c>
      <c r="AS456" s="123">
        <v>0</v>
      </c>
      <c r="AT456" s="35">
        <v>0</v>
      </c>
      <c r="AU456" s="35">
        <v>0</v>
      </c>
      <c r="AV456" s="13">
        <v>0</v>
      </c>
    </row>
    <row r="457" spans="34:48">
      <c r="AH457" s="278" t="s">
        <v>204</v>
      </c>
      <c r="AI457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35">
        <v>0</v>
      </c>
      <c r="AQ457" s="313">
        <v>0</v>
      </c>
      <c r="AR457" s="123">
        <v>0</v>
      </c>
      <c r="AS457" s="123">
        <v>0</v>
      </c>
      <c r="AT457" s="35">
        <v>0</v>
      </c>
      <c r="AU457" s="35">
        <v>0</v>
      </c>
      <c r="AV457" s="13">
        <v>0</v>
      </c>
    </row>
    <row r="458" spans="34:48">
      <c r="AH458" s="278" t="s">
        <v>171</v>
      </c>
      <c r="AI458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35">
        <v>0</v>
      </c>
      <c r="AQ458" s="313">
        <v>0</v>
      </c>
      <c r="AR458" s="123">
        <v>0</v>
      </c>
      <c r="AS458" s="123">
        <v>0</v>
      </c>
      <c r="AT458" s="35">
        <v>0</v>
      </c>
      <c r="AU458" s="35">
        <v>0</v>
      </c>
      <c r="AV458" s="13">
        <v>0</v>
      </c>
    </row>
    <row r="459" spans="34:48">
      <c r="AH459" s="278" t="s">
        <v>175</v>
      </c>
      <c r="AI459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35">
        <v>0</v>
      </c>
      <c r="AQ459" s="313">
        <v>0</v>
      </c>
      <c r="AR459" s="123">
        <v>0</v>
      </c>
      <c r="AS459" s="123">
        <v>0</v>
      </c>
      <c r="AT459" s="35">
        <v>0</v>
      </c>
      <c r="AU459" s="35">
        <v>0</v>
      </c>
      <c r="AV459" s="13">
        <v>0</v>
      </c>
    </row>
    <row r="460" spans="34:48">
      <c r="AH460" s="278" t="s">
        <v>199</v>
      </c>
      <c r="AI460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35">
        <v>0</v>
      </c>
      <c r="AQ460" s="313">
        <v>0</v>
      </c>
      <c r="AR460" s="123">
        <v>0</v>
      </c>
      <c r="AS460" s="123">
        <v>0</v>
      </c>
      <c r="AT460" s="35">
        <v>0</v>
      </c>
      <c r="AU460" s="35">
        <v>0</v>
      </c>
      <c r="AV460" s="13">
        <v>0</v>
      </c>
    </row>
    <row r="461" spans="34:48">
      <c r="AH461" s="278" t="s">
        <v>176</v>
      </c>
      <c r="AI461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35">
        <v>0</v>
      </c>
      <c r="AQ461" s="313">
        <v>0</v>
      </c>
      <c r="AR461" s="123">
        <v>0</v>
      </c>
      <c r="AS461" s="123">
        <v>0</v>
      </c>
      <c r="AT461" s="35">
        <v>0</v>
      </c>
      <c r="AU461" s="35">
        <v>0</v>
      </c>
      <c r="AV461" s="13">
        <v>0</v>
      </c>
    </row>
    <row r="462" spans="34:48">
      <c r="AH462" s="278" t="s">
        <v>29</v>
      </c>
      <c r="AI462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35">
        <v>0</v>
      </c>
      <c r="AQ462" s="313">
        <v>0</v>
      </c>
      <c r="AR462" s="123">
        <v>0</v>
      </c>
      <c r="AS462" s="123">
        <v>0</v>
      </c>
      <c r="AT462" s="35">
        <v>0</v>
      </c>
      <c r="AU462" s="35">
        <v>0</v>
      </c>
      <c r="AV462" s="13">
        <v>0</v>
      </c>
    </row>
    <row r="463" spans="34:48">
      <c r="AH463" s="278" t="s">
        <v>177</v>
      </c>
      <c r="AI463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35">
        <v>0</v>
      </c>
      <c r="AQ463" s="313">
        <v>0</v>
      </c>
      <c r="AR463" s="123">
        <v>0</v>
      </c>
      <c r="AS463" s="123">
        <v>0</v>
      </c>
      <c r="AT463" s="35">
        <v>0</v>
      </c>
      <c r="AU463" s="35">
        <v>0</v>
      </c>
      <c r="AV463" s="13">
        <v>0</v>
      </c>
    </row>
    <row r="464" spans="34:48">
      <c r="AH464" s="278" t="s">
        <v>23</v>
      </c>
      <c r="AI464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35">
        <v>0</v>
      </c>
      <c r="AQ464" s="313">
        <v>0</v>
      </c>
      <c r="AR464" s="123">
        <v>0</v>
      </c>
      <c r="AS464" s="123">
        <v>0</v>
      </c>
      <c r="AT464" s="35">
        <v>0</v>
      </c>
      <c r="AU464" s="35">
        <v>0</v>
      </c>
      <c r="AV464" s="13">
        <v>0</v>
      </c>
    </row>
    <row r="465" spans="34:48">
      <c r="AH465" s="278" t="s">
        <v>202</v>
      </c>
      <c r="AI465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35">
        <v>0</v>
      </c>
      <c r="AQ465" s="313">
        <v>0</v>
      </c>
      <c r="AR465" s="123">
        <v>0</v>
      </c>
      <c r="AS465" s="123">
        <v>0</v>
      </c>
      <c r="AT465" s="35">
        <v>0</v>
      </c>
      <c r="AU465" s="35">
        <v>0</v>
      </c>
      <c r="AV465" s="13">
        <v>0</v>
      </c>
    </row>
    <row r="466" spans="34:48">
      <c r="AH466" s="278" t="s">
        <v>200</v>
      </c>
      <c r="AI466">
        <v>0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35">
        <v>0</v>
      </c>
      <c r="AQ466" s="313">
        <v>0</v>
      </c>
      <c r="AR466" s="123">
        <v>0</v>
      </c>
      <c r="AS466" s="123">
        <v>0</v>
      </c>
      <c r="AT466" s="35">
        <v>0</v>
      </c>
      <c r="AU466" s="35">
        <v>0</v>
      </c>
      <c r="AV466" s="13">
        <v>0</v>
      </c>
    </row>
    <row r="467" spans="34:48">
      <c r="AH467" s="278" t="s">
        <v>34</v>
      </c>
      <c r="AI467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35">
        <v>0</v>
      </c>
      <c r="AQ467" s="313">
        <v>0</v>
      </c>
      <c r="AR467" s="123">
        <v>0</v>
      </c>
      <c r="AS467" s="123">
        <v>0</v>
      </c>
      <c r="AT467" s="35">
        <v>0</v>
      </c>
      <c r="AU467" s="35">
        <v>0</v>
      </c>
      <c r="AV467" s="13">
        <v>0</v>
      </c>
    </row>
    <row r="468" spans="34:48">
      <c r="AH468" s="278" t="s">
        <v>201</v>
      </c>
      <c r="AI468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35">
        <v>0</v>
      </c>
      <c r="AQ468" s="313">
        <v>0</v>
      </c>
      <c r="AR468" s="123">
        <v>0</v>
      </c>
      <c r="AS468" s="123">
        <v>0</v>
      </c>
      <c r="AT468" s="35">
        <v>0</v>
      </c>
      <c r="AU468" s="35">
        <v>0</v>
      </c>
      <c r="AV468" s="13">
        <v>0</v>
      </c>
    </row>
    <row r="469" spans="34:48">
      <c r="AH469" s="26" t="s">
        <v>182</v>
      </c>
      <c r="AI469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0</v>
      </c>
      <c r="AP469" s="12">
        <v>0</v>
      </c>
      <c r="AQ469" s="313">
        <v>0</v>
      </c>
      <c r="AR469" s="123">
        <v>0</v>
      </c>
      <c r="AS469" s="123">
        <v>0</v>
      </c>
      <c r="AT469" s="12">
        <v>0</v>
      </c>
      <c r="AU469" s="12">
        <v>0</v>
      </c>
      <c r="AV469" s="13">
        <v>0</v>
      </c>
    </row>
    <row r="470" spans="34:48">
      <c r="AH470" s="278" t="s">
        <v>178</v>
      </c>
      <c r="AI470">
        <v>0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35">
        <v>0</v>
      </c>
      <c r="AQ470" s="313">
        <v>0</v>
      </c>
      <c r="AR470" s="123">
        <v>0</v>
      </c>
      <c r="AS470" s="123">
        <v>0</v>
      </c>
      <c r="AT470" s="35">
        <v>0</v>
      </c>
      <c r="AU470" s="35">
        <v>0</v>
      </c>
      <c r="AV470" s="13">
        <v>0</v>
      </c>
    </row>
    <row r="471" spans="34:48">
      <c r="AH471" s="278" t="s">
        <v>196</v>
      </c>
      <c r="AI471">
        <v>0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0</v>
      </c>
      <c r="AP471" s="35">
        <v>0</v>
      </c>
      <c r="AQ471" s="313">
        <v>0</v>
      </c>
      <c r="AR471" s="123">
        <v>0</v>
      </c>
      <c r="AS471" s="123">
        <v>0</v>
      </c>
      <c r="AT471" s="35">
        <v>0</v>
      </c>
      <c r="AU471" s="35">
        <v>0</v>
      </c>
      <c r="AV471" s="13">
        <v>0</v>
      </c>
    </row>
    <row r="472" spans="34:48">
      <c r="AH472" s="278" t="s">
        <v>170</v>
      </c>
      <c r="AI472">
        <v>0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0</v>
      </c>
      <c r="AP472" s="35">
        <v>0</v>
      </c>
      <c r="AQ472" s="313">
        <v>0</v>
      </c>
      <c r="AR472" s="123">
        <v>0</v>
      </c>
      <c r="AS472" s="123">
        <v>0</v>
      </c>
      <c r="AT472" s="35">
        <v>0</v>
      </c>
      <c r="AU472" s="35">
        <v>0</v>
      </c>
      <c r="AV472" s="13">
        <v>0</v>
      </c>
    </row>
    <row r="473" spans="34:48">
      <c r="AH473" s="278" t="s">
        <v>27</v>
      </c>
      <c r="AI473">
        <v>0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35">
        <v>0</v>
      </c>
      <c r="AQ473" s="313">
        <v>0</v>
      </c>
      <c r="AR473" s="123">
        <v>0</v>
      </c>
      <c r="AS473" s="123">
        <v>0</v>
      </c>
      <c r="AT473" s="35">
        <v>0</v>
      </c>
      <c r="AU473" s="35">
        <v>0</v>
      </c>
      <c r="AV473" s="13">
        <v>0</v>
      </c>
    </row>
    <row r="474" spans="34:48">
      <c r="AH474" s="278" t="s">
        <v>203</v>
      </c>
      <c r="AI474">
        <v>0</v>
      </c>
      <c r="AJ474" s="16">
        <v>0</v>
      </c>
      <c r="AK474" s="16">
        <v>0</v>
      </c>
      <c r="AL474" s="16">
        <v>0</v>
      </c>
      <c r="AM474" s="16">
        <v>0</v>
      </c>
      <c r="AN474" s="16">
        <v>0</v>
      </c>
      <c r="AO474" s="16">
        <v>0</v>
      </c>
      <c r="AP474" s="35">
        <v>0</v>
      </c>
      <c r="AQ474" s="313">
        <v>0</v>
      </c>
      <c r="AR474" s="123">
        <v>0</v>
      </c>
      <c r="AS474" s="123">
        <v>0</v>
      </c>
      <c r="AT474" s="35">
        <v>0</v>
      </c>
      <c r="AU474" s="35">
        <v>0</v>
      </c>
      <c r="AV474" s="13">
        <v>0</v>
      </c>
    </row>
    <row r="475" spans="34:48">
      <c r="AH475" s="278" t="s">
        <v>33</v>
      </c>
      <c r="AI475">
        <v>0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0</v>
      </c>
      <c r="AP475" s="35">
        <v>0</v>
      </c>
      <c r="AQ475" s="313">
        <v>0</v>
      </c>
      <c r="AR475" s="123">
        <v>0</v>
      </c>
      <c r="AS475" s="123">
        <v>0</v>
      </c>
      <c r="AT475" s="35">
        <v>0</v>
      </c>
      <c r="AU475" s="35">
        <v>0</v>
      </c>
      <c r="AV475" s="13">
        <v>0</v>
      </c>
    </row>
    <row r="476" spans="34:48">
      <c r="AH476" s="278" t="s">
        <v>204</v>
      </c>
      <c r="AI47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35">
        <v>0</v>
      </c>
      <c r="AQ476" s="313">
        <v>0</v>
      </c>
      <c r="AR476" s="123">
        <v>0</v>
      </c>
      <c r="AS476" s="123">
        <v>0</v>
      </c>
      <c r="AT476" s="35">
        <v>0</v>
      </c>
      <c r="AU476" s="35">
        <v>0</v>
      </c>
      <c r="AV476" s="13">
        <v>0</v>
      </c>
    </row>
    <row r="477" spans="34:48">
      <c r="AH477" s="278" t="s">
        <v>171</v>
      </c>
      <c r="AI477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35">
        <v>0</v>
      </c>
      <c r="AQ477" s="313">
        <v>0</v>
      </c>
      <c r="AR477" s="123">
        <v>0</v>
      </c>
      <c r="AS477" s="123">
        <v>0</v>
      </c>
      <c r="AT477" s="35">
        <v>0</v>
      </c>
      <c r="AU477" s="35">
        <v>0</v>
      </c>
      <c r="AV477" s="13">
        <v>0</v>
      </c>
    </row>
    <row r="478" spans="34:48">
      <c r="AH478" s="278" t="s">
        <v>175</v>
      </c>
      <c r="AI478">
        <v>0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0</v>
      </c>
      <c r="AP478" s="35">
        <v>0</v>
      </c>
      <c r="AQ478" s="313">
        <v>0</v>
      </c>
      <c r="AR478" s="123">
        <v>0</v>
      </c>
      <c r="AS478" s="123">
        <v>0</v>
      </c>
      <c r="AT478" s="35">
        <v>0</v>
      </c>
      <c r="AU478" s="35">
        <v>0</v>
      </c>
      <c r="AV478" s="13">
        <v>0</v>
      </c>
    </row>
    <row r="479" spans="34:48">
      <c r="AH479" s="278" t="s">
        <v>199</v>
      </c>
      <c r="AI479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35">
        <v>0</v>
      </c>
      <c r="AQ479" s="313">
        <v>0</v>
      </c>
      <c r="AR479" s="123">
        <v>0</v>
      </c>
      <c r="AS479" s="123">
        <v>0</v>
      </c>
      <c r="AT479" s="35">
        <v>0</v>
      </c>
      <c r="AU479" s="35">
        <v>0</v>
      </c>
      <c r="AV479" s="13">
        <v>0</v>
      </c>
    </row>
    <row r="480" spans="34:48">
      <c r="AH480" s="278" t="s">
        <v>176</v>
      </c>
      <c r="AI480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35">
        <v>0</v>
      </c>
      <c r="AQ480" s="313">
        <v>0</v>
      </c>
      <c r="AR480" s="123">
        <v>0</v>
      </c>
      <c r="AS480" s="123">
        <v>0</v>
      </c>
      <c r="AT480" s="35">
        <v>0</v>
      </c>
      <c r="AU480" s="35">
        <v>0</v>
      </c>
      <c r="AV480" s="13">
        <v>0</v>
      </c>
    </row>
    <row r="481" spans="34:48">
      <c r="AH481" s="278" t="s">
        <v>29</v>
      </c>
      <c r="AI481">
        <v>0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0</v>
      </c>
      <c r="AP481" s="35">
        <v>0</v>
      </c>
      <c r="AQ481" s="313">
        <v>0</v>
      </c>
      <c r="AR481" s="123">
        <v>0</v>
      </c>
      <c r="AS481" s="123">
        <v>0</v>
      </c>
      <c r="AT481" s="35">
        <v>0</v>
      </c>
      <c r="AU481" s="35">
        <v>0</v>
      </c>
      <c r="AV481" s="13">
        <v>0</v>
      </c>
    </row>
    <row r="482" spans="34:48">
      <c r="AH482" s="278" t="s">
        <v>177</v>
      </c>
      <c r="AI482">
        <v>0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0</v>
      </c>
      <c r="AP482" s="35">
        <v>0</v>
      </c>
      <c r="AQ482" s="313">
        <v>0</v>
      </c>
      <c r="AR482" s="123">
        <v>0</v>
      </c>
      <c r="AS482" s="123">
        <v>0</v>
      </c>
      <c r="AT482" s="35">
        <v>0</v>
      </c>
      <c r="AU482" s="35">
        <v>0</v>
      </c>
      <c r="AV482" s="13">
        <v>0</v>
      </c>
    </row>
    <row r="483" spans="34:48">
      <c r="AH483" s="278" t="s">
        <v>23</v>
      </c>
      <c r="AI483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0</v>
      </c>
      <c r="AP483" s="35">
        <v>0</v>
      </c>
      <c r="AQ483" s="313">
        <v>0</v>
      </c>
      <c r="AR483" s="123">
        <v>0</v>
      </c>
      <c r="AS483" s="123">
        <v>0</v>
      </c>
      <c r="AT483" s="35">
        <v>0</v>
      </c>
      <c r="AU483" s="35">
        <v>0</v>
      </c>
      <c r="AV483" s="13">
        <v>0</v>
      </c>
    </row>
    <row r="484" spans="34:48">
      <c r="AH484" s="278" t="s">
        <v>202</v>
      </c>
      <c r="AI484">
        <v>0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0</v>
      </c>
      <c r="AP484" s="35">
        <v>0</v>
      </c>
      <c r="AQ484" s="313">
        <v>0</v>
      </c>
      <c r="AR484" s="123">
        <v>0</v>
      </c>
      <c r="AS484" s="123">
        <v>0</v>
      </c>
      <c r="AT484" s="35">
        <v>0</v>
      </c>
      <c r="AU484" s="35">
        <v>0</v>
      </c>
      <c r="AV484" s="13">
        <v>0</v>
      </c>
    </row>
    <row r="485" spans="34:48">
      <c r="AH485" s="278" t="s">
        <v>200</v>
      </c>
      <c r="AI485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35">
        <v>0</v>
      </c>
      <c r="AQ485" s="313">
        <v>0</v>
      </c>
      <c r="AR485" s="123">
        <v>0</v>
      </c>
      <c r="AS485" s="123">
        <v>0</v>
      </c>
      <c r="AT485" s="35">
        <v>0</v>
      </c>
      <c r="AU485" s="35">
        <v>0</v>
      </c>
      <c r="AV485" s="13">
        <v>0</v>
      </c>
    </row>
    <row r="486" spans="34:48">
      <c r="AH486" s="278" t="s">
        <v>34</v>
      </c>
      <c r="AI486">
        <v>0</v>
      </c>
      <c r="AJ486" s="16">
        <v>0</v>
      </c>
      <c r="AK486" s="16">
        <v>0</v>
      </c>
      <c r="AL486" s="16">
        <v>0</v>
      </c>
      <c r="AM486" s="16">
        <v>0</v>
      </c>
      <c r="AN486" s="16">
        <v>0</v>
      </c>
      <c r="AO486" s="16">
        <v>0</v>
      </c>
      <c r="AP486" s="35">
        <v>0</v>
      </c>
      <c r="AQ486" s="313">
        <v>0</v>
      </c>
      <c r="AR486" s="123">
        <v>0</v>
      </c>
      <c r="AS486" s="123">
        <v>0</v>
      </c>
      <c r="AT486" s="35">
        <v>0</v>
      </c>
      <c r="AU486" s="35">
        <v>0</v>
      </c>
      <c r="AV486" s="13">
        <v>0</v>
      </c>
    </row>
    <row r="487" spans="34:48">
      <c r="AH487" s="278" t="s">
        <v>201</v>
      </c>
      <c r="AI487">
        <v>0</v>
      </c>
      <c r="AJ487" s="16">
        <v>0</v>
      </c>
      <c r="AK487" s="16">
        <v>0</v>
      </c>
      <c r="AL487" s="16">
        <v>0</v>
      </c>
      <c r="AM487" s="16">
        <v>0</v>
      </c>
      <c r="AN487" s="16">
        <v>0</v>
      </c>
      <c r="AO487" s="16">
        <v>0</v>
      </c>
      <c r="AP487" s="35">
        <v>0</v>
      </c>
      <c r="AQ487" s="313">
        <v>0</v>
      </c>
      <c r="AR487" s="123">
        <v>0</v>
      </c>
      <c r="AS487" s="123">
        <v>0</v>
      </c>
      <c r="AT487" s="35">
        <v>0</v>
      </c>
      <c r="AU487" s="35">
        <v>0</v>
      </c>
      <c r="AV487" s="13">
        <v>0</v>
      </c>
    </row>
    <row r="488" spans="34:48">
      <c r="AH488" s="11" t="s">
        <v>167</v>
      </c>
      <c r="AI488">
        <v>293</v>
      </c>
      <c r="AJ488" s="16">
        <v>4811475</v>
      </c>
      <c r="AK488" s="16">
        <v>42363539794</v>
      </c>
      <c r="AL488" s="16">
        <v>10355176550.680002</v>
      </c>
      <c r="AM488" s="16">
        <v>2462220396.9740252</v>
      </c>
      <c r="AN488" s="16">
        <v>945297563.99999952</v>
      </c>
      <c r="AO488" s="16">
        <v>13818772997.36832</v>
      </c>
      <c r="AP488" s="12">
        <v>9206071648.1428566</v>
      </c>
      <c r="AQ488" s="313">
        <v>4161475781.4285717</v>
      </c>
      <c r="AR488" s="123">
        <v>196894285.71428573</v>
      </c>
      <c r="AS488" s="123">
        <v>42084008.060327709</v>
      </c>
      <c r="AT488" s="12">
        <v>4404000682.2031841</v>
      </c>
      <c r="AU488" s="12">
        <v>208700667.02226967</v>
      </c>
      <c r="AV488" s="13">
        <v>1.5102691611043551E-2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EF5E-332B-4443-9D95-A1825F1889C2}">
  <sheetPr>
    <tabColor rgb="FF00B0F0"/>
  </sheetPr>
  <dimension ref="A1:AY726"/>
  <sheetViews>
    <sheetView tabSelected="1" zoomScale="110" workbookViewId="0">
      <pane xSplit="12" ySplit="1" topLeftCell="Y712" activePane="bottomRight" state="frozen"/>
      <selection pane="bottomRight" activeCell="AE723" sqref="AE723"/>
      <selection pane="bottomLeft"/>
      <selection pane="topRight"/>
    </sheetView>
  </sheetViews>
  <sheetFormatPr defaultColWidth="8.85546875" defaultRowHeight="15"/>
  <cols>
    <col min="1" max="1" width="7.7109375" bestFit="1" customWidth="1"/>
    <col min="2" max="2" width="11.42578125" customWidth="1"/>
    <col min="3" max="3" width="13.42578125" customWidth="1"/>
    <col min="4" max="4" width="12.140625" bestFit="1" customWidth="1"/>
    <col min="5" max="5" width="13.140625" bestFit="1" customWidth="1"/>
    <col min="6" max="6" width="10" customWidth="1"/>
    <col min="7" max="7" width="9.28515625" bestFit="1" customWidth="1"/>
    <col min="8" max="8" width="10.28515625" bestFit="1" customWidth="1"/>
    <col min="9" max="9" width="14" bestFit="1" customWidth="1"/>
    <col min="10" max="10" width="13.42578125" bestFit="1" customWidth="1"/>
    <col min="11" max="11" width="10.28515625" bestFit="1" customWidth="1"/>
    <col min="12" max="12" width="14.42578125" bestFit="1" customWidth="1"/>
    <col min="13" max="13" width="17.42578125" bestFit="1" customWidth="1"/>
    <col min="14" max="14" width="14.140625" customWidth="1"/>
    <col min="15" max="16" width="17.85546875" bestFit="1" customWidth="1"/>
    <col min="17" max="17" width="17.85546875" customWidth="1"/>
    <col min="18" max="18" width="16.140625" bestFit="1" customWidth="1"/>
    <col min="19" max="19" width="16.140625" customWidth="1"/>
    <col min="20" max="20" width="18.42578125" bestFit="1" customWidth="1"/>
    <col min="21" max="21" width="22.42578125" bestFit="1" customWidth="1"/>
    <col min="22" max="22" width="17" style="1" bestFit="1" customWidth="1"/>
    <col min="23" max="23" width="14.7109375" style="1" customWidth="1"/>
    <col min="24" max="24" width="14.28515625" bestFit="1" customWidth="1"/>
    <col min="25" max="25" width="18.42578125" bestFit="1" customWidth="1"/>
    <col min="26" max="26" width="18.28515625" bestFit="1" customWidth="1"/>
    <col min="27" max="27" width="16" bestFit="1" customWidth="1"/>
    <col min="28" max="28" width="18.42578125" bestFit="1" customWidth="1"/>
    <col min="29" max="29" width="18.42578125" customWidth="1"/>
    <col min="30" max="30" width="17.140625" bestFit="1" customWidth="1"/>
    <col min="31" max="31" width="17.42578125" bestFit="1" customWidth="1"/>
    <col min="32" max="33" width="16" bestFit="1" customWidth="1"/>
    <col min="34" max="34" width="14.140625" bestFit="1" customWidth="1"/>
    <col min="35" max="35" width="13.7109375" bestFit="1" customWidth="1"/>
    <col min="36" max="36" width="16.28515625" bestFit="1" customWidth="1"/>
    <col min="37" max="37" width="36" bestFit="1" customWidth="1"/>
  </cols>
  <sheetData>
    <row r="1" spans="1:51" s="24" customFormat="1" ht="63.95">
      <c r="A1" s="65" t="s">
        <v>104</v>
      </c>
      <c r="B1" s="65" t="s">
        <v>102</v>
      </c>
      <c r="C1" s="65" t="s">
        <v>3</v>
      </c>
      <c r="D1" s="65" t="s">
        <v>237</v>
      </c>
      <c r="E1" s="65" t="s">
        <v>106</v>
      </c>
      <c r="F1" s="65" t="s">
        <v>100</v>
      </c>
      <c r="G1" s="65" t="s">
        <v>238</v>
      </c>
      <c r="H1" s="65" t="s">
        <v>0</v>
      </c>
      <c r="I1" s="65" t="s">
        <v>239</v>
      </c>
      <c r="J1" s="65" t="s">
        <v>240</v>
      </c>
      <c r="K1" s="66" t="s">
        <v>5</v>
      </c>
      <c r="L1" s="67" t="s">
        <v>6</v>
      </c>
      <c r="M1" s="68" t="s">
        <v>241</v>
      </c>
      <c r="N1" s="69" t="s">
        <v>8</v>
      </c>
      <c r="O1" s="69" t="s">
        <v>9</v>
      </c>
      <c r="P1" s="69" t="s">
        <v>10</v>
      </c>
      <c r="Q1" s="69" t="s">
        <v>242</v>
      </c>
      <c r="R1" s="69" t="s">
        <v>11</v>
      </c>
      <c r="S1" s="69" t="s">
        <v>243</v>
      </c>
      <c r="T1" s="69" t="s">
        <v>13</v>
      </c>
      <c r="U1" s="69" t="s">
        <v>244</v>
      </c>
      <c r="V1" s="69" t="s">
        <v>12</v>
      </c>
      <c r="W1" s="69" t="s">
        <v>245</v>
      </c>
      <c r="X1" s="69" t="s">
        <v>48</v>
      </c>
      <c r="Y1" s="69" t="s">
        <v>246</v>
      </c>
      <c r="Z1" s="70" t="s">
        <v>247</v>
      </c>
      <c r="AA1" s="70" t="s">
        <v>248</v>
      </c>
      <c r="AB1" s="70" t="s">
        <v>17</v>
      </c>
      <c r="AC1" s="70" t="s">
        <v>249</v>
      </c>
      <c r="AD1" s="70" t="s">
        <v>250</v>
      </c>
      <c r="AE1" s="70" t="s">
        <v>45</v>
      </c>
      <c r="AF1" s="71" t="s">
        <v>18</v>
      </c>
      <c r="AG1" s="72" t="s">
        <v>251</v>
      </c>
      <c r="AH1" s="72" t="s">
        <v>252</v>
      </c>
      <c r="AI1" s="73" t="s">
        <v>253</v>
      </c>
      <c r="AJ1" s="73" t="s">
        <v>254</v>
      </c>
      <c r="AK1" s="148" t="s">
        <v>255</v>
      </c>
      <c r="AV1" s="24" t="s">
        <v>284</v>
      </c>
      <c r="AW1" s="24" t="s">
        <v>285</v>
      </c>
      <c r="AX1" s="24" t="s">
        <v>286</v>
      </c>
    </row>
    <row r="2" spans="1:51" hidden="1">
      <c r="A2">
        <v>2025</v>
      </c>
      <c r="B2" t="s">
        <v>23</v>
      </c>
      <c r="C2" t="s">
        <v>23</v>
      </c>
      <c r="D2" t="s">
        <v>168</v>
      </c>
      <c r="E2" t="s">
        <v>28</v>
      </c>
      <c r="F2" t="s">
        <v>25</v>
      </c>
      <c r="G2">
        <v>7</v>
      </c>
      <c r="H2" t="s">
        <v>158</v>
      </c>
      <c r="I2" t="s">
        <v>278</v>
      </c>
      <c r="J2" s="18" t="s">
        <v>287</v>
      </c>
      <c r="K2" s="1">
        <v>269</v>
      </c>
      <c r="L2" s="1">
        <v>79236</v>
      </c>
      <c r="M2" s="1">
        <v>695119000</v>
      </c>
      <c r="N2" s="1">
        <v>79147500</v>
      </c>
      <c r="O2" s="55">
        <v>58075000</v>
      </c>
      <c r="P2" s="55">
        <v>0</v>
      </c>
      <c r="Q2" s="55"/>
      <c r="R2" s="55">
        <v>0</v>
      </c>
      <c r="S2" s="55"/>
      <c r="T2" s="55">
        <f t="shared" ref="T2:T36" si="0">SUM(N2:R2)</f>
        <v>137222500</v>
      </c>
      <c r="U2" s="55">
        <v>700000</v>
      </c>
      <c r="V2" s="55">
        <v>63140000</v>
      </c>
      <c r="W2" s="55"/>
      <c r="X2" s="48">
        <v>327500</v>
      </c>
      <c r="Y2" s="55">
        <f t="shared" ref="Y2:Y36" si="1">SUM(U2:X2)</f>
        <v>64167500</v>
      </c>
      <c r="Z2" s="1">
        <f>23%*Table5[[#This Row],[Total Selling (Clients Revenue)]]</f>
        <v>159877370</v>
      </c>
      <c r="AA2" s="55">
        <v>32472000</v>
      </c>
      <c r="AB2" s="61">
        <f>7/28*134738682</f>
        <v>33684670.5</v>
      </c>
      <c r="AC2" s="61"/>
      <c r="AD2" s="55"/>
      <c r="AE2" s="55">
        <f t="shared" ref="AE2:AE36" si="2">SUM(Z2:AD2)</f>
        <v>226034040.5</v>
      </c>
      <c r="AF2" s="55">
        <f t="shared" ref="AF2:AF36" si="3">AE2-(T2+Y2)</f>
        <v>24644040.5</v>
      </c>
      <c r="AG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21627370</v>
      </c>
      <c r="AH2" s="59">
        <f>IFERROR(AG2/(Z2+Table5[[#This Row],[Rider Penalty (Claim, Other Denda to Riders)]]),0)</f>
        <v>0.13527474213517524</v>
      </c>
      <c r="AI2" s="56">
        <f t="shared" ref="AI2:AI36" si="4">AA2+AB2-V2</f>
        <v>3016670.5</v>
      </c>
      <c r="AJ2" s="60">
        <f t="shared" ref="AJ2:AJ36" si="5">IFERROR(AI2/(AA2+AB2),0)</f>
        <v>4.5598886358708152E-2</v>
      </c>
      <c r="AK2" s="88" t="s">
        <v>288</v>
      </c>
      <c r="AV2" s="109">
        <f>Table5[[#This Row],[Total Selling Comission/Sales (Weekly)]]/Table5[[#This Row],[Total Revenue Sharing % (Weekly)]]*100%</f>
        <v>0.4950513008814193</v>
      </c>
      <c r="AW2" s="109">
        <f>Table5[[#This Row],[Total Daily Incentive (Weekly)]]/Table5[[#This Row],[Total Revenue Sharing % (Weekly)]]*100%</f>
        <v>0.36324715624231246</v>
      </c>
      <c r="AX2" s="109">
        <f>(N2+O2)/Z2*100%</f>
        <v>0.85829845712373176</v>
      </c>
      <c r="AY2" s="12"/>
    </row>
    <row r="3" spans="1:51" hidden="1">
      <c r="A3">
        <v>2025</v>
      </c>
      <c r="B3" t="s">
        <v>23</v>
      </c>
      <c r="C3" t="s">
        <v>172</v>
      </c>
      <c r="D3" t="s">
        <v>168</v>
      </c>
      <c r="E3" t="s">
        <v>28</v>
      </c>
      <c r="F3" t="s">
        <v>31</v>
      </c>
      <c r="G3">
        <v>7</v>
      </c>
      <c r="H3" t="s">
        <v>158</v>
      </c>
      <c r="I3" t="s">
        <v>278</v>
      </c>
      <c r="J3" s="18" t="s">
        <v>287</v>
      </c>
      <c r="K3" s="1">
        <v>31</v>
      </c>
      <c r="L3" s="1">
        <v>10578</v>
      </c>
      <c r="M3" s="1">
        <v>93263000</v>
      </c>
      <c r="N3" s="1">
        <v>10563500</v>
      </c>
      <c r="O3" s="61">
        <v>8175000</v>
      </c>
      <c r="P3" s="61">
        <v>0</v>
      </c>
      <c r="Q3" s="61"/>
      <c r="R3" s="61">
        <v>0</v>
      </c>
      <c r="S3" s="61"/>
      <c r="T3" s="61">
        <f t="shared" si="0"/>
        <v>18738500</v>
      </c>
      <c r="U3" s="61">
        <v>0</v>
      </c>
      <c r="V3" s="61">
        <v>7490000</v>
      </c>
      <c r="W3" s="61"/>
      <c r="X3" s="61">
        <v>456000</v>
      </c>
      <c r="Y3" s="61">
        <f t="shared" si="1"/>
        <v>7946000</v>
      </c>
      <c r="Z3" s="1">
        <f>23%*Table5[[#This Row],[Total Selling (Clients Revenue)]]</f>
        <v>21450490</v>
      </c>
      <c r="AA3" s="61">
        <v>3852000</v>
      </c>
      <c r="AB3" s="61">
        <f>7/28*15850839</f>
        <v>3962709.75</v>
      </c>
      <c r="AC3" s="61"/>
      <c r="AD3" s="61"/>
      <c r="AE3" s="61">
        <f>SUM(Z3:AD3)</f>
        <v>29265199.75</v>
      </c>
      <c r="AF3" s="61">
        <f t="shared" si="3"/>
        <v>2580699.75</v>
      </c>
      <c r="AG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2255990</v>
      </c>
      <c r="AH3" s="13">
        <f>IFERROR(AG3/(Z3+Table5[[#This Row],[Rider Penalty (Claim, Other Denda to Riders)]]),0)</f>
        <v>0.1051719564448178</v>
      </c>
      <c r="AI3" s="56">
        <f t="shared" si="4"/>
        <v>324709.75</v>
      </c>
      <c r="AJ3" s="60">
        <f t="shared" si="5"/>
        <v>4.1551095355780811E-2</v>
      </c>
      <c r="AK3" s="88" t="s">
        <v>288</v>
      </c>
      <c r="AM3" t="s">
        <v>23</v>
      </c>
      <c r="AN3" t="s">
        <v>23</v>
      </c>
      <c r="AO3" t="s">
        <v>168</v>
      </c>
      <c r="AP3" t="s">
        <v>28</v>
      </c>
      <c r="AQ3" t="s">
        <v>25</v>
      </c>
      <c r="AR3" t="s">
        <v>158</v>
      </c>
      <c r="AV3" s="109">
        <f>Table5[[#This Row],[Total Selling Comission/Sales (Weekly)]]/Table5[[#This Row],[Total Revenue Sharing % (Weekly)]]*100%</f>
        <v>0.49245961281070971</v>
      </c>
      <c r="AW3" s="109">
        <f>Table5[[#This Row],[Total Daily Incentive (Weekly)]]/Table5[[#This Row],[Total Revenue Sharing % (Weekly)]]*100%</f>
        <v>0.381110175105557</v>
      </c>
      <c r="AX3" s="109">
        <f>(N3+O3)/Z3*100%</f>
        <v>0.87356978791626672</v>
      </c>
    </row>
    <row r="4" spans="1:51" hidden="1">
      <c r="A4">
        <v>2025</v>
      </c>
      <c r="B4" t="s">
        <v>34</v>
      </c>
      <c r="C4" t="s">
        <v>34</v>
      </c>
      <c r="D4" t="s">
        <v>169</v>
      </c>
      <c r="E4" t="s">
        <v>28</v>
      </c>
      <c r="F4" t="s">
        <v>28</v>
      </c>
      <c r="G4">
        <v>7</v>
      </c>
      <c r="H4" t="s">
        <v>158</v>
      </c>
      <c r="I4" t="s">
        <v>278</v>
      </c>
      <c r="J4" s="18" t="s">
        <v>287</v>
      </c>
      <c r="K4" s="76">
        <v>3</v>
      </c>
      <c r="L4" s="76">
        <v>142</v>
      </c>
      <c r="M4" s="76">
        <v>1162000</v>
      </c>
      <c r="N4" s="76">
        <v>142000</v>
      </c>
      <c r="O4" s="61">
        <v>200000</v>
      </c>
      <c r="P4" s="61">
        <v>0</v>
      </c>
      <c r="Q4" s="61"/>
      <c r="R4" s="61">
        <v>0</v>
      </c>
      <c r="S4" s="61"/>
      <c r="T4" s="61">
        <f t="shared" si="0"/>
        <v>342000</v>
      </c>
      <c r="U4" s="61">
        <v>0</v>
      </c>
      <c r="V4" s="61">
        <v>735000</v>
      </c>
      <c r="W4" s="61"/>
      <c r="X4" s="61"/>
      <c r="Y4" s="61">
        <f t="shared" si="1"/>
        <v>735000</v>
      </c>
      <c r="Z4" s="76">
        <f>35%*Table5[[#This Row],[Total Selling (Clients Revenue)]]</f>
        <v>406700</v>
      </c>
      <c r="AA4" s="61">
        <v>210000</v>
      </c>
      <c r="AB4" s="61">
        <v>0</v>
      </c>
      <c r="AC4" s="61"/>
      <c r="AD4" s="61"/>
      <c r="AE4" s="61">
        <f t="shared" si="2"/>
        <v>616700</v>
      </c>
      <c r="AF4" s="61">
        <f t="shared" si="3"/>
        <v>-460300</v>
      </c>
      <c r="AG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64700</v>
      </c>
      <c r="AH4" s="13">
        <f>IFERROR(AG4/(Z4+Table5[[#This Row],[Rider Penalty (Claim, Other Denda to Riders)]]),0)</f>
        <v>0.15908532087533808</v>
      </c>
      <c r="AI4" s="56">
        <f t="shared" si="4"/>
        <v>-525000</v>
      </c>
      <c r="AJ4" s="60">
        <f t="shared" si="5"/>
        <v>-2.5</v>
      </c>
      <c r="AK4" s="88" t="s">
        <v>288</v>
      </c>
      <c r="AM4" t="s">
        <v>34</v>
      </c>
      <c r="AN4" t="s">
        <v>172</v>
      </c>
      <c r="AO4" t="s">
        <v>169</v>
      </c>
      <c r="AP4" t="s">
        <v>24</v>
      </c>
      <c r="AQ4" t="s">
        <v>31</v>
      </c>
      <c r="AR4" t="s">
        <v>21</v>
      </c>
      <c r="AV4" s="109"/>
      <c r="AW4" s="109"/>
      <c r="AX4" s="109"/>
    </row>
    <row r="5" spans="1:51" hidden="1">
      <c r="A5">
        <v>2025</v>
      </c>
      <c r="B5" t="s">
        <v>27</v>
      </c>
      <c r="C5" t="s">
        <v>27</v>
      </c>
      <c r="D5" t="s">
        <v>169</v>
      </c>
      <c r="E5" t="s">
        <v>28</v>
      </c>
      <c r="F5" t="s">
        <v>28</v>
      </c>
      <c r="G5">
        <v>7</v>
      </c>
      <c r="H5" t="s">
        <v>158</v>
      </c>
      <c r="I5" t="s">
        <v>278</v>
      </c>
      <c r="J5" s="18" t="s">
        <v>287</v>
      </c>
      <c r="K5" s="76">
        <v>5</v>
      </c>
      <c r="L5" s="76">
        <v>823</v>
      </c>
      <c r="M5" s="76">
        <v>7902000</v>
      </c>
      <c r="N5" s="76">
        <v>823000</v>
      </c>
      <c r="O5" s="61">
        <v>575000</v>
      </c>
      <c r="P5" s="61">
        <v>0</v>
      </c>
      <c r="Q5" s="61"/>
      <c r="R5" s="61">
        <v>0</v>
      </c>
      <c r="S5" s="61"/>
      <c r="T5" s="61">
        <f t="shared" si="0"/>
        <v>1398000</v>
      </c>
      <c r="U5" s="61">
        <v>0</v>
      </c>
      <c r="V5" s="61">
        <v>1225000</v>
      </c>
      <c r="W5" s="61"/>
      <c r="X5" s="61"/>
      <c r="Y5" s="61">
        <f t="shared" si="1"/>
        <v>1225000</v>
      </c>
      <c r="Z5" s="76">
        <f>30%*Table5[[#This Row],[Total Selling (Clients Revenue)]]</f>
        <v>2370600</v>
      </c>
      <c r="AA5" s="61">
        <v>350000</v>
      </c>
      <c r="AB5" s="61">
        <v>0</v>
      </c>
      <c r="AC5" s="61"/>
      <c r="AD5" s="61"/>
      <c r="AE5" s="61">
        <f t="shared" si="2"/>
        <v>2720600</v>
      </c>
      <c r="AF5" s="61">
        <f t="shared" si="3"/>
        <v>97600</v>
      </c>
      <c r="AG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972600</v>
      </c>
      <c r="AH5" s="13">
        <f>IFERROR(AG5/(Z5+Table5[[#This Row],[Rider Penalty (Claim, Other Denda to Riders)]]),0)</f>
        <v>0.41027587952417111</v>
      </c>
      <c r="AI5" s="56">
        <f t="shared" si="4"/>
        <v>-875000</v>
      </c>
      <c r="AJ5" s="60">
        <f t="shared" si="5"/>
        <v>-2.5</v>
      </c>
      <c r="AK5" s="88" t="s">
        <v>288</v>
      </c>
      <c r="AM5" t="s">
        <v>27</v>
      </c>
      <c r="AN5" t="s">
        <v>34</v>
      </c>
      <c r="AQ5" t="s">
        <v>28</v>
      </c>
      <c r="AR5" t="s">
        <v>166</v>
      </c>
      <c r="AV5" s="109"/>
      <c r="AW5" s="109"/>
      <c r="AX5" s="109"/>
    </row>
    <row r="6" spans="1:51" hidden="1">
      <c r="A6">
        <v>2025</v>
      </c>
      <c r="B6" t="s">
        <v>201</v>
      </c>
      <c r="C6" t="s">
        <v>201</v>
      </c>
      <c r="D6" t="s">
        <v>169</v>
      </c>
      <c r="E6" t="s">
        <v>28</v>
      </c>
      <c r="F6" t="s">
        <v>28</v>
      </c>
      <c r="G6">
        <v>7</v>
      </c>
      <c r="H6" t="s">
        <v>158</v>
      </c>
      <c r="I6" t="s">
        <v>278</v>
      </c>
      <c r="J6" s="18" t="s">
        <v>287</v>
      </c>
      <c r="K6" s="76">
        <v>4</v>
      </c>
      <c r="L6" s="76">
        <v>228</v>
      </c>
      <c r="M6" s="76">
        <v>2659000</v>
      </c>
      <c r="N6" s="156">
        <v>228000</v>
      </c>
      <c r="O6" s="61">
        <v>450000</v>
      </c>
      <c r="P6" s="61">
        <v>0</v>
      </c>
      <c r="Q6" s="61"/>
      <c r="R6" s="61">
        <v>0</v>
      </c>
      <c r="S6" s="61"/>
      <c r="T6" s="61">
        <f t="shared" si="0"/>
        <v>678000</v>
      </c>
      <c r="U6" s="61">
        <v>0</v>
      </c>
      <c r="V6" s="61">
        <v>980000</v>
      </c>
      <c r="W6" s="61"/>
      <c r="X6" s="61"/>
      <c r="Y6" s="61">
        <f t="shared" si="1"/>
        <v>980000</v>
      </c>
      <c r="Z6" s="76">
        <f>30%*Table5[[#This Row],[Total Selling (Clients Revenue)]]</f>
        <v>797700</v>
      </c>
      <c r="AA6" s="61">
        <v>280000</v>
      </c>
      <c r="AB6" s="61">
        <v>0</v>
      </c>
      <c r="AC6" s="61"/>
      <c r="AD6" s="61"/>
      <c r="AE6" s="61">
        <f t="shared" si="2"/>
        <v>1077700</v>
      </c>
      <c r="AF6" s="61">
        <f t="shared" si="3"/>
        <v>-580300</v>
      </c>
      <c r="AG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119700</v>
      </c>
      <c r="AH6" s="13">
        <f>IFERROR(AG6/(Z6+Table5[[#This Row],[Rider Penalty (Claim, Other Denda to Riders)]]),0)</f>
        <v>0.15005641218503196</v>
      </c>
      <c r="AI6" s="56">
        <f t="shared" si="4"/>
        <v>-700000</v>
      </c>
      <c r="AJ6" s="60">
        <f t="shared" si="5"/>
        <v>-2.5</v>
      </c>
      <c r="AK6" s="88" t="s">
        <v>288</v>
      </c>
      <c r="AM6" t="s">
        <v>201</v>
      </c>
      <c r="AN6" t="s">
        <v>27</v>
      </c>
      <c r="AQ6" t="s">
        <v>24</v>
      </c>
      <c r="AR6" t="s">
        <v>36</v>
      </c>
      <c r="AV6" s="109"/>
      <c r="AW6" s="109"/>
      <c r="AX6" s="109"/>
    </row>
    <row r="7" spans="1:51" hidden="1">
      <c r="A7">
        <v>2025</v>
      </c>
      <c r="B7" t="s">
        <v>171</v>
      </c>
      <c r="C7" t="s">
        <v>171</v>
      </c>
      <c r="D7" t="s">
        <v>168</v>
      </c>
      <c r="E7" t="s">
        <v>28</v>
      </c>
      <c r="F7" t="s">
        <v>28</v>
      </c>
      <c r="G7">
        <v>7</v>
      </c>
      <c r="H7" t="s">
        <v>158</v>
      </c>
      <c r="I7" t="s">
        <v>278</v>
      </c>
      <c r="J7" s="18" t="s">
        <v>287</v>
      </c>
      <c r="K7" s="76">
        <v>3</v>
      </c>
      <c r="L7" s="76">
        <v>358</v>
      </c>
      <c r="M7" s="76">
        <v>1128000</v>
      </c>
      <c r="N7" s="76">
        <v>86300</v>
      </c>
      <c r="O7" s="61">
        <v>225000</v>
      </c>
      <c r="P7" s="61">
        <v>0</v>
      </c>
      <c r="Q7" s="61"/>
      <c r="R7" s="61">
        <v>0</v>
      </c>
      <c r="S7" s="61"/>
      <c r="T7" s="61">
        <f t="shared" si="0"/>
        <v>311300</v>
      </c>
      <c r="U7" s="61">
        <v>0</v>
      </c>
      <c r="V7" s="61">
        <v>735000</v>
      </c>
      <c r="W7" s="61"/>
      <c r="X7" s="61"/>
      <c r="Y7" s="61">
        <f t="shared" si="1"/>
        <v>735000</v>
      </c>
      <c r="Z7" s="76">
        <f>30%*M7</f>
        <v>338400</v>
      </c>
      <c r="AA7" s="61">
        <v>210000</v>
      </c>
      <c r="AB7" s="61">
        <v>0</v>
      </c>
      <c r="AC7" s="61"/>
      <c r="AD7" s="61"/>
      <c r="AE7" s="61">
        <f t="shared" si="2"/>
        <v>548400</v>
      </c>
      <c r="AF7" s="61">
        <f t="shared" si="3"/>
        <v>-497900</v>
      </c>
      <c r="AG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27100</v>
      </c>
      <c r="AH7" s="13">
        <f>IFERROR(AG7/(Z7+Table5[[#This Row],[Rider Penalty (Claim, Other Denda to Riders)]]),0)</f>
        <v>8.0082742316784875E-2</v>
      </c>
      <c r="AI7" s="56">
        <f t="shared" si="4"/>
        <v>-525000</v>
      </c>
      <c r="AJ7" s="60">
        <f t="shared" si="5"/>
        <v>-2.5</v>
      </c>
      <c r="AK7" s="88" t="s">
        <v>288</v>
      </c>
      <c r="AM7" t="s">
        <v>171</v>
      </c>
      <c r="AN7" t="s">
        <v>201</v>
      </c>
      <c r="AQ7" t="s">
        <v>282</v>
      </c>
      <c r="AR7" t="s">
        <v>165</v>
      </c>
      <c r="AV7" s="109"/>
      <c r="AW7" s="109"/>
      <c r="AX7" s="109"/>
    </row>
    <row r="8" spans="1:51" hidden="1">
      <c r="A8">
        <v>2025</v>
      </c>
      <c r="B8" t="s">
        <v>200</v>
      </c>
      <c r="C8" t="s">
        <v>200</v>
      </c>
      <c r="D8" t="s">
        <v>169</v>
      </c>
      <c r="E8" t="s">
        <v>28</v>
      </c>
      <c r="F8" t="s">
        <v>28</v>
      </c>
      <c r="G8">
        <v>7</v>
      </c>
      <c r="H8" t="s">
        <v>158</v>
      </c>
      <c r="I8" t="s">
        <v>278</v>
      </c>
      <c r="J8" s="18" t="s">
        <v>287</v>
      </c>
      <c r="K8" s="76">
        <v>1</v>
      </c>
      <c r="L8" s="76">
        <v>40</v>
      </c>
      <c r="M8" s="76">
        <v>334000</v>
      </c>
      <c r="N8" s="76">
        <v>40000</v>
      </c>
      <c r="O8" s="61">
        <v>100000</v>
      </c>
      <c r="P8" s="61">
        <v>0</v>
      </c>
      <c r="Q8" s="61"/>
      <c r="R8" s="61">
        <v>0</v>
      </c>
      <c r="S8" s="61"/>
      <c r="T8" s="61">
        <f t="shared" si="0"/>
        <v>140000</v>
      </c>
      <c r="U8" s="61">
        <v>0</v>
      </c>
      <c r="V8" s="61">
        <v>245000</v>
      </c>
      <c r="W8" s="61"/>
      <c r="X8" s="61"/>
      <c r="Y8" s="61">
        <f t="shared" si="1"/>
        <v>245000</v>
      </c>
      <c r="Z8" s="76">
        <f>35%*Table5[[#This Row],[Total Selling (Clients Revenue)]]</f>
        <v>116899.99999999999</v>
      </c>
      <c r="AA8" s="61">
        <v>70000</v>
      </c>
      <c r="AB8" s="61">
        <v>0</v>
      </c>
      <c r="AC8" s="61"/>
      <c r="AD8" s="61"/>
      <c r="AE8" s="61">
        <f t="shared" si="2"/>
        <v>186900</v>
      </c>
      <c r="AF8" s="61">
        <f t="shared" si="3"/>
        <v>-198100</v>
      </c>
      <c r="AG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-23100.000000000015</v>
      </c>
      <c r="AH8" s="13">
        <f>IFERROR(AG8/(Z8+Table5[[#This Row],[Rider Penalty (Claim, Other Denda to Riders)]]),0)</f>
        <v>-0.19760479041916182</v>
      </c>
      <c r="AI8" s="56">
        <f t="shared" si="4"/>
        <v>-175000</v>
      </c>
      <c r="AJ8" s="60">
        <f t="shared" si="5"/>
        <v>-2.5</v>
      </c>
      <c r="AK8" s="88" t="s">
        <v>288</v>
      </c>
      <c r="AM8" t="s">
        <v>200</v>
      </c>
      <c r="AN8" t="s">
        <v>171</v>
      </c>
      <c r="AR8" t="s">
        <v>164</v>
      </c>
      <c r="AV8" s="109"/>
      <c r="AW8" s="109"/>
      <c r="AX8" s="109"/>
    </row>
    <row r="9" spans="1:51" hidden="1">
      <c r="A9">
        <v>2025</v>
      </c>
      <c r="B9" t="s">
        <v>29</v>
      </c>
      <c r="C9" t="s">
        <v>29</v>
      </c>
      <c r="D9" t="s">
        <v>169</v>
      </c>
      <c r="E9" t="s">
        <v>28</v>
      </c>
      <c r="F9" t="s">
        <v>28</v>
      </c>
      <c r="G9">
        <v>7</v>
      </c>
      <c r="H9" t="s">
        <v>158</v>
      </c>
      <c r="I9" t="s">
        <v>278</v>
      </c>
      <c r="J9" s="18" t="s">
        <v>287</v>
      </c>
      <c r="K9" s="76">
        <v>3</v>
      </c>
      <c r="L9" s="76">
        <v>203</v>
      </c>
      <c r="M9" s="76">
        <v>1874000</v>
      </c>
      <c r="N9" s="76">
        <v>203000</v>
      </c>
      <c r="O9" s="61">
        <v>375000</v>
      </c>
      <c r="P9" s="61">
        <v>0</v>
      </c>
      <c r="Q9" s="61"/>
      <c r="R9" s="61">
        <v>0</v>
      </c>
      <c r="S9" s="61"/>
      <c r="T9" s="61">
        <f t="shared" si="0"/>
        <v>578000</v>
      </c>
      <c r="U9" s="61">
        <v>0</v>
      </c>
      <c r="V9" s="61">
        <v>735000</v>
      </c>
      <c r="W9" s="61"/>
      <c r="X9" s="61"/>
      <c r="Y9" s="61">
        <f t="shared" si="1"/>
        <v>735000</v>
      </c>
      <c r="Z9" s="76">
        <f>30%*Table5[[#This Row],[Total Selling (Clients Revenue)]]</f>
        <v>562200</v>
      </c>
      <c r="AA9" s="61">
        <v>210000</v>
      </c>
      <c r="AB9" s="61">
        <v>0</v>
      </c>
      <c r="AC9" s="61"/>
      <c r="AD9" s="61"/>
      <c r="AE9" s="61">
        <f t="shared" si="2"/>
        <v>772200</v>
      </c>
      <c r="AF9" s="61">
        <f t="shared" si="3"/>
        <v>-540800</v>
      </c>
      <c r="AG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-15800</v>
      </c>
      <c r="AH9" s="13">
        <f>IFERROR(AG9/(Z9+Table5[[#This Row],[Rider Penalty (Claim, Other Denda to Riders)]]),0)</f>
        <v>-2.8103877623621487E-2</v>
      </c>
      <c r="AI9" s="56">
        <f t="shared" si="4"/>
        <v>-525000</v>
      </c>
      <c r="AJ9" s="60">
        <f t="shared" si="5"/>
        <v>-2.5</v>
      </c>
      <c r="AK9" s="88" t="s">
        <v>288</v>
      </c>
      <c r="AM9" t="s">
        <v>29</v>
      </c>
      <c r="AN9" t="s">
        <v>200</v>
      </c>
      <c r="AR9" t="s">
        <v>163</v>
      </c>
      <c r="AV9" s="109"/>
      <c r="AW9" s="109"/>
      <c r="AX9" s="109"/>
    </row>
    <row r="10" spans="1:51" hidden="1">
      <c r="A10">
        <v>2025</v>
      </c>
      <c r="B10" t="s">
        <v>33</v>
      </c>
      <c r="C10" t="s">
        <v>33</v>
      </c>
      <c r="D10" t="s">
        <v>169</v>
      </c>
      <c r="E10" t="s">
        <v>28</v>
      </c>
      <c r="F10" t="s">
        <v>28</v>
      </c>
      <c r="G10">
        <v>7</v>
      </c>
      <c r="H10" t="s">
        <v>158</v>
      </c>
      <c r="I10" t="s">
        <v>278</v>
      </c>
      <c r="J10" s="18" t="s">
        <v>287</v>
      </c>
      <c r="K10" s="76">
        <v>1</v>
      </c>
      <c r="L10" s="76">
        <v>17</v>
      </c>
      <c r="M10" s="76">
        <v>164000</v>
      </c>
      <c r="N10" s="76">
        <v>17000</v>
      </c>
      <c r="O10" s="61">
        <v>125000</v>
      </c>
      <c r="P10" s="61">
        <v>0</v>
      </c>
      <c r="Q10" s="61"/>
      <c r="R10" s="61">
        <v>0</v>
      </c>
      <c r="S10" s="61"/>
      <c r="T10" s="61">
        <f t="shared" si="0"/>
        <v>142000</v>
      </c>
      <c r="U10" s="61">
        <v>0</v>
      </c>
      <c r="V10" s="61">
        <v>245000</v>
      </c>
      <c r="W10" s="61"/>
      <c r="X10" s="61"/>
      <c r="Y10" s="61">
        <f t="shared" si="1"/>
        <v>245000</v>
      </c>
      <c r="Z10" s="76">
        <f>25%*Table5[[#This Row],[Total Selling (Clients Revenue)]]</f>
        <v>41000</v>
      </c>
      <c r="AA10" s="61">
        <v>70000</v>
      </c>
      <c r="AB10" s="61">
        <v>0</v>
      </c>
      <c r="AC10" s="61"/>
      <c r="AD10" s="61"/>
      <c r="AE10" s="61">
        <f t="shared" si="2"/>
        <v>111000</v>
      </c>
      <c r="AF10" s="61">
        <f t="shared" si="3"/>
        <v>-276000</v>
      </c>
      <c r="AG1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-101000</v>
      </c>
      <c r="AH10" s="13">
        <f>IFERROR(AG10/(Z10+Table5[[#This Row],[Rider Penalty (Claim, Other Denda to Riders)]]),0)</f>
        <v>-2.4634146341463414</v>
      </c>
      <c r="AI10" s="56">
        <f t="shared" si="4"/>
        <v>-175000</v>
      </c>
      <c r="AJ10" s="60">
        <f t="shared" si="5"/>
        <v>-2.5</v>
      </c>
      <c r="AK10" s="88" t="s">
        <v>288</v>
      </c>
      <c r="AM10" t="s">
        <v>33</v>
      </c>
      <c r="AN10" t="s">
        <v>29</v>
      </c>
      <c r="AR10" t="s">
        <v>159</v>
      </c>
      <c r="AV10" s="109"/>
      <c r="AW10" s="109"/>
      <c r="AX10" s="109"/>
    </row>
    <row r="11" spans="1:51" hidden="1">
      <c r="A11">
        <v>2025</v>
      </c>
      <c r="B11" t="s">
        <v>23</v>
      </c>
      <c r="C11" t="s">
        <v>174</v>
      </c>
      <c r="D11" t="s">
        <v>168</v>
      </c>
      <c r="E11" t="s">
        <v>24</v>
      </c>
      <c r="F11" t="s">
        <v>24</v>
      </c>
      <c r="G11">
        <v>7</v>
      </c>
      <c r="H11" t="s">
        <v>158</v>
      </c>
      <c r="I11" t="s">
        <v>278</v>
      </c>
      <c r="J11" s="18" t="s">
        <v>287</v>
      </c>
      <c r="K11" s="76">
        <v>63</v>
      </c>
      <c r="L11" s="76">
        <v>11585</v>
      </c>
      <c r="M11" s="76">
        <v>104357000</v>
      </c>
      <c r="N11" s="76">
        <v>9245500</v>
      </c>
      <c r="O11" s="61">
        <v>17200000</v>
      </c>
      <c r="P11" s="61">
        <v>0</v>
      </c>
      <c r="Q11" s="61"/>
      <c r="R11" s="61">
        <v>0</v>
      </c>
      <c r="S11" s="61"/>
      <c r="T11" s="61">
        <f t="shared" si="0"/>
        <v>26445500</v>
      </c>
      <c r="U11" s="61">
        <v>840000</v>
      </c>
      <c r="V11" s="61">
        <v>12040000</v>
      </c>
      <c r="W11" s="61"/>
      <c r="X11" s="61"/>
      <c r="Y11" s="61">
        <f t="shared" si="1"/>
        <v>12880000</v>
      </c>
      <c r="Z11" s="76">
        <f>21%*Table5[[#This Row],[Total Selling (Clients Revenue)]]</f>
        <v>21914970</v>
      </c>
      <c r="AA11" s="61">
        <v>8600000</v>
      </c>
      <c r="AB11" s="61">
        <f>7/28*17211301</f>
        <v>4302825.25</v>
      </c>
      <c r="AC11" s="61"/>
      <c r="AD11" s="61">
        <v>950000</v>
      </c>
      <c r="AE11" s="61">
        <f t="shared" si="2"/>
        <v>35767795.25</v>
      </c>
      <c r="AF11" s="61">
        <f t="shared" si="3"/>
        <v>-3557704.75</v>
      </c>
      <c r="AG1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-4420530</v>
      </c>
      <c r="AH11" s="13">
        <f>IFERROR(AG11/(Z11+Table5[[#This Row],[Rider Penalty (Claim, Other Denda to Riders)]]),0)</f>
        <v>-0.19333198337894167</v>
      </c>
      <c r="AI11" s="56">
        <f t="shared" si="4"/>
        <v>862825.25</v>
      </c>
      <c r="AJ11" s="60">
        <f t="shared" si="5"/>
        <v>6.6871032760828869E-2</v>
      </c>
      <c r="AM11" t="s">
        <v>199</v>
      </c>
      <c r="AN11" t="s">
        <v>33</v>
      </c>
      <c r="AR11" t="s">
        <v>160</v>
      </c>
      <c r="AV11" s="109">
        <f>Table5[[#This Row],[Total Selling Comission/Sales (Weekly)]]/Table5[[#This Row],[Total Revenue Sharing % (Weekly)]]*100%</f>
        <v>0.42188056839685384</v>
      </c>
      <c r="AW11" s="109">
        <f>Table5[[#This Row],[Total Daily Incentive (Weekly)]]/Table5[[#This Row],[Total Revenue Sharing % (Weekly)]]*100%</f>
        <v>0.78485163338120012</v>
      </c>
      <c r="AX11" s="109">
        <f>(N11+O11)/Z11*100%</f>
        <v>1.206732201778054</v>
      </c>
    </row>
    <row r="12" spans="1:51" hidden="1">
      <c r="A12">
        <v>2025</v>
      </c>
      <c r="B12" t="s">
        <v>23</v>
      </c>
      <c r="C12" t="s">
        <v>173</v>
      </c>
      <c r="D12" t="s">
        <v>168</v>
      </c>
      <c r="E12" t="s">
        <v>24</v>
      </c>
      <c r="F12" t="s">
        <v>282</v>
      </c>
      <c r="G12">
        <v>7</v>
      </c>
      <c r="H12" t="s">
        <v>158</v>
      </c>
      <c r="I12" t="s">
        <v>278</v>
      </c>
      <c r="J12" s="18" t="s">
        <v>287</v>
      </c>
      <c r="K12" s="76">
        <v>15</v>
      </c>
      <c r="L12" s="76">
        <v>5060</v>
      </c>
      <c r="M12" s="76">
        <v>45596000</v>
      </c>
      <c r="N12" s="76">
        <v>4048000</v>
      </c>
      <c r="O12" s="61">
        <v>4500000</v>
      </c>
      <c r="P12" s="61">
        <v>0</v>
      </c>
      <c r="Q12" s="61"/>
      <c r="R12" s="61">
        <v>0</v>
      </c>
      <c r="S12" s="61"/>
      <c r="T12" s="61">
        <f t="shared" si="0"/>
        <v>8548000</v>
      </c>
      <c r="U12" s="61">
        <v>0</v>
      </c>
      <c r="V12" s="61">
        <v>3150000</v>
      </c>
      <c r="W12" s="61"/>
      <c r="X12" s="61"/>
      <c r="Y12" s="61">
        <f t="shared" si="1"/>
        <v>3150000</v>
      </c>
      <c r="Z12" s="76">
        <f>21%*Table5[[#This Row],[Total Selling (Clients Revenue)]]</f>
        <v>9575160</v>
      </c>
      <c r="AA12" s="61">
        <v>2250000</v>
      </c>
      <c r="AB12" s="61">
        <f>7/28*4551412</f>
        <v>1137853</v>
      </c>
      <c r="AC12" s="61"/>
      <c r="AD12" s="61">
        <v>50000</v>
      </c>
      <c r="AE12" s="61">
        <f t="shared" si="2"/>
        <v>13013013</v>
      </c>
      <c r="AF12" s="61">
        <f t="shared" si="3"/>
        <v>1315013</v>
      </c>
      <c r="AG1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1077160</v>
      </c>
      <c r="AH12" s="13">
        <f>IFERROR(AG12/(Z12+Table5[[#This Row],[Rider Penalty (Claim, Other Denda to Riders)]]),0)</f>
        <v>0.11191086693623795</v>
      </c>
      <c r="AI12" s="56">
        <f t="shared" si="4"/>
        <v>237853</v>
      </c>
      <c r="AJ12" s="60">
        <f t="shared" si="5"/>
        <v>7.0207591651703899E-2</v>
      </c>
      <c r="AM12" t="s">
        <v>170</v>
      </c>
      <c r="AN12" t="s">
        <v>174</v>
      </c>
      <c r="AR12" t="s">
        <v>162</v>
      </c>
      <c r="AV12" s="109">
        <f>Table5[[#This Row],[Total Selling Comission/Sales (Weekly)]]/Table5[[#This Row],[Total Revenue Sharing % (Weekly)]]*100%</f>
        <v>0.42276055961466963</v>
      </c>
      <c r="AW12" s="109">
        <f>Table5[[#This Row],[Total Daily Incentive (Weekly)]]/Table5[[#This Row],[Total Revenue Sharing % (Weekly)]]*100%</f>
        <v>0.46996603712105073</v>
      </c>
      <c r="AX12" s="109">
        <f>(N12+O12)/Z12*100%</f>
        <v>0.8927265967357203</v>
      </c>
    </row>
    <row r="13" spans="1:51" hidden="1">
      <c r="A13">
        <v>2025</v>
      </c>
      <c r="B13" t="s">
        <v>23</v>
      </c>
      <c r="C13" t="s">
        <v>23</v>
      </c>
      <c r="D13" t="s">
        <v>168</v>
      </c>
      <c r="E13" t="s">
        <v>28</v>
      </c>
      <c r="F13" t="s">
        <v>25</v>
      </c>
      <c r="G13">
        <v>6</v>
      </c>
      <c r="H13" t="s">
        <v>158</v>
      </c>
      <c r="I13" t="s">
        <v>256</v>
      </c>
      <c r="J13" t="s">
        <v>289</v>
      </c>
      <c r="K13" s="76">
        <v>270</v>
      </c>
      <c r="L13" s="76">
        <v>79559</v>
      </c>
      <c r="M13" s="76">
        <v>698169000</v>
      </c>
      <c r="N13" s="76">
        <v>79455500</v>
      </c>
      <c r="O13" s="61">
        <v>59625000</v>
      </c>
      <c r="P13" s="61"/>
      <c r="Q13" s="61"/>
      <c r="R13" s="61"/>
      <c r="S13" s="61"/>
      <c r="T13" s="61">
        <f t="shared" si="0"/>
        <v>139080500</v>
      </c>
      <c r="U13" s="61">
        <v>100000</v>
      </c>
      <c r="V13" s="61">
        <v>66150000</v>
      </c>
      <c r="W13" s="61"/>
      <c r="X13" s="61">
        <v>327500</v>
      </c>
      <c r="Y13" s="61">
        <f t="shared" si="1"/>
        <v>66577500</v>
      </c>
      <c r="Z13" s="76">
        <f>23%*Table5[[#This Row],[Total Selling (Clients Revenue)]]</f>
        <v>160578870</v>
      </c>
      <c r="AA13" s="61">
        <v>32688000</v>
      </c>
      <c r="AB13" s="61">
        <f>7/28*134738682</f>
        <v>33684670.5</v>
      </c>
      <c r="AC13" s="61"/>
      <c r="AD13" s="61"/>
      <c r="AE13" s="61">
        <f t="shared" si="2"/>
        <v>226951540.5</v>
      </c>
      <c r="AF13" s="61">
        <f t="shared" si="3"/>
        <v>21293540.5</v>
      </c>
      <c r="AG1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21070870</v>
      </c>
      <c r="AH13" s="13">
        <f>IFERROR(AG13/(Z13+Table5[[#This Row],[Rider Penalty (Claim, Other Denda to Riders)]]),0)</f>
        <v>0.1312181982598333</v>
      </c>
      <c r="AI13" s="56">
        <f t="shared" si="4"/>
        <v>222670.5</v>
      </c>
      <c r="AJ13" s="60">
        <f t="shared" si="5"/>
        <v>3.3548522053214657E-3</v>
      </c>
      <c r="AK13" s="88" t="s">
        <v>290</v>
      </c>
      <c r="AM13" t="s">
        <v>175</v>
      </c>
      <c r="AN13" t="s">
        <v>173</v>
      </c>
      <c r="AR13" t="s">
        <v>156</v>
      </c>
      <c r="AV13" s="109">
        <f>Table5[[#This Row],[Total Selling Comission/Sales (Weekly)]]/Table5[[#This Row],[Total Revenue Sharing % (Weekly)]]*100%</f>
        <v>0.49480669530181648</v>
      </c>
      <c r="AW13" s="109">
        <f>Table5[[#This Row],[Total Daily Incentive (Weekly)]]/Table5[[#This Row],[Total Revenue Sharing % (Weekly)]]*100%</f>
        <v>0.3713128632677512</v>
      </c>
      <c r="AX13" s="109">
        <f>(N13+O13)/Z13*100%</f>
        <v>0.86611955856956768</v>
      </c>
    </row>
    <row r="14" spans="1:51" hidden="1">
      <c r="A14">
        <v>2025</v>
      </c>
      <c r="B14" t="s">
        <v>23</v>
      </c>
      <c r="C14" t="s">
        <v>172</v>
      </c>
      <c r="D14" t="s">
        <v>168</v>
      </c>
      <c r="E14" t="s">
        <v>28</v>
      </c>
      <c r="F14" t="s">
        <v>31</v>
      </c>
      <c r="G14">
        <v>6</v>
      </c>
      <c r="H14" t="s">
        <v>158</v>
      </c>
      <c r="I14" t="s">
        <v>256</v>
      </c>
      <c r="J14" t="s">
        <v>289</v>
      </c>
      <c r="K14" s="1">
        <v>32</v>
      </c>
      <c r="L14" s="1">
        <v>9742</v>
      </c>
      <c r="M14" s="1">
        <v>86493000</v>
      </c>
      <c r="N14" s="76">
        <v>9739500</v>
      </c>
      <c r="O14" s="61">
        <v>7025000</v>
      </c>
      <c r="P14" s="61"/>
      <c r="Q14" s="61"/>
      <c r="R14" s="61"/>
      <c r="S14" s="61"/>
      <c r="T14" s="61">
        <f t="shared" si="0"/>
        <v>16764500</v>
      </c>
      <c r="U14" s="61">
        <v>0</v>
      </c>
      <c r="V14" s="61">
        <v>7840000</v>
      </c>
      <c r="W14" s="61"/>
      <c r="X14" s="61">
        <v>456000</v>
      </c>
      <c r="Y14" s="61">
        <f t="shared" si="1"/>
        <v>8296000</v>
      </c>
      <c r="Z14" s="1">
        <v>20099470</v>
      </c>
      <c r="AA14" s="61">
        <v>3834000</v>
      </c>
      <c r="AB14" s="61">
        <f>7/28*15850839</f>
        <v>3962709.75</v>
      </c>
      <c r="AC14" s="61"/>
      <c r="AD14" s="61"/>
      <c r="AE14" s="61">
        <f t="shared" si="2"/>
        <v>27896179.75</v>
      </c>
      <c r="AF14" s="61">
        <f t="shared" si="3"/>
        <v>2835679.75</v>
      </c>
      <c r="AG1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2878970</v>
      </c>
      <c r="AH14" s="13">
        <f>IFERROR(AG14/(Z14+Table5[[#This Row],[Rider Penalty (Claim, Other Denda to Riders)]]),0)</f>
        <v>0.14323611518114657</v>
      </c>
      <c r="AI14" s="56">
        <f t="shared" si="4"/>
        <v>-43290.25</v>
      </c>
      <c r="AJ14" s="60">
        <f t="shared" si="5"/>
        <v>-5.5523741922033198E-3</v>
      </c>
      <c r="AK14" s="88" t="s">
        <v>290</v>
      </c>
      <c r="AM14" t="s">
        <v>196</v>
      </c>
      <c r="AN14" t="s">
        <v>199</v>
      </c>
      <c r="AR14" t="s">
        <v>161</v>
      </c>
      <c r="AV14" s="109">
        <f>Table5[[#This Row],[Total Selling Comission/Sales (Weekly)]]/Table5[[#This Row],[Total Revenue Sharing % (Weekly)]]*100%</f>
        <v>0.48456501589345391</v>
      </c>
      <c r="AW14" s="109">
        <f>Table5[[#This Row],[Total Daily Incentive (Weekly)]]/Table5[[#This Row],[Total Revenue Sharing % (Weekly)]]*100%</f>
        <v>0.34951170354243172</v>
      </c>
      <c r="AX14" s="109">
        <f>(N14+O14)/Z14*100%</f>
        <v>0.83407671943588557</v>
      </c>
    </row>
    <row r="15" spans="1:51" hidden="1">
      <c r="A15">
        <v>2025</v>
      </c>
      <c r="B15" t="s">
        <v>23</v>
      </c>
      <c r="C15" t="s">
        <v>174</v>
      </c>
      <c r="D15" t="s">
        <v>168</v>
      </c>
      <c r="E15" t="s">
        <v>24</v>
      </c>
      <c r="F15" s="1" t="s">
        <v>24</v>
      </c>
      <c r="G15">
        <v>6</v>
      </c>
      <c r="H15" t="s">
        <v>158</v>
      </c>
      <c r="I15" t="s">
        <v>256</v>
      </c>
      <c r="J15" t="s">
        <v>289</v>
      </c>
      <c r="K15" s="76">
        <v>59</v>
      </c>
      <c r="L15" s="76">
        <v>9707</v>
      </c>
      <c r="M15" s="76">
        <v>87376000</v>
      </c>
      <c r="N15" s="76">
        <v>7738600</v>
      </c>
      <c r="O15" s="61">
        <v>14850000</v>
      </c>
      <c r="P15" s="61">
        <v>0</v>
      </c>
      <c r="Q15" s="61"/>
      <c r="R15" s="61">
        <v>0</v>
      </c>
      <c r="S15" s="61"/>
      <c r="T15" s="61">
        <f t="shared" si="0"/>
        <v>22588600</v>
      </c>
      <c r="U15" s="61">
        <v>840000</v>
      </c>
      <c r="V15" s="61">
        <v>10395000</v>
      </c>
      <c r="W15" s="61"/>
      <c r="X15" s="61"/>
      <c r="Y15" s="61">
        <f t="shared" si="1"/>
        <v>11235000</v>
      </c>
      <c r="Z15" s="76">
        <f>21%*Table5[[#This Row],[Total Selling (Clients Revenue)]]</f>
        <v>18348960</v>
      </c>
      <c r="AA15" s="61">
        <v>9770000</v>
      </c>
      <c r="AB15" s="61">
        <f>7/28*17211301</f>
        <v>4302825.25</v>
      </c>
      <c r="AC15" s="61"/>
      <c r="AD15" s="61">
        <v>700000</v>
      </c>
      <c r="AE15" s="61">
        <f t="shared" si="2"/>
        <v>33121785.25</v>
      </c>
      <c r="AF15" s="61">
        <f t="shared" si="3"/>
        <v>-701814.75</v>
      </c>
      <c r="AG1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-4379640</v>
      </c>
      <c r="AH15" s="13">
        <f>IFERROR(AG15/(Z15+Table5[[#This Row],[Rider Penalty (Claim, Other Denda to Riders)]]),0)</f>
        <v>-0.22991491399005509</v>
      </c>
      <c r="AI15" s="56">
        <f t="shared" si="4"/>
        <v>3677825.25</v>
      </c>
      <c r="AJ15" s="60">
        <f t="shared" si="5"/>
        <v>0.26134235199147376</v>
      </c>
      <c r="AN15" t="s">
        <v>170</v>
      </c>
      <c r="AV15" s="109">
        <f>Table5[[#This Row],[Total Selling Comission/Sales (Weekly)]]/Table5[[#This Row],[Total Revenue Sharing % (Weekly)]]*100%</f>
        <v>0.42174597361376337</v>
      </c>
      <c r="AW15" s="109">
        <f>Table5[[#This Row],[Total Daily Incentive (Weekly)]]/Table5[[#This Row],[Total Revenue Sharing % (Weekly)]]*100%</f>
        <v>0.80931017343762257</v>
      </c>
      <c r="AX15" s="109">
        <f>(N15+O15)/Z15*100%</f>
        <v>1.2310561470513861</v>
      </c>
    </row>
    <row r="16" spans="1:51" hidden="1">
      <c r="A16">
        <v>2025</v>
      </c>
      <c r="B16" t="s">
        <v>27</v>
      </c>
      <c r="C16" t="s">
        <v>27</v>
      </c>
      <c r="D16" t="s">
        <v>169</v>
      </c>
      <c r="E16" t="s">
        <v>28</v>
      </c>
      <c r="F16" t="s">
        <v>28</v>
      </c>
      <c r="G16">
        <v>6</v>
      </c>
      <c r="H16" t="s">
        <v>158</v>
      </c>
      <c r="I16" t="s">
        <v>256</v>
      </c>
      <c r="J16" t="s">
        <v>291</v>
      </c>
      <c r="K16" s="58">
        <v>4</v>
      </c>
      <c r="L16" s="76">
        <v>756</v>
      </c>
      <c r="M16" s="76">
        <v>7756000</v>
      </c>
      <c r="N16" s="76">
        <v>775600</v>
      </c>
      <c r="O16" s="61">
        <v>500000</v>
      </c>
      <c r="P16" s="61">
        <v>0</v>
      </c>
      <c r="Q16" s="61"/>
      <c r="R16" s="61">
        <v>0</v>
      </c>
      <c r="S16" s="61"/>
      <c r="T16" s="61">
        <f t="shared" si="0"/>
        <v>1275600</v>
      </c>
      <c r="U16" s="61">
        <v>0</v>
      </c>
      <c r="V16" s="61">
        <v>840000</v>
      </c>
      <c r="W16" s="61"/>
      <c r="X16" s="61"/>
      <c r="Y16" s="61">
        <f t="shared" si="1"/>
        <v>840000</v>
      </c>
      <c r="Z16" s="76">
        <f>30%*Table5[[#This Row],[Total Selling (Clients Revenue)]]</f>
        <v>2326800</v>
      </c>
      <c r="AA16" s="61">
        <v>240000</v>
      </c>
      <c r="AB16" s="61">
        <v>0</v>
      </c>
      <c r="AC16" s="61"/>
      <c r="AD16" s="61"/>
      <c r="AE16" s="61">
        <f t="shared" si="2"/>
        <v>2566800</v>
      </c>
      <c r="AF16" s="61">
        <f t="shared" si="3"/>
        <v>451200</v>
      </c>
      <c r="AG1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1051200</v>
      </c>
      <c r="AH16" s="13">
        <f>IFERROR(AG16/(Z16+Table5[[#This Row],[Rider Penalty (Claim, Other Denda to Riders)]]),0)</f>
        <v>0.45177926766374421</v>
      </c>
      <c r="AI16" s="56">
        <f t="shared" si="4"/>
        <v>-600000</v>
      </c>
      <c r="AJ16" s="60">
        <f t="shared" si="5"/>
        <v>-2.5</v>
      </c>
      <c r="AK16" s="88" t="s">
        <v>290</v>
      </c>
      <c r="AN16" t="s">
        <v>175</v>
      </c>
      <c r="AV16" s="109"/>
      <c r="AW16" s="109"/>
      <c r="AX16" s="109"/>
    </row>
    <row r="17" spans="1:50" hidden="1">
      <c r="A17">
        <v>2025</v>
      </c>
      <c r="B17" t="s">
        <v>29</v>
      </c>
      <c r="C17" t="s">
        <v>29</v>
      </c>
      <c r="D17" t="s">
        <v>169</v>
      </c>
      <c r="E17" t="s">
        <v>28</v>
      </c>
      <c r="F17" t="s">
        <v>28</v>
      </c>
      <c r="G17">
        <v>6</v>
      </c>
      <c r="H17" t="s">
        <v>158</v>
      </c>
      <c r="I17" t="s">
        <v>256</v>
      </c>
      <c r="J17" t="s">
        <v>291</v>
      </c>
      <c r="K17" s="76">
        <v>6</v>
      </c>
      <c r="L17" s="76">
        <v>264</v>
      </c>
      <c r="M17" s="76">
        <v>2604000</v>
      </c>
      <c r="N17" s="76">
        <v>264000</v>
      </c>
      <c r="O17" s="61">
        <v>700000</v>
      </c>
      <c r="P17" s="61">
        <v>0</v>
      </c>
      <c r="Q17" s="61"/>
      <c r="R17" s="61">
        <v>0</v>
      </c>
      <c r="S17" s="61"/>
      <c r="T17" s="61">
        <f t="shared" si="0"/>
        <v>964000</v>
      </c>
      <c r="U17" s="61">
        <v>0</v>
      </c>
      <c r="V17" s="61">
        <v>1260000</v>
      </c>
      <c r="W17" s="61"/>
      <c r="X17" s="61"/>
      <c r="Y17" s="61">
        <f t="shared" si="1"/>
        <v>1260000</v>
      </c>
      <c r="Z17" s="76">
        <f>30%*Table5[[#This Row],[Total Selling (Clients Revenue)]]</f>
        <v>781200</v>
      </c>
      <c r="AA17" s="61">
        <v>360000</v>
      </c>
      <c r="AB17" s="61">
        <v>0</v>
      </c>
      <c r="AC17" s="61"/>
      <c r="AD17" s="61"/>
      <c r="AE17" s="61">
        <f t="shared" si="2"/>
        <v>1141200</v>
      </c>
      <c r="AF17" s="61">
        <f t="shared" si="3"/>
        <v>-1082800</v>
      </c>
      <c r="AG1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-182800</v>
      </c>
      <c r="AH17" s="13">
        <f>IFERROR(AG17/(Z17+Table5[[#This Row],[Rider Penalty (Claim, Other Denda to Riders)]]),0)</f>
        <v>-0.23399897593445981</v>
      </c>
      <c r="AI17" s="56">
        <f t="shared" si="4"/>
        <v>-900000</v>
      </c>
      <c r="AJ17" s="60">
        <f t="shared" si="5"/>
        <v>-2.5</v>
      </c>
      <c r="AK17" s="88" t="s">
        <v>290</v>
      </c>
      <c r="AN17" t="s">
        <v>196</v>
      </c>
      <c r="AV17" s="109"/>
      <c r="AW17" s="109"/>
      <c r="AX17" s="109"/>
    </row>
    <row r="18" spans="1:50" hidden="1">
      <c r="A18">
        <v>2025</v>
      </c>
      <c r="B18" t="s">
        <v>34</v>
      </c>
      <c r="C18" t="s">
        <v>34</v>
      </c>
      <c r="D18" t="s">
        <v>169</v>
      </c>
      <c r="E18" t="s">
        <v>28</v>
      </c>
      <c r="F18" t="s">
        <v>28</v>
      </c>
      <c r="G18">
        <v>6</v>
      </c>
      <c r="H18" t="s">
        <v>158</v>
      </c>
      <c r="I18" t="s">
        <v>256</v>
      </c>
      <c r="J18" t="s">
        <v>291</v>
      </c>
      <c r="K18" s="76">
        <v>4</v>
      </c>
      <c r="L18" s="76">
        <v>159</v>
      </c>
      <c r="M18" s="76">
        <v>1217000</v>
      </c>
      <c r="N18" s="76">
        <v>159000</v>
      </c>
      <c r="O18" s="61">
        <v>225000</v>
      </c>
      <c r="P18" s="61">
        <v>0</v>
      </c>
      <c r="Q18" s="61"/>
      <c r="R18" s="61">
        <v>0</v>
      </c>
      <c r="S18" s="61"/>
      <c r="T18" s="61">
        <f t="shared" si="0"/>
        <v>384000</v>
      </c>
      <c r="U18" s="61">
        <v>0</v>
      </c>
      <c r="V18" s="61">
        <v>840000</v>
      </c>
      <c r="W18" s="61"/>
      <c r="X18" s="61"/>
      <c r="Y18" s="61">
        <f t="shared" si="1"/>
        <v>840000</v>
      </c>
      <c r="Z18" s="76">
        <f>35%*Table5[[#This Row],[Total Selling (Clients Revenue)]]</f>
        <v>425950</v>
      </c>
      <c r="AA18" s="61">
        <v>180000</v>
      </c>
      <c r="AB18" s="61">
        <v>0</v>
      </c>
      <c r="AC18" s="61"/>
      <c r="AD18" s="61"/>
      <c r="AE18" s="61">
        <f t="shared" si="2"/>
        <v>605950</v>
      </c>
      <c r="AF18" s="61">
        <f t="shared" si="3"/>
        <v>-618050</v>
      </c>
      <c r="AG1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41950</v>
      </c>
      <c r="AH18" s="13">
        <f>IFERROR(AG18/(Z18+Table5[[#This Row],[Rider Penalty (Claim, Other Denda to Riders)]]),0)</f>
        <v>9.8485737762648198E-2</v>
      </c>
      <c r="AI18" s="56">
        <f t="shared" si="4"/>
        <v>-660000</v>
      </c>
      <c r="AJ18" s="60">
        <f t="shared" si="5"/>
        <v>-3.6666666666666665</v>
      </c>
      <c r="AK18" s="88" t="s">
        <v>290</v>
      </c>
      <c r="AV18" s="109"/>
      <c r="AW18" s="109"/>
      <c r="AX18" s="109"/>
    </row>
    <row r="19" spans="1:50" hidden="1">
      <c r="A19">
        <v>2025</v>
      </c>
      <c r="B19" t="s">
        <v>201</v>
      </c>
      <c r="C19" t="s">
        <v>201</v>
      </c>
      <c r="D19" t="s">
        <v>169</v>
      </c>
      <c r="E19" t="s">
        <v>28</v>
      </c>
      <c r="F19" t="s">
        <v>28</v>
      </c>
      <c r="G19">
        <v>6</v>
      </c>
      <c r="H19" t="s">
        <v>158</v>
      </c>
      <c r="I19" t="s">
        <v>256</v>
      </c>
      <c r="J19" t="s">
        <v>291</v>
      </c>
      <c r="K19" s="76">
        <v>5</v>
      </c>
      <c r="L19" s="76">
        <v>226</v>
      </c>
      <c r="M19" s="76">
        <v>2707000</v>
      </c>
      <c r="N19" s="76">
        <v>226000</v>
      </c>
      <c r="O19" s="61">
        <v>475000</v>
      </c>
      <c r="P19" s="61">
        <v>0</v>
      </c>
      <c r="Q19" s="61"/>
      <c r="R19" s="61">
        <v>0</v>
      </c>
      <c r="S19" s="61"/>
      <c r="T19" s="61">
        <f t="shared" si="0"/>
        <v>701000</v>
      </c>
      <c r="U19" s="61">
        <v>0</v>
      </c>
      <c r="V19" s="61">
        <v>1050000</v>
      </c>
      <c r="W19" s="61"/>
      <c r="X19" s="61"/>
      <c r="Y19" s="61">
        <f t="shared" si="1"/>
        <v>1050000</v>
      </c>
      <c r="Z19" s="76">
        <f>30%*Table5[[#This Row],[Total Selling (Clients Revenue)]]</f>
        <v>812100</v>
      </c>
      <c r="AA19" s="61">
        <v>300000</v>
      </c>
      <c r="AB19" s="61">
        <v>0</v>
      </c>
      <c r="AC19" s="61"/>
      <c r="AD19" s="61"/>
      <c r="AE19" s="61">
        <f t="shared" si="2"/>
        <v>1112100</v>
      </c>
      <c r="AF19" s="61">
        <f t="shared" si="3"/>
        <v>-638900</v>
      </c>
      <c r="AG1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111100</v>
      </c>
      <c r="AH19" s="13">
        <f>IFERROR(AG19/(Z19+Table5[[#This Row],[Rider Penalty (Claim, Other Denda to Riders)]]),0)</f>
        <v>0.13680581209210688</v>
      </c>
      <c r="AI19" s="56">
        <f t="shared" si="4"/>
        <v>-750000</v>
      </c>
      <c r="AJ19" s="60">
        <f t="shared" si="5"/>
        <v>-2.5</v>
      </c>
      <c r="AK19" s="88" t="s">
        <v>290</v>
      </c>
      <c r="AV19" s="109"/>
      <c r="AW19" s="109"/>
      <c r="AX19" s="109"/>
    </row>
    <row r="20" spans="1:50" hidden="1">
      <c r="A20">
        <v>2025</v>
      </c>
      <c r="B20" t="s">
        <v>200</v>
      </c>
      <c r="C20" t="s">
        <v>200</v>
      </c>
      <c r="D20" t="s">
        <v>169</v>
      </c>
      <c r="E20" t="s">
        <v>28</v>
      </c>
      <c r="F20" t="s">
        <v>28</v>
      </c>
      <c r="G20">
        <v>6</v>
      </c>
      <c r="H20" t="s">
        <v>158</v>
      </c>
      <c r="I20" t="s">
        <v>256</v>
      </c>
      <c r="J20" t="s">
        <v>291</v>
      </c>
      <c r="K20" s="76">
        <v>1</v>
      </c>
      <c r="L20" s="76">
        <v>101</v>
      </c>
      <c r="M20" s="76">
        <v>1066000</v>
      </c>
      <c r="N20" s="76">
        <v>101000</v>
      </c>
      <c r="O20" s="61">
        <v>150000</v>
      </c>
      <c r="P20" s="61"/>
      <c r="Q20" s="61"/>
      <c r="R20" s="61"/>
      <c r="S20" s="61"/>
      <c r="T20" s="61">
        <f t="shared" si="0"/>
        <v>251000</v>
      </c>
      <c r="U20" s="61"/>
      <c r="V20" s="61">
        <v>210000</v>
      </c>
      <c r="W20" s="61"/>
      <c r="X20" s="61"/>
      <c r="Y20" s="61">
        <f t="shared" si="1"/>
        <v>210000</v>
      </c>
      <c r="Z20" s="76">
        <f>35%*Table5[[#This Row],[Total Selling (Clients Revenue)]]</f>
        <v>373100</v>
      </c>
      <c r="AA20" s="61">
        <v>60000</v>
      </c>
      <c r="AB20" s="61">
        <v>0</v>
      </c>
      <c r="AC20" s="61"/>
      <c r="AD20" s="61"/>
      <c r="AE20" s="61">
        <f t="shared" si="2"/>
        <v>433100</v>
      </c>
      <c r="AF20" s="61">
        <f t="shared" si="3"/>
        <v>-27900</v>
      </c>
      <c r="AG2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122100</v>
      </c>
      <c r="AH20" s="13">
        <f>IFERROR(AG20/(Z20+Table5[[#This Row],[Rider Penalty (Claim, Other Denda to Riders)]]),0)</f>
        <v>0.32725810774591263</v>
      </c>
      <c r="AI20" s="56">
        <f t="shared" si="4"/>
        <v>-150000</v>
      </c>
      <c r="AJ20" s="60">
        <f t="shared" si="5"/>
        <v>-2.5</v>
      </c>
      <c r="AK20" s="88" t="s">
        <v>290</v>
      </c>
      <c r="AV20" s="109"/>
      <c r="AW20" s="109"/>
      <c r="AX20" s="109"/>
    </row>
    <row r="21" spans="1:50" hidden="1">
      <c r="A21">
        <v>2025</v>
      </c>
      <c r="B21" t="s">
        <v>171</v>
      </c>
      <c r="C21" t="s">
        <v>171</v>
      </c>
      <c r="D21" t="s">
        <v>168</v>
      </c>
      <c r="E21" t="s">
        <v>28</v>
      </c>
      <c r="F21" t="s">
        <v>28</v>
      </c>
      <c r="G21">
        <v>6</v>
      </c>
      <c r="H21" s="23" t="s">
        <v>158</v>
      </c>
      <c r="I21" t="s">
        <v>256</v>
      </c>
      <c r="J21" t="s">
        <v>291</v>
      </c>
      <c r="K21" s="76">
        <v>1</v>
      </c>
      <c r="L21" s="76">
        <v>140</v>
      </c>
      <c r="M21" s="164">
        <v>504000</v>
      </c>
      <c r="N21" s="76">
        <v>140000</v>
      </c>
      <c r="O21" s="61">
        <v>150000</v>
      </c>
      <c r="P21" s="61">
        <v>0</v>
      </c>
      <c r="Q21" s="61"/>
      <c r="R21" s="61">
        <v>0</v>
      </c>
      <c r="S21" s="61"/>
      <c r="T21" s="61">
        <f t="shared" si="0"/>
        <v>290000</v>
      </c>
      <c r="U21" s="61">
        <v>0</v>
      </c>
      <c r="V21" s="61">
        <v>210000</v>
      </c>
      <c r="W21" s="61"/>
      <c r="X21" s="61"/>
      <c r="Y21" s="61">
        <f t="shared" si="1"/>
        <v>210000</v>
      </c>
      <c r="Z21" s="76">
        <f>30%*Table5[[#This Row],[Total Selling (Clients Revenue)]]</f>
        <v>151200</v>
      </c>
      <c r="AA21" s="61">
        <v>60000</v>
      </c>
      <c r="AB21" s="61">
        <v>0</v>
      </c>
      <c r="AC21" s="61"/>
      <c r="AD21" s="61"/>
      <c r="AE21" s="61">
        <f t="shared" si="2"/>
        <v>211200</v>
      </c>
      <c r="AF21" s="61">
        <f t="shared" si="3"/>
        <v>-288800</v>
      </c>
      <c r="AG2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-138800</v>
      </c>
      <c r="AH21" s="13">
        <f>IFERROR(AG21/(Z21+Table5[[#This Row],[Rider Penalty (Claim, Other Denda to Riders)]]),0)</f>
        <v>-0.91798941798941802</v>
      </c>
      <c r="AI21" s="56">
        <f t="shared" si="4"/>
        <v>-150000</v>
      </c>
      <c r="AJ21" s="60">
        <f t="shared" si="5"/>
        <v>-2.5</v>
      </c>
      <c r="AK21" s="88" t="s">
        <v>290</v>
      </c>
      <c r="AV21" s="109"/>
      <c r="AW21" s="109"/>
      <c r="AX21" s="109"/>
    </row>
    <row r="22" spans="1:50" hidden="1">
      <c r="A22">
        <v>2025</v>
      </c>
      <c r="B22" t="s">
        <v>33</v>
      </c>
      <c r="C22" t="s">
        <v>33</v>
      </c>
      <c r="D22" t="s">
        <v>169</v>
      </c>
      <c r="E22" t="s">
        <v>28</v>
      </c>
      <c r="F22" t="s">
        <v>28</v>
      </c>
      <c r="G22">
        <v>6</v>
      </c>
      <c r="H22" s="23" t="s">
        <v>158</v>
      </c>
      <c r="I22" t="s">
        <v>256</v>
      </c>
      <c r="J22" t="s">
        <v>291</v>
      </c>
      <c r="K22" s="76">
        <v>1</v>
      </c>
      <c r="L22" s="76">
        <v>23</v>
      </c>
      <c r="M22" s="76">
        <v>490000</v>
      </c>
      <c r="N22" s="76">
        <v>23000</v>
      </c>
      <c r="O22" s="61">
        <v>50000</v>
      </c>
      <c r="P22" s="61">
        <v>0</v>
      </c>
      <c r="Q22" s="61"/>
      <c r="R22" s="61" t="s">
        <v>292</v>
      </c>
      <c r="S22" s="61"/>
      <c r="T22" s="61">
        <f t="shared" si="0"/>
        <v>73000</v>
      </c>
      <c r="U22" s="61">
        <v>0</v>
      </c>
      <c r="V22" s="61">
        <v>210000</v>
      </c>
      <c r="W22" s="61"/>
      <c r="X22" s="61"/>
      <c r="Y22" s="61">
        <f t="shared" si="1"/>
        <v>210000</v>
      </c>
      <c r="Z22" s="76">
        <f>25%*Table5[[#This Row],[Total Selling (Clients Revenue)]]</f>
        <v>122500</v>
      </c>
      <c r="AA22" s="61">
        <v>60000</v>
      </c>
      <c r="AB22" s="61">
        <v>0</v>
      </c>
      <c r="AC22" s="61"/>
      <c r="AD22" s="61"/>
      <c r="AE22" s="61">
        <f t="shared" si="2"/>
        <v>182500</v>
      </c>
      <c r="AF22" s="61">
        <f t="shared" si="3"/>
        <v>-100500</v>
      </c>
      <c r="AG2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49500</v>
      </c>
      <c r="AH22" s="13">
        <f>IFERROR(AG22/(Z22+Table5[[#This Row],[Rider Penalty (Claim, Other Denda to Riders)]]),0)</f>
        <v>0.40408163265306124</v>
      </c>
      <c r="AI22" s="56">
        <f t="shared" si="4"/>
        <v>-150000</v>
      </c>
      <c r="AJ22" s="60">
        <f t="shared" si="5"/>
        <v>-2.5</v>
      </c>
      <c r="AK22" s="88" t="s">
        <v>290</v>
      </c>
      <c r="AV22" s="109"/>
      <c r="AW22" s="109"/>
      <c r="AX22" s="109"/>
    </row>
    <row r="23" spans="1:50" hidden="1">
      <c r="A23">
        <v>2025</v>
      </c>
      <c r="B23" t="s">
        <v>23</v>
      </c>
      <c r="C23" t="s">
        <v>173</v>
      </c>
      <c r="D23" t="s">
        <v>168</v>
      </c>
      <c r="E23" t="s">
        <v>24</v>
      </c>
      <c r="F23" s="76" t="s">
        <v>282</v>
      </c>
      <c r="G23">
        <v>6</v>
      </c>
      <c r="H23" s="23" t="s">
        <v>158</v>
      </c>
      <c r="I23" t="s">
        <v>256</v>
      </c>
      <c r="J23" t="s">
        <v>289</v>
      </c>
      <c r="K23" s="76">
        <v>15</v>
      </c>
      <c r="L23" s="76">
        <v>4227</v>
      </c>
      <c r="M23" s="76">
        <v>38662000</v>
      </c>
      <c r="N23" s="76">
        <v>3381600</v>
      </c>
      <c r="O23" s="61">
        <v>4200000</v>
      </c>
      <c r="P23" s="61">
        <v>0</v>
      </c>
      <c r="Q23" s="61"/>
      <c r="R23" s="61">
        <v>0</v>
      </c>
      <c r="S23" s="61"/>
      <c r="T23" s="61">
        <f t="shared" si="0"/>
        <v>7581600</v>
      </c>
      <c r="U23" s="61">
        <v>0</v>
      </c>
      <c r="V23" s="61">
        <v>2940000</v>
      </c>
      <c r="W23" s="61"/>
      <c r="X23" s="61"/>
      <c r="Y23" s="61">
        <f t="shared" si="1"/>
        <v>2940000</v>
      </c>
      <c r="Z23" s="76">
        <f>21%*Table5[[#This Row],[Total Selling (Clients Revenue)]]</f>
        <v>8119020</v>
      </c>
      <c r="AA23" s="61">
        <v>2100000</v>
      </c>
      <c r="AB23" s="61">
        <f>7/28*4551412</f>
        <v>1137853</v>
      </c>
      <c r="AC23" s="61"/>
      <c r="AD23" s="61">
        <v>50000</v>
      </c>
      <c r="AE23" s="61">
        <f t="shared" si="2"/>
        <v>11406873</v>
      </c>
      <c r="AF23" s="61">
        <f t="shared" si="3"/>
        <v>885273</v>
      </c>
      <c r="AG2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587420</v>
      </c>
      <c r="AH23" s="13">
        <f>IFERROR(AG23/(Z23+Table5[[#This Row],[Rider Penalty (Claim, Other Denda to Riders)]]),0)</f>
        <v>7.1908258273330222E-2</v>
      </c>
      <c r="AI23" s="56">
        <f t="shared" si="4"/>
        <v>297853</v>
      </c>
      <c r="AJ23" s="60">
        <f t="shared" si="5"/>
        <v>9.1990896436620187E-2</v>
      </c>
      <c r="AV23" s="109">
        <f>Table5[[#This Row],[Total Selling Comission/Sales (Weekly)]]/Table5[[#This Row],[Total Revenue Sharing % (Weekly)]]*100%</f>
        <v>0.41650346963057117</v>
      </c>
      <c r="AW23" s="109">
        <f>Table5[[#This Row],[Total Daily Incentive (Weekly)]]/Table5[[#This Row],[Total Revenue Sharing % (Weekly)]]*100%</f>
        <v>0.51730381252909829</v>
      </c>
      <c r="AX23" s="109">
        <f>(N23+O23)/Z23*100%</f>
        <v>0.93380728215966957</v>
      </c>
    </row>
    <row r="24" spans="1:50" hidden="1">
      <c r="A24">
        <v>2025</v>
      </c>
      <c r="B24" t="s">
        <v>27</v>
      </c>
      <c r="C24" t="s">
        <v>27</v>
      </c>
      <c r="D24" t="s">
        <v>169</v>
      </c>
      <c r="E24" t="s">
        <v>28</v>
      </c>
      <c r="F24" t="s">
        <v>28</v>
      </c>
      <c r="G24">
        <v>5</v>
      </c>
      <c r="H24" s="23" t="s">
        <v>158</v>
      </c>
      <c r="I24" t="s">
        <v>275</v>
      </c>
      <c r="J24" t="s">
        <v>293</v>
      </c>
      <c r="K24" s="76">
        <v>3</v>
      </c>
      <c r="L24" s="76">
        <v>315</v>
      </c>
      <c r="M24" s="76">
        <v>2756000</v>
      </c>
      <c r="N24" s="76">
        <v>315000</v>
      </c>
      <c r="O24" s="61">
        <v>400000</v>
      </c>
      <c r="P24" s="61"/>
      <c r="Q24" s="61"/>
      <c r="R24" s="61"/>
      <c r="S24" s="61"/>
      <c r="T24" s="61">
        <f t="shared" si="0"/>
        <v>715000</v>
      </c>
      <c r="U24" s="61"/>
      <c r="V24" s="61">
        <v>699300</v>
      </c>
      <c r="W24" s="61"/>
      <c r="X24" s="61"/>
      <c r="Y24" s="61">
        <f t="shared" si="1"/>
        <v>699300</v>
      </c>
      <c r="Z24" s="1">
        <f>30%*Table5[[#This Row],[Total Selling (Clients Revenue)]]</f>
        <v>826800</v>
      </c>
      <c r="AA24" s="61"/>
      <c r="AB24" s="61"/>
      <c r="AC24" s="61"/>
      <c r="AD24" s="61"/>
      <c r="AE24" s="61">
        <f t="shared" si="2"/>
        <v>826800</v>
      </c>
      <c r="AF24" s="61">
        <f t="shared" si="3"/>
        <v>-587500</v>
      </c>
      <c r="AG2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111800</v>
      </c>
      <c r="AH24" s="13">
        <f>IFERROR(AG24/(Z24+Table5[[#This Row],[Rider Penalty (Claim, Other Denda to Riders)]]),0)</f>
        <v>0.13522012578616352</v>
      </c>
      <c r="AI24" s="56">
        <f t="shared" si="4"/>
        <v>-699300</v>
      </c>
      <c r="AJ24" s="60">
        <f t="shared" si="5"/>
        <v>0</v>
      </c>
      <c r="AK24" s="88" t="s">
        <v>294</v>
      </c>
      <c r="AV24" s="109"/>
      <c r="AW24" s="109"/>
      <c r="AX24" s="109"/>
    </row>
    <row r="25" spans="1:50" hidden="1">
      <c r="A25">
        <v>2025</v>
      </c>
      <c r="B25" t="s">
        <v>29</v>
      </c>
      <c r="C25" t="s">
        <v>29</v>
      </c>
      <c r="D25" t="s">
        <v>169</v>
      </c>
      <c r="E25" t="s">
        <v>28</v>
      </c>
      <c r="F25" t="s">
        <v>28</v>
      </c>
      <c r="G25">
        <v>5</v>
      </c>
      <c r="H25" s="23" t="s">
        <v>158</v>
      </c>
      <c r="I25" t="s">
        <v>275</v>
      </c>
      <c r="J25" t="s">
        <v>293</v>
      </c>
      <c r="K25" s="76">
        <v>5</v>
      </c>
      <c r="L25" s="76">
        <v>275</v>
      </c>
      <c r="M25" s="76">
        <v>2562000</v>
      </c>
      <c r="N25" s="76">
        <v>275000</v>
      </c>
      <c r="O25" s="61">
        <v>500000</v>
      </c>
      <c r="P25" s="61"/>
      <c r="Q25" s="61"/>
      <c r="R25" s="61"/>
      <c r="S25" s="61"/>
      <c r="T25" s="61">
        <f t="shared" si="0"/>
        <v>775000</v>
      </c>
      <c r="U25" s="61"/>
      <c r="V25" s="61">
        <v>1065600</v>
      </c>
      <c r="W25" s="61"/>
      <c r="X25" s="61"/>
      <c r="Y25" s="61">
        <f t="shared" si="1"/>
        <v>1065600</v>
      </c>
      <c r="Z25" s="76">
        <f>30%*Table5[[#This Row],[Total Selling (Clients Revenue)]]</f>
        <v>768600</v>
      </c>
      <c r="AA25" s="61"/>
      <c r="AB25" s="61"/>
      <c r="AC25" s="61"/>
      <c r="AD25" s="61"/>
      <c r="AE25" s="61">
        <f t="shared" si="2"/>
        <v>768600</v>
      </c>
      <c r="AF25" s="61">
        <f t="shared" si="3"/>
        <v>-1072000</v>
      </c>
      <c r="AG2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-6400</v>
      </c>
      <c r="AH25" s="13">
        <f>IFERROR(AG25/(Z25+Table5[[#This Row],[Rider Penalty (Claim, Other Denda to Riders)]]),0)</f>
        <v>-8.3268279989591465E-3</v>
      </c>
      <c r="AI25" s="56">
        <f t="shared" si="4"/>
        <v>-1065600</v>
      </c>
      <c r="AJ25" s="60">
        <f t="shared" si="5"/>
        <v>0</v>
      </c>
      <c r="AK25" s="88" t="s">
        <v>294</v>
      </c>
      <c r="AV25" s="109"/>
      <c r="AW25" s="109"/>
      <c r="AX25" s="109"/>
    </row>
    <row r="26" spans="1:50" hidden="1">
      <c r="A26">
        <v>2025</v>
      </c>
      <c r="B26" t="s">
        <v>34</v>
      </c>
      <c r="C26" t="s">
        <v>34</v>
      </c>
      <c r="D26" t="s">
        <v>169</v>
      </c>
      <c r="E26" t="s">
        <v>28</v>
      </c>
      <c r="F26" t="s">
        <v>28</v>
      </c>
      <c r="G26">
        <v>5</v>
      </c>
      <c r="H26" s="23" t="s">
        <v>158</v>
      </c>
      <c r="I26" t="s">
        <v>275</v>
      </c>
      <c r="J26" t="s">
        <v>293</v>
      </c>
      <c r="K26" s="76">
        <v>4</v>
      </c>
      <c r="L26" s="76">
        <v>224</v>
      </c>
      <c r="M26" s="76">
        <v>1811000</v>
      </c>
      <c r="N26" s="76">
        <v>224000</v>
      </c>
      <c r="O26" s="61">
        <v>400000</v>
      </c>
      <c r="P26" s="61"/>
      <c r="Q26" s="61"/>
      <c r="R26" s="61"/>
      <c r="S26" s="61"/>
      <c r="T26" s="61">
        <f t="shared" si="0"/>
        <v>624000</v>
      </c>
      <c r="U26" s="61"/>
      <c r="V26" s="61">
        <v>732600</v>
      </c>
      <c r="W26" s="61"/>
      <c r="X26" s="61"/>
      <c r="Y26" s="61">
        <f t="shared" si="1"/>
        <v>732600</v>
      </c>
      <c r="Z26" s="76">
        <f>35%*Table5[[#This Row],[Total Selling (Clients Revenue)]]</f>
        <v>633850</v>
      </c>
      <c r="AA26" s="61"/>
      <c r="AB26" s="61"/>
      <c r="AC26" s="61"/>
      <c r="AD26" s="61"/>
      <c r="AE26" s="61">
        <f t="shared" si="2"/>
        <v>633850</v>
      </c>
      <c r="AF26" s="61">
        <f t="shared" si="3"/>
        <v>-722750</v>
      </c>
      <c r="AG2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9850</v>
      </c>
      <c r="AH26" s="13">
        <f>IFERROR(AG26/(Z26+Table5[[#This Row],[Rider Penalty (Claim, Other Denda to Riders)]]),0)</f>
        <v>1.5539954247850438E-2</v>
      </c>
      <c r="AI26" s="62">
        <f t="shared" si="4"/>
        <v>-732600</v>
      </c>
      <c r="AJ26" s="60">
        <f t="shared" si="5"/>
        <v>0</v>
      </c>
      <c r="AK26" s="88" t="s">
        <v>294</v>
      </c>
      <c r="AV26" s="109"/>
      <c r="AW26" s="109"/>
      <c r="AX26" s="109"/>
    </row>
    <row r="27" spans="1:50" hidden="1">
      <c r="A27">
        <v>2025</v>
      </c>
      <c r="B27" t="s">
        <v>201</v>
      </c>
      <c r="C27" t="s">
        <v>201</v>
      </c>
      <c r="D27" t="s">
        <v>169</v>
      </c>
      <c r="E27" t="s">
        <v>28</v>
      </c>
      <c r="F27" t="s">
        <v>28</v>
      </c>
      <c r="G27">
        <v>5</v>
      </c>
      <c r="H27" s="23" t="s">
        <v>158</v>
      </c>
      <c r="I27" t="s">
        <v>275</v>
      </c>
      <c r="J27" t="s">
        <v>293</v>
      </c>
      <c r="K27" s="76">
        <v>5</v>
      </c>
      <c r="L27" s="76">
        <v>207</v>
      </c>
      <c r="M27" s="76">
        <v>2456000</v>
      </c>
      <c r="N27" s="76">
        <v>207000</v>
      </c>
      <c r="O27" s="61">
        <v>475000</v>
      </c>
      <c r="P27" s="61"/>
      <c r="Q27" s="61"/>
      <c r="R27" s="61"/>
      <c r="S27" s="61"/>
      <c r="T27" s="61">
        <f t="shared" si="0"/>
        <v>682000</v>
      </c>
      <c r="U27" s="61"/>
      <c r="V27" s="61">
        <v>1165500</v>
      </c>
      <c r="W27" s="61"/>
      <c r="X27" s="61"/>
      <c r="Y27" s="61">
        <f t="shared" si="1"/>
        <v>1165500</v>
      </c>
      <c r="Z27" s="76">
        <f>30%*Table5[[#This Row],[Total Selling (Clients Revenue)]]</f>
        <v>736800</v>
      </c>
      <c r="AA27" s="61"/>
      <c r="AB27" s="61"/>
      <c r="AC27" s="61"/>
      <c r="AD27" s="61"/>
      <c r="AE27" s="61">
        <f t="shared" si="2"/>
        <v>736800</v>
      </c>
      <c r="AF27" s="61">
        <f t="shared" si="3"/>
        <v>-1110700</v>
      </c>
      <c r="AG2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54800</v>
      </c>
      <c r="AH27" s="13">
        <f>IFERROR(AG27/(Z27+Table5[[#This Row],[Rider Penalty (Claim, Other Denda to Riders)]]),0)</f>
        <v>7.4375678610206303E-2</v>
      </c>
      <c r="AI27" s="62">
        <f t="shared" si="4"/>
        <v>-1165500</v>
      </c>
      <c r="AJ27" s="60">
        <f t="shared" si="5"/>
        <v>0</v>
      </c>
      <c r="AK27" s="88" t="s">
        <v>294</v>
      </c>
      <c r="AV27" s="109"/>
      <c r="AW27" s="109"/>
      <c r="AX27" s="109"/>
    </row>
    <row r="28" spans="1:50" hidden="1">
      <c r="A28">
        <v>2025</v>
      </c>
      <c r="B28" t="s">
        <v>200</v>
      </c>
      <c r="C28" t="s">
        <v>200</v>
      </c>
      <c r="D28" t="s">
        <v>169</v>
      </c>
      <c r="E28" t="s">
        <v>28</v>
      </c>
      <c r="F28" t="s">
        <v>28</v>
      </c>
      <c r="G28">
        <v>5</v>
      </c>
      <c r="H28" t="s">
        <v>158</v>
      </c>
      <c r="I28" t="s">
        <v>275</v>
      </c>
      <c r="J28" t="s">
        <v>293</v>
      </c>
      <c r="K28" s="76">
        <v>1</v>
      </c>
      <c r="L28" s="76">
        <v>49</v>
      </c>
      <c r="M28" s="76">
        <v>536000</v>
      </c>
      <c r="N28" s="76">
        <v>49000</v>
      </c>
      <c r="O28" s="61">
        <v>125000</v>
      </c>
      <c r="P28" s="61"/>
      <c r="Q28" s="61"/>
      <c r="R28" s="61"/>
      <c r="S28" s="61"/>
      <c r="T28" s="61">
        <f t="shared" si="0"/>
        <v>174000</v>
      </c>
      <c r="U28" s="61"/>
      <c r="V28" s="61">
        <v>233100</v>
      </c>
      <c r="W28" s="61"/>
      <c r="X28" s="61"/>
      <c r="Y28" s="61">
        <f t="shared" si="1"/>
        <v>233100</v>
      </c>
      <c r="Z28" s="76">
        <f>35%*Table5[[#This Row],[Total Selling (Clients Revenue)]]</f>
        <v>187600</v>
      </c>
      <c r="AA28" s="61"/>
      <c r="AB28" s="61"/>
      <c r="AC28" s="61"/>
      <c r="AD28" s="61"/>
      <c r="AE28" s="61">
        <f t="shared" si="2"/>
        <v>187600</v>
      </c>
      <c r="AF28" s="61">
        <f t="shared" si="3"/>
        <v>-219500</v>
      </c>
      <c r="AG2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13600</v>
      </c>
      <c r="AH28" s="13">
        <f>IFERROR(AG28/(Z28+Table5[[#This Row],[Rider Penalty (Claim, Other Denda to Riders)]]),0)</f>
        <v>7.2494669509594878E-2</v>
      </c>
      <c r="AI28" s="62">
        <f t="shared" si="4"/>
        <v>-233100</v>
      </c>
      <c r="AJ28" s="60">
        <f t="shared" si="5"/>
        <v>0</v>
      </c>
      <c r="AK28" s="88" t="s">
        <v>294</v>
      </c>
      <c r="AV28" s="109"/>
      <c r="AW28" s="109"/>
      <c r="AX28" s="109"/>
    </row>
    <row r="29" spans="1:50" hidden="1">
      <c r="A29">
        <v>2025</v>
      </c>
      <c r="B29" t="s">
        <v>33</v>
      </c>
      <c r="C29" t="s">
        <v>33</v>
      </c>
      <c r="D29" t="s">
        <v>169</v>
      </c>
      <c r="E29" t="s">
        <v>28</v>
      </c>
      <c r="F29" t="s">
        <v>28</v>
      </c>
      <c r="G29">
        <v>5</v>
      </c>
      <c r="H29" t="s">
        <v>158</v>
      </c>
      <c r="I29" t="s">
        <v>275</v>
      </c>
      <c r="J29" t="s">
        <v>293</v>
      </c>
      <c r="K29" s="1">
        <v>1</v>
      </c>
      <c r="L29" s="1">
        <v>33</v>
      </c>
      <c r="M29" s="1">
        <v>0</v>
      </c>
      <c r="N29" s="1">
        <v>33000</v>
      </c>
      <c r="O29" s="61">
        <v>125000</v>
      </c>
      <c r="P29" s="61"/>
      <c r="Q29" s="61"/>
      <c r="R29" s="61"/>
      <c r="S29" s="61"/>
      <c r="T29" s="61">
        <f t="shared" si="0"/>
        <v>158000</v>
      </c>
      <c r="U29" s="61"/>
      <c r="V29" s="61">
        <v>233100</v>
      </c>
      <c r="W29" s="61"/>
      <c r="X29" s="61"/>
      <c r="Y29" s="61">
        <f t="shared" si="1"/>
        <v>233100</v>
      </c>
      <c r="Z29" s="1">
        <v>0</v>
      </c>
      <c r="AA29" s="61"/>
      <c r="AB29" s="61"/>
      <c r="AC29" s="61"/>
      <c r="AD29" s="61"/>
      <c r="AE29" s="61">
        <f t="shared" si="2"/>
        <v>0</v>
      </c>
      <c r="AF29" s="61">
        <f t="shared" si="3"/>
        <v>-391100</v>
      </c>
      <c r="AG2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-158000</v>
      </c>
      <c r="AH29" s="13">
        <f>IFERROR(AG29/(Z29+Table5[[#This Row],[Rider Penalty (Claim, Other Denda to Riders)]]),0)</f>
        <v>0</v>
      </c>
      <c r="AI29" s="62">
        <f t="shared" si="4"/>
        <v>-233100</v>
      </c>
      <c r="AJ29" s="60">
        <f t="shared" si="5"/>
        <v>0</v>
      </c>
      <c r="AK29" s="88" t="s">
        <v>294</v>
      </c>
      <c r="AV29" s="109"/>
      <c r="AW29" s="109"/>
      <c r="AX29" s="109"/>
    </row>
    <row r="30" spans="1:50" hidden="1">
      <c r="A30">
        <v>2025</v>
      </c>
      <c r="B30" t="s">
        <v>23</v>
      </c>
      <c r="C30" t="s">
        <v>23</v>
      </c>
      <c r="D30" t="s">
        <v>168</v>
      </c>
      <c r="E30" t="s">
        <v>28</v>
      </c>
      <c r="F30" t="s">
        <v>25</v>
      </c>
      <c r="G30">
        <v>5</v>
      </c>
      <c r="H30" t="s">
        <v>21</v>
      </c>
      <c r="I30" t="s">
        <v>280</v>
      </c>
      <c r="J30" t="s">
        <v>295</v>
      </c>
      <c r="K30" s="1">
        <v>250</v>
      </c>
      <c r="L30" s="1">
        <v>56840</v>
      </c>
      <c r="M30" s="1">
        <v>497866000</v>
      </c>
      <c r="N30" s="1">
        <f>6/7*68881000</f>
        <v>59040857.142857142</v>
      </c>
      <c r="O30" s="61">
        <f>6/7*51375000</f>
        <v>44035714.285714284</v>
      </c>
      <c r="P30" s="61"/>
      <c r="Q30" s="61"/>
      <c r="R30" s="61"/>
      <c r="S30" s="61"/>
      <c r="T30" s="61">
        <f t="shared" si="0"/>
        <v>103076571.42857143</v>
      </c>
      <c r="U30" s="61">
        <v>0</v>
      </c>
      <c r="V30" s="61">
        <f>6/7*57875400</f>
        <v>49607485.714285709</v>
      </c>
      <c r="W30" s="61"/>
      <c r="X30" s="61">
        <f>6/7*327500</f>
        <v>280714.28571428568</v>
      </c>
      <c r="Y30" s="61">
        <f t="shared" si="1"/>
        <v>49888199.999999993</v>
      </c>
      <c r="Z30" s="1">
        <f>23%*Table5[[#This Row],[Total Selling (Clients Revenue)]]</f>
        <v>114509180</v>
      </c>
      <c r="AA30" s="61">
        <f>6/7*31284000</f>
        <v>26814857.142857142</v>
      </c>
      <c r="AB30" s="61">
        <f>6/31*139518968</f>
        <v>27003671.225806452</v>
      </c>
      <c r="AC30" s="61"/>
      <c r="AD30" s="61"/>
      <c r="AE30" s="61">
        <f t="shared" si="2"/>
        <v>168327708.36866358</v>
      </c>
      <c r="AF30" s="61">
        <f t="shared" si="3"/>
        <v>15362936.940092146</v>
      </c>
      <c r="AG3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11151894.285714282</v>
      </c>
      <c r="AH30" s="13">
        <f>IFERROR(AG30/(Z30+Table5[[#This Row],[Rider Penalty (Claim, Other Denda to Riders)]]),0)</f>
        <v>9.7388648540791947E-2</v>
      </c>
      <c r="AI30" s="62">
        <f>AA30+AB30-V30</f>
        <v>4211042.6543778852</v>
      </c>
      <c r="AJ30" s="60">
        <f t="shared" si="5"/>
        <v>7.824522115379523E-2</v>
      </c>
      <c r="AK30" s="88" t="s">
        <v>294</v>
      </c>
      <c r="AV30" s="109">
        <f>Table5[[#This Row],[Total Selling Comission/Sales (Weekly)]]/Table5[[#This Row],[Total Revenue Sharing % (Weekly)]]*100%</f>
        <v>0.51559933572886596</v>
      </c>
      <c r="AW30" s="109">
        <f>Table5[[#This Row],[Total Daily Incentive (Weekly)]]/Table5[[#This Row],[Total Revenue Sharing % (Weekly)]]*100%</f>
        <v>0.38456055912472942</v>
      </c>
      <c r="AX30" s="109">
        <f t="shared" ref="AX30:AX37" si="6">(N30+O30)/Z30*100%</f>
        <v>0.90015989485359538</v>
      </c>
    </row>
    <row r="31" spans="1:50" hidden="1">
      <c r="A31">
        <v>2025</v>
      </c>
      <c r="B31" t="s">
        <v>23</v>
      </c>
      <c r="C31" t="s">
        <v>23</v>
      </c>
      <c r="D31" t="s">
        <v>168</v>
      </c>
      <c r="E31" t="s">
        <v>28</v>
      </c>
      <c r="F31" t="s">
        <v>25</v>
      </c>
      <c r="G31">
        <v>5</v>
      </c>
      <c r="H31" t="s">
        <v>158</v>
      </c>
      <c r="I31" t="s">
        <v>275</v>
      </c>
      <c r="J31" s="58">
        <v>45689</v>
      </c>
      <c r="K31" s="55">
        <v>204</v>
      </c>
      <c r="L31" s="55">
        <v>11948</v>
      </c>
      <c r="M31" s="55">
        <v>104988000</v>
      </c>
      <c r="N31" s="1">
        <f>1/7*68881000</f>
        <v>9840142.8571428563</v>
      </c>
      <c r="O31" s="61">
        <f>1/7*51375000</f>
        <v>7339285.7142857136</v>
      </c>
      <c r="P31" s="55"/>
      <c r="Q31" s="55"/>
      <c r="R31" s="55"/>
      <c r="S31" s="55"/>
      <c r="T31" s="55">
        <f>SUM(N31:R31)</f>
        <v>17179428.571428571</v>
      </c>
      <c r="U31" s="55">
        <v>0</v>
      </c>
      <c r="V31" s="61">
        <f>1/7*57875400</f>
        <v>8267914.2857142854</v>
      </c>
      <c r="W31" s="61"/>
      <c r="X31" s="61">
        <f>1/7*327500</f>
        <v>46785.714285714283</v>
      </c>
      <c r="Y31" s="55">
        <f>SUM(U31:X31)</f>
        <v>8314700</v>
      </c>
      <c r="Z31" s="55">
        <f>23%*M31</f>
        <v>24147240</v>
      </c>
      <c r="AA31" s="61">
        <f>1/7*31284000</f>
        <v>4469142.8571428573</v>
      </c>
      <c r="AB31" s="61">
        <f>1/28*134738682</f>
        <v>4812095.7857142854</v>
      </c>
      <c r="AC31" s="61"/>
      <c r="AD31" s="55"/>
      <c r="AE31" s="55">
        <f>SUM(Z31:AD31)</f>
        <v>33428478.642857142</v>
      </c>
      <c r="AF31" s="55">
        <f>AE31-(T31+Y31)</f>
        <v>7934350.0714285709</v>
      </c>
      <c r="AG3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6921025.7142857146</v>
      </c>
      <c r="AH31" s="59">
        <f>IFERROR(AG31/(Z31+Table5[[#This Row],[Rider Penalty (Claim, Other Denda to Riders)]]),0)</f>
        <v>0.28661767201078525</v>
      </c>
      <c r="AI31" s="56">
        <f>AA31+AB31-V31</f>
        <v>1013324.3571428563</v>
      </c>
      <c r="AJ31" s="60">
        <f>IFERROR(AI31/(AA31+AB31),0)</f>
        <v>0.10917986231532928</v>
      </c>
      <c r="AK31" s="88"/>
      <c r="AV31" s="109">
        <f>Table5[[#This Row],[Total Selling Comission/Sales (Weekly)]]/Table5[[#This Row],[Total Revenue Sharing % (Weekly)]]*100%</f>
        <v>0.40750590366198608</v>
      </c>
      <c r="AW31" s="109">
        <f>Table5[[#This Row],[Total Daily Incentive (Weekly)]]/Table5[[#This Row],[Total Revenue Sharing % (Weekly)]]*100%</f>
        <v>0.30393890623879638</v>
      </c>
      <c r="AX31" s="109">
        <f t="shared" si="6"/>
        <v>0.71144480990078252</v>
      </c>
    </row>
    <row r="32" spans="1:50" hidden="1">
      <c r="A32">
        <v>2025</v>
      </c>
      <c r="B32" t="s">
        <v>23</v>
      </c>
      <c r="C32" t="s">
        <v>172</v>
      </c>
      <c r="D32" t="s">
        <v>168</v>
      </c>
      <c r="E32" t="s">
        <v>28</v>
      </c>
      <c r="F32" t="s">
        <v>31</v>
      </c>
      <c r="G32">
        <v>5</v>
      </c>
      <c r="H32" t="s">
        <v>21</v>
      </c>
      <c r="I32" t="s">
        <v>280</v>
      </c>
      <c r="J32" t="s">
        <v>295</v>
      </c>
      <c r="K32" s="76">
        <v>31</v>
      </c>
      <c r="L32" s="76">
        <v>7572</v>
      </c>
      <c r="M32" s="76">
        <v>66998000</v>
      </c>
      <c r="N32" s="76">
        <f>6/7*8580000</f>
        <v>7354285.7142857136</v>
      </c>
      <c r="O32" s="61">
        <f>6/7*6775000</f>
        <v>5807142.8571428573</v>
      </c>
      <c r="P32" s="61"/>
      <c r="Q32" s="61"/>
      <c r="R32" s="61"/>
      <c r="S32" s="61"/>
      <c r="T32" s="61">
        <f t="shared" si="0"/>
        <v>13161428.571428571</v>
      </c>
      <c r="U32" s="61">
        <v>0</v>
      </c>
      <c r="V32" s="61">
        <f>6/7*6626700</f>
        <v>5680028.5714285709</v>
      </c>
      <c r="W32" s="61"/>
      <c r="X32" s="61">
        <f>6/7*456000</f>
        <v>390857.14285714284</v>
      </c>
      <c r="Y32" s="61">
        <f t="shared" si="1"/>
        <v>6070885.7142857136</v>
      </c>
      <c r="Z32" s="76">
        <f>23%*Table5[[#This Row],[Total Selling (Clients Revenue)]]</f>
        <v>15409540</v>
      </c>
      <c r="AA32" s="61">
        <f>6/7*3582000</f>
        <v>3070285.7142857141</v>
      </c>
      <c r="AB32" s="61">
        <f>6/31*13364129</f>
        <v>2586605.6129032257</v>
      </c>
      <c r="AC32" s="61"/>
      <c r="AD32" s="61"/>
      <c r="AE32" s="61">
        <f t="shared" si="2"/>
        <v>21066431.327188939</v>
      </c>
      <c r="AF32" s="61">
        <f t="shared" si="3"/>
        <v>1834117.0414746553</v>
      </c>
      <c r="AG3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1857254.2857142864</v>
      </c>
      <c r="AH32" s="13">
        <f>IFERROR(AG32/(Z32+Table5[[#This Row],[Rider Penalty (Claim, Other Denda to Riders)]]),0)</f>
        <v>0.12052626397116892</v>
      </c>
      <c r="AI32" s="62">
        <f t="shared" si="4"/>
        <v>-23137.244239631109</v>
      </c>
      <c r="AJ32" s="60">
        <f t="shared" si="5"/>
        <v>-4.0900987665125647E-3</v>
      </c>
      <c r="AK32" s="88" t="s">
        <v>294</v>
      </c>
      <c r="AV32" s="109">
        <f>Table5[[#This Row],[Total Selling Comission/Sales (Weekly)]]/Table5[[#This Row],[Total Revenue Sharing % (Weekly)]]*100%</f>
        <v>0.4772553700036285</v>
      </c>
      <c r="AW32" s="109">
        <f>Table5[[#This Row],[Total Daily Incentive (Weekly)]]/Table5[[#This Row],[Total Revenue Sharing % (Weekly)]]*100%</f>
        <v>0.37685374496207269</v>
      </c>
      <c r="AX32" s="109">
        <f t="shared" si="6"/>
        <v>0.85410911496570119</v>
      </c>
    </row>
    <row r="33" spans="1:50" hidden="1">
      <c r="A33">
        <v>2025</v>
      </c>
      <c r="B33" t="s">
        <v>23</v>
      </c>
      <c r="C33" t="s">
        <v>172</v>
      </c>
      <c r="D33" t="s">
        <v>168</v>
      </c>
      <c r="E33" t="s">
        <v>28</v>
      </c>
      <c r="F33" t="s">
        <v>31</v>
      </c>
      <c r="G33">
        <v>5</v>
      </c>
      <c r="H33" t="s">
        <v>158</v>
      </c>
      <c r="I33" t="s">
        <v>275</v>
      </c>
      <c r="J33" s="58">
        <v>45689</v>
      </c>
      <c r="K33" s="55">
        <v>26</v>
      </c>
      <c r="L33" s="55">
        <v>1233</v>
      </c>
      <c r="M33" s="55">
        <v>10848000</v>
      </c>
      <c r="N33" s="76">
        <f>1/7*8580000</f>
        <v>1225714.2857142857</v>
      </c>
      <c r="O33" s="61">
        <f>1/7*6775000</f>
        <v>967857.14285714284</v>
      </c>
      <c r="P33" s="55"/>
      <c r="Q33" s="55"/>
      <c r="R33" s="55"/>
      <c r="S33" s="55"/>
      <c r="T33" s="55">
        <f>SUM(N33:R33)</f>
        <v>2193571.4285714286</v>
      </c>
      <c r="U33" s="55">
        <v>0</v>
      </c>
      <c r="V33" s="61">
        <f>1/7*6626700</f>
        <v>946671.42857142852</v>
      </c>
      <c r="W33" s="61"/>
      <c r="X33" s="61">
        <f>1/7*456000</f>
        <v>65142.857142857138</v>
      </c>
      <c r="Y33" s="55">
        <f>SUM(U33:X33)</f>
        <v>1011814.2857142857</v>
      </c>
      <c r="Z33" s="55">
        <f>23%*M33</f>
        <v>2495040</v>
      </c>
      <c r="AA33" s="61">
        <f>1/7*3582000</f>
        <v>511714.28571428568</v>
      </c>
      <c r="AB33" s="61">
        <f>1/28*15850839</f>
        <v>566101.39285714284</v>
      </c>
      <c r="AC33" s="61"/>
      <c r="AD33" s="55"/>
      <c r="AE33" s="55">
        <f>SUM(Z33:AD33)</f>
        <v>3572855.6785714282</v>
      </c>
      <c r="AF33" s="55">
        <f>AE33-(T33+Y33)</f>
        <v>367469.96428571362</v>
      </c>
      <c r="AG3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236325.71428571423</v>
      </c>
      <c r="AH33" s="59">
        <f>IFERROR(AG33/(Z33+Table5[[#This Row],[Rider Penalty (Claim, Other Denda to Riders)]]),0)</f>
        <v>9.4718206636252023E-2</v>
      </c>
      <c r="AI33" s="56">
        <f>AA33+AB33-V33</f>
        <v>131144.25000000012</v>
      </c>
      <c r="AJ33" s="60">
        <f>IFERROR(AI33/(AA33+AB33),0)</f>
        <v>0.12167595314054339</v>
      </c>
      <c r="AK33" s="88"/>
      <c r="AV33" s="109">
        <f>Table5[[#This Row],[Total Selling Comission/Sales (Weekly)]]/Table5[[#This Row],[Total Revenue Sharing % (Weekly)]]*100%</f>
        <v>0.49126037486945529</v>
      </c>
      <c r="AW33" s="109">
        <f>Table5[[#This Row],[Total Daily Incentive (Weekly)]]/Table5[[#This Row],[Total Revenue Sharing % (Weekly)]]*100%</f>
        <v>0.38791247549423769</v>
      </c>
      <c r="AX33" s="109">
        <f t="shared" si="6"/>
        <v>0.87917285036369297</v>
      </c>
    </row>
    <row r="34" spans="1:50" hidden="1">
      <c r="A34">
        <v>2025</v>
      </c>
      <c r="B34" t="s">
        <v>23</v>
      </c>
      <c r="C34" t="s">
        <v>174</v>
      </c>
      <c r="D34" t="s">
        <v>168</v>
      </c>
      <c r="E34" t="s">
        <v>24</v>
      </c>
      <c r="F34" t="s">
        <v>24</v>
      </c>
      <c r="G34">
        <v>5</v>
      </c>
      <c r="H34" t="s">
        <v>21</v>
      </c>
      <c r="I34" t="s">
        <v>280</v>
      </c>
      <c r="J34" t="s">
        <v>295</v>
      </c>
      <c r="K34" s="1">
        <v>50</v>
      </c>
      <c r="L34" s="1">
        <v>14356</v>
      </c>
      <c r="M34" s="1">
        <v>130448000</v>
      </c>
      <c r="N34" s="1">
        <f>6/7*6702600</f>
        <v>5745085.7142857136</v>
      </c>
      <c r="O34" s="61">
        <f>6/7*13150000</f>
        <v>11271428.571428571</v>
      </c>
      <c r="P34" s="61"/>
      <c r="Q34" s="61"/>
      <c r="R34" s="61"/>
      <c r="S34" s="61"/>
      <c r="T34" s="61">
        <f t="shared" si="0"/>
        <v>17016514.285714284</v>
      </c>
      <c r="U34" s="61">
        <f>6/7*840000</f>
        <v>720000</v>
      </c>
      <c r="V34" s="61">
        <f>6/7*8757900</f>
        <v>7506771.4285714282</v>
      </c>
      <c r="W34" s="61"/>
      <c r="X34" s="61"/>
      <c r="Y34" s="61">
        <f t="shared" si="1"/>
        <v>8226771.4285714282</v>
      </c>
      <c r="Z34" s="76">
        <f>21%*Table5[[#This Row],[Total Selling (Clients Revenue)]]</f>
        <v>27394080</v>
      </c>
      <c r="AA34" s="61">
        <f>6/7*657500</f>
        <v>563571.42857142852</v>
      </c>
      <c r="AB34" s="61">
        <f>6/31*15146013</f>
        <v>2931486.3870967743</v>
      </c>
      <c r="AC34" s="61"/>
      <c r="AD34" s="61">
        <v>1450000</v>
      </c>
      <c r="AE34" s="61">
        <f t="shared" si="2"/>
        <v>32339137.815668203</v>
      </c>
      <c r="AF34" s="61">
        <f t="shared" si="3"/>
        <v>7095852.1013824902</v>
      </c>
      <c r="AG3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11107565.714285716</v>
      </c>
      <c r="AH34" s="13">
        <f>IFERROR(AG34/(Z34+Table5[[#This Row],[Rider Penalty (Claim, Other Denda to Riders)]]),0)</f>
        <v>0.38508996349634711</v>
      </c>
      <c r="AI34" s="62">
        <f t="shared" si="4"/>
        <v>-4011713.6129032252</v>
      </c>
      <c r="AJ34" s="60">
        <f t="shared" si="5"/>
        <v>-1.1478246782982746</v>
      </c>
      <c r="AV34" s="109">
        <f>Table5[[#This Row],[Total Selling Comission/Sales (Weekly)]]/Table5[[#This Row],[Total Revenue Sharing % (Weekly)]]*100%</f>
        <v>0.20971997286587882</v>
      </c>
      <c r="AW34" s="109">
        <f>Table5[[#This Row],[Total Daily Incentive (Weekly)]]/Table5[[#This Row],[Total Revenue Sharing % (Weekly)]]*100%</f>
        <v>0.41145490454246214</v>
      </c>
      <c r="AX34" s="109">
        <f t="shared" si="6"/>
        <v>0.62117487740834088</v>
      </c>
    </row>
    <row r="35" spans="1:50" hidden="1">
      <c r="A35">
        <v>2025</v>
      </c>
      <c r="B35" t="s">
        <v>23</v>
      </c>
      <c r="C35" t="s">
        <v>174</v>
      </c>
      <c r="D35" t="s">
        <v>168</v>
      </c>
      <c r="E35" t="s">
        <v>24</v>
      </c>
      <c r="F35" t="s">
        <v>24</v>
      </c>
      <c r="G35">
        <v>5</v>
      </c>
      <c r="H35" t="s">
        <v>158</v>
      </c>
      <c r="I35" t="s">
        <v>275</v>
      </c>
      <c r="J35" s="58">
        <v>45689</v>
      </c>
      <c r="K35" s="55">
        <v>36</v>
      </c>
      <c r="L35" s="55">
        <v>2426</v>
      </c>
      <c r="M35" s="55">
        <v>22088000</v>
      </c>
      <c r="N35" s="1">
        <f>1/7*6702600</f>
        <v>957514.28571428568</v>
      </c>
      <c r="O35" s="61">
        <f>1/7*13150000</f>
        <v>1878571.4285714284</v>
      </c>
      <c r="P35" s="55"/>
      <c r="Q35" s="55"/>
      <c r="R35" s="55"/>
      <c r="S35" s="55"/>
      <c r="T35" s="55">
        <f>SUM(N35:R35)</f>
        <v>2836085.7142857141</v>
      </c>
      <c r="U35" s="61">
        <f>1/7*840000</f>
        <v>120000</v>
      </c>
      <c r="V35" s="61">
        <f>1/7*8757900</f>
        <v>1251128.5714285714</v>
      </c>
      <c r="W35" s="61"/>
      <c r="X35" s="55"/>
      <c r="Y35" s="55">
        <f>SUM(U35:X35)</f>
        <v>1371128.5714285714</v>
      </c>
      <c r="Z35" s="55">
        <f>21%*M35</f>
        <v>4638480</v>
      </c>
      <c r="AA35" s="61">
        <f>1/7*657500</f>
        <v>93928.57142857142</v>
      </c>
      <c r="AB35" s="61">
        <f>1/28*17211301</f>
        <v>614689.32142857136</v>
      </c>
      <c r="AC35" s="61"/>
      <c r="AD35" s="55"/>
      <c r="AE35" s="55">
        <f>SUM(Z35:AD35)</f>
        <v>5347097.8928571437</v>
      </c>
      <c r="AF35" s="55">
        <f>AE35-(T35+Y35)</f>
        <v>1139883.6071428582</v>
      </c>
      <c r="AG3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1682394.2857142859</v>
      </c>
      <c r="AH35" s="59">
        <f>IFERROR(AG35/(Z35+Table5[[#This Row],[Rider Penalty (Claim, Other Denda to Riders)]]),0)</f>
        <v>0.36270379212894871</v>
      </c>
      <c r="AI35" s="56">
        <f>AA35+AB35-V35</f>
        <v>-542510.67857142864</v>
      </c>
      <c r="AJ35" s="60">
        <f>IFERROR(AI35/(AA35+AB35),0)</f>
        <v>-0.76558986731767265</v>
      </c>
      <c r="AV35" s="109">
        <f>Table5[[#This Row],[Total Selling Comission/Sales (Weekly)]]/Table5[[#This Row],[Total Revenue Sharing % (Weekly)]]*100%</f>
        <v>0.20642846055481229</v>
      </c>
      <c r="AW35" s="109">
        <f>Table5[[#This Row],[Total Daily Incentive (Weekly)]]/Table5[[#This Row],[Total Revenue Sharing % (Weekly)]]*100%</f>
        <v>0.40499720351740837</v>
      </c>
      <c r="AX35" s="109">
        <f t="shared" si="6"/>
        <v>0.61142566407222065</v>
      </c>
    </row>
    <row r="36" spans="1:50" hidden="1">
      <c r="A36">
        <v>2025</v>
      </c>
      <c r="B36" t="s">
        <v>23</v>
      </c>
      <c r="C36" t="s">
        <v>173</v>
      </c>
      <c r="D36" t="s">
        <v>168</v>
      </c>
      <c r="E36" t="s">
        <v>24</v>
      </c>
      <c r="F36" t="s">
        <v>282</v>
      </c>
      <c r="G36">
        <v>5</v>
      </c>
      <c r="H36" t="s">
        <v>21</v>
      </c>
      <c r="I36" t="s">
        <v>280</v>
      </c>
      <c r="J36" t="s">
        <v>295</v>
      </c>
      <c r="K36" s="1">
        <v>17</v>
      </c>
      <c r="L36" s="1">
        <v>6356</v>
      </c>
      <c r="M36" s="1">
        <v>59574000</v>
      </c>
      <c r="N36" s="1">
        <f>6/7*2885600</f>
        <v>2473371.4285714286</v>
      </c>
      <c r="O36" s="61">
        <f>6/7*3800000</f>
        <v>3257142.8571428568</v>
      </c>
      <c r="P36" s="61"/>
      <c r="Q36" s="61"/>
      <c r="R36" s="61"/>
      <c r="S36" s="61"/>
      <c r="T36" s="61">
        <f t="shared" si="0"/>
        <v>5730514.2857142854</v>
      </c>
      <c r="U36" s="61">
        <v>0</v>
      </c>
      <c r="V36" s="61">
        <f>6/7*2530800</f>
        <v>2169257.1428571427</v>
      </c>
      <c r="W36" s="61"/>
      <c r="X36" s="61"/>
      <c r="Y36" s="61">
        <f t="shared" si="1"/>
        <v>2169257.1428571427</v>
      </c>
      <c r="Z36" s="76">
        <f>21%*Table5[[#This Row],[Total Selling (Clients Revenue)]]</f>
        <v>12510540</v>
      </c>
      <c r="AA36" s="61">
        <f>6/7*1900000</f>
        <v>1628571.4285714284</v>
      </c>
      <c r="AB36" s="61">
        <f>6/31*4549006</f>
        <v>880452.77419354836</v>
      </c>
      <c r="AC36" s="61"/>
      <c r="AD36" s="61">
        <v>250000</v>
      </c>
      <c r="AE36" s="61">
        <f t="shared" si="2"/>
        <v>15269564.202764977</v>
      </c>
      <c r="AF36" s="61">
        <f t="shared" si="3"/>
        <v>7369792.7741935486</v>
      </c>
      <c r="AG3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7030025.7142857146</v>
      </c>
      <c r="AH36" s="13">
        <f>IFERROR(AG36/(Z36+Table5[[#This Row],[Rider Penalty (Claim, Other Denda to Riders)]]),0)</f>
        <v>0.55091913933781134</v>
      </c>
      <c r="AI36" s="62">
        <f t="shared" si="4"/>
        <v>339767.05990783405</v>
      </c>
      <c r="AJ36" s="60">
        <f t="shared" si="5"/>
        <v>0.1354180081377479</v>
      </c>
      <c r="AK36" s="88" t="s">
        <v>296</v>
      </c>
      <c r="AV36" s="109">
        <f>Table5[[#This Row],[Total Selling Comission/Sales (Weekly)]]/Table5[[#This Row],[Total Revenue Sharing % (Weekly)]]*100%</f>
        <v>0.19770301110674909</v>
      </c>
      <c r="AW36" s="109">
        <f>Table5[[#This Row],[Total Daily Incentive (Weekly)]]/Table5[[#This Row],[Total Revenue Sharing % (Weekly)]]*100%</f>
        <v>0.26035189984947549</v>
      </c>
      <c r="AX36" s="109">
        <f t="shared" si="6"/>
        <v>0.45805491095622453</v>
      </c>
    </row>
    <row r="37" spans="1:50" hidden="1">
      <c r="A37">
        <v>2025</v>
      </c>
      <c r="B37" t="s">
        <v>23</v>
      </c>
      <c r="C37" t="s">
        <v>173</v>
      </c>
      <c r="D37" t="s">
        <v>168</v>
      </c>
      <c r="E37" t="s">
        <v>24</v>
      </c>
      <c r="F37" t="s">
        <v>282</v>
      </c>
      <c r="G37">
        <v>5</v>
      </c>
      <c r="H37" s="41" t="s">
        <v>158</v>
      </c>
      <c r="I37" t="s">
        <v>275</v>
      </c>
      <c r="J37" s="58">
        <v>45689</v>
      </c>
      <c r="K37" s="55">
        <v>11</v>
      </c>
      <c r="L37" s="55">
        <v>1282</v>
      </c>
      <c r="M37" s="55">
        <v>11780000</v>
      </c>
      <c r="N37" s="1">
        <f>1/7*2885600</f>
        <v>412228.57142857142</v>
      </c>
      <c r="O37" s="61">
        <f>1/7*3800000</f>
        <v>542857.14285714284</v>
      </c>
      <c r="P37" s="55"/>
      <c r="Q37" s="55"/>
      <c r="R37" s="55"/>
      <c r="S37" s="55"/>
      <c r="T37" s="55">
        <f>SUM(N37:R37)</f>
        <v>955085.71428571432</v>
      </c>
      <c r="U37" s="55"/>
      <c r="V37" s="61">
        <f>1/7*2530800</f>
        <v>361542.8571428571</v>
      </c>
      <c r="W37" s="61"/>
      <c r="X37" s="55"/>
      <c r="Y37" s="55">
        <f>SUM(U37:X37)</f>
        <v>361542.8571428571</v>
      </c>
      <c r="Z37" s="55">
        <f>23%*M37</f>
        <v>2709400</v>
      </c>
      <c r="AA37" s="61">
        <f>1/7*1900000</f>
        <v>271428.57142857142</v>
      </c>
      <c r="AB37" s="61">
        <f>1/28*4551412</f>
        <v>162550.42857142855</v>
      </c>
      <c r="AC37" s="61"/>
      <c r="AD37" s="55"/>
      <c r="AE37" s="55">
        <f>SUM(Z37:AD37)</f>
        <v>3143379</v>
      </c>
      <c r="AF37" s="55">
        <f>AE37-(T37+Y37)</f>
        <v>1826750.4285714286</v>
      </c>
      <c r="AG3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1754314.2857142857</v>
      </c>
      <c r="AH37" s="59">
        <f>IFERROR(AG37/(Z37+Table5[[#This Row],[Rider Penalty (Claim, Other Denda to Riders)]]),0)</f>
        <v>0.64749180103133008</v>
      </c>
      <c r="AI37" s="56">
        <f>AA37+AB37-V37</f>
        <v>72436.142857142899</v>
      </c>
      <c r="AJ37" s="60">
        <f>IFERROR(AI37/(AA37+AB37),0)</f>
        <v>0.16691163133963371</v>
      </c>
      <c r="AK37" s="88"/>
      <c r="AV37" s="109">
        <f>Table5[[#This Row],[Total Selling Comission/Sales (Weekly)]]/Table5[[#This Row],[Total Revenue Sharing % (Weekly)]]*100%</f>
        <v>0.15214754980016662</v>
      </c>
      <c r="AW37" s="109">
        <f>Table5[[#This Row],[Total Daily Incentive (Weekly)]]/Table5[[#This Row],[Total Revenue Sharing % (Weekly)]]*100%</f>
        <v>0.2003606491685033</v>
      </c>
      <c r="AX37" s="109">
        <f t="shared" si="6"/>
        <v>0.35250819896866992</v>
      </c>
    </row>
    <row r="38" spans="1:50" hidden="1">
      <c r="A38">
        <v>2025</v>
      </c>
      <c r="B38" t="s">
        <v>27</v>
      </c>
      <c r="C38" t="s">
        <v>27</v>
      </c>
      <c r="D38" t="s">
        <v>169</v>
      </c>
      <c r="E38" t="s">
        <v>28</v>
      </c>
      <c r="F38" t="s">
        <v>28</v>
      </c>
      <c r="G38">
        <v>4</v>
      </c>
      <c r="H38" t="s">
        <v>21</v>
      </c>
      <c r="I38" t="s">
        <v>279</v>
      </c>
      <c r="J38" t="s">
        <v>297</v>
      </c>
      <c r="K38" s="1">
        <v>3</v>
      </c>
      <c r="L38" s="1">
        <v>405</v>
      </c>
      <c r="M38" s="1">
        <v>2756000</v>
      </c>
      <c r="N38" s="1">
        <v>405000</v>
      </c>
      <c r="O38" s="61">
        <v>400000</v>
      </c>
      <c r="P38" s="61"/>
      <c r="Q38" s="61"/>
      <c r="R38" s="61"/>
      <c r="S38" s="61"/>
      <c r="T38" s="61">
        <f t="shared" ref="T38:T73" si="7">SUM(N38:R38)</f>
        <v>805000</v>
      </c>
      <c r="U38" s="61"/>
      <c r="V38" s="61">
        <v>599400</v>
      </c>
      <c r="W38" s="61"/>
      <c r="X38" s="61"/>
      <c r="Y38" s="61">
        <f t="shared" ref="Y38:Y73" si="8">SUM(U38:X38)</f>
        <v>599400</v>
      </c>
      <c r="Z38" s="1">
        <f>30%*Table5[[#This Row],[Total Selling (Clients Revenue)]]</f>
        <v>826800</v>
      </c>
      <c r="AA38" s="61"/>
      <c r="AB38" s="61"/>
      <c r="AC38" s="61"/>
      <c r="AD38" s="61"/>
      <c r="AE38" s="61">
        <f t="shared" ref="AE38:AE73" si="9">SUM(Z38:AD38)</f>
        <v>826800</v>
      </c>
      <c r="AF38" s="61">
        <f t="shared" ref="AF38:AF73" si="10">AE38-(T38+Y38)</f>
        <v>-577600</v>
      </c>
      <c r="AG3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21800</v>
      </c>
      <c r="AH38" s="13">
        <f>IFERROR(AG38/(Z38+Table5[[#This Row],[Rider Penalty (Claim, Other Denda to Riders)]]),0)</f>
        <v>2.6366715045960328E-2</v>
      </c>
      <c r="AI38" s="62">
        <f t="shared" ref="AI38:AI73" si="11">AA38+AB38-V38</f>
        <v>-599400</v>
      </c>
      <c r="AJ38" s="60">
        <f t="shared" ref="AJ38:AJ73" si="12">IFERROR(AI38/(AA38+AB38),0)</f>
        <v>0</v>
      </c>
      <c r="AV38" s="109"/>
      <c r="AW38" s="109"/>
      <c r="AX38" s="109"/>
    </row>
    <row r="39" spans="1:50" hidden="1">
      <c r="A39">
        <v>2025</v>
      </c>
      <c r="B39" t="s">
        <v>34</v>
      </c>
      <c r="C39" t="s">
        <v>34</v>
      </c>
      <c r="D39" t="s">
        <v>169</v>
      </c>
      <c r="E39" t="s">
        <v>28</v>
      </c>
      <c r="F39" t="s">
        <v>28</v>
      </c>
      <c r="G39">
        <v>4</v>
      </c>
      <c r="H39" t="s">
        <v>21</v>
      </c>
      <c r="I39" t="s">
        <v>279</v>
      </c>
      <c r="J39" t="s">
        <v>297</v>
      </c>
      <c r="K39" s="1">
        <v>7</v>
      </c>
      <c r="L39" s="1">
        <v>291</v>
      </c>
      <c r="M39" s="1">
        <v>2401000</v>
      </c>
      <c r="N39" s="1">
        <v>291000</v>
      </c>
      <c r="O39" s="61">
        <v>575000</v>
      </c>
      <c r="P39" s="61"/>
      <c r="Q39" s="61"/>
      <c r="R39" s="61"/>
      <c r="S39" s="61"/>
      <c r="T39" s="61">
        <f t="shared" si="7"/>
        <v>866000</v>
      </c>
      <c r="U39" s="61"/>
      <c r="V39" s="61">
        <v>832500</v>
      </c>
      <c r="W39" s="61"/>
      <c r="X39" s="61"/>
      <c r="Y39" s="61">
        <f t="shared" si="8"/>
        <v>832500</v>
      </c>
      <c r="Z39" s="1">
        <f>35%*Table5[[#This Row],[Total Selling (Clients Revenue)]]</f>
        <v>840350</v>
      </c>
      <c r="AA39" s="61"/>
      <c r="AB39" s="61"/>
      <c r="AC39" s="61"/>
      <c r="AD39" s="61"/>
      <c r="AE39" s="61">
        <f t="shared" si="9"/>
        <v>840350</v>
      </c>
      <c r="AF39" s="61">
        <f t="shared" si="10"/>
        <v>-858150</v>
      </c>
      <c r="AG3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-25650</v>
      </c>
      <c r="AH39" s="13">
        <f>IFERROR(AG39/(Z39+Table5[[#This Row],[Rider Penalty (Claim, Other Denda to Riders)]]),0)</f>
        <v>-3.0522996370559885E-2</v>
      </c>
      <c r="AI39" s="62">
        <f t="shared" si="11"/>
        <v>-832500</v>
      </c>
      <c r="AJ39" s="60">
        <f t="shared" si="12"/>
        <v>0</v>
      </c>
      <c r="AV39" s="109"/>
      <c r="AW39" s="109"/>
      <c r="AX39" s="109"/>
    </row>
    <row r="40" spans="1:50" hidden="1">
      <c r="A40">
        <v>2025</v>
      </c>
      <c r="B40" t="s">
        <v>29</v>
      </c>
      <c r="C40" t="s">
        <v>29</v>
      </c>
      <c r="D40" t="s">
        <v>169</v>
      </c>
      <c r="E40" t="s">
        <v>28</v>
      </c>
      <c r="F40" t="s">
        <v>28</v>
      </c>
      <c r="G40">
        <v>4</v>
      </c>
      <c r="H40" t="s">
        <v>21</v>
      </c>
      <c r="I40" t="s">
        <v>279</v>
      </c>
      <c r="J40" t="s">
        <v>297</v>
      </c>
      <c r="K40" s="1">
        <v>4</v>
      </c>
      <c r="L40" s="1">
        <v>338</v>
      </c>
      <c r="M40" s="1">
        <v>3364000</v>
      </c>
      <c r="N40" s="1">
        <v>338000</v>
      </c>
      <c r="O40" s="61">
        <v>500000</v>
      </c>
      <c r="P40" s="61"/>
      <c r="Q40" s="61"/>
      <c r="R40" s="61"/>
      <c r="S40" s="61"/>
      <c r="T40" s="61">
        <f t="shared" si="7"/>
        <v>838000</v>
      </c>
      <c r="U40" s="61"/>
      <c r="V40" s="61">
        <v>799200</v>
      </c>
      <c r="W40" s="61"/>
      <c r="X40" s="61"/>
      <c r="Y40" s="61">
        <f t="shared" si="8"/>
        <v>799200</v>
      </c>
      <c r="Z40" s="76">
        <f>30%*Table5[[#This Row],[Total Selling (Clients Revenue)]]</f>
        <v>1009200</v>
      </c>
      <c r="AA40" s="61"/>
      <c r="AB40" s="61"/>
      <c r="AC40" s="61"/>
      <c r="AD40" s="61"/>
      <c r="AE40" s="61">
        <f t="shared" si="9"/>
        <v>1009200</v>
      </c>
      <c r="AF40" s="61">
        <f t="shared" si="10"/>
        <v>-628000</v>
      </c>
      <c r="AG4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171200</v>
      </c>
      <c r="AH40" s="13">
        <f>IFERROR(AG40/(Z40+Table5[[#This Row],[Rider Penalty (Claim, Other Denda to Riders)]]),0)</f>
        <v>0.16963931827189854</v>
      </c>
      <c r="AI40" s="62">
        <f t="shared" si="11"/>
        <v>-799200</v>
      </c>
      <c r="AJ40" s="60">
        <f t="shared" si="12"/>
        <v>0</v>
      </c>
      <c r="AV40" s="109"/>
      <c r="AW40" s="109"/>
      <c r="AX40" s="109"/>
    </row>
    <row r="41" spans="1:50" hidden="1">
      <c r="A41">
        <v>2025</v>
      </c>
      <c r="B41" t="s">
        <v>200</v>
      </c>
      <c r="C41" t="s">
        <v>200</v>
      </c>
      <c r="D41" t="s">
        <v>169</v>
      </c>
      <c r="E41" t="s">
        <v>28</v>
      </c>
      <c r="F41" t="s">
        <v>28</v>
      </c>
      <c r="G41">
        <v>4</v>
      </c>
      <c r="H41" t="s">
        <v>21</v>
      </c>
      <c r="I41" t="s">
        <v>279</v>
      </c>
      <c r="J41" t="s">
        <v>297</v>
      </c>
      <c r="K41" s="1">
        <v>1</v>
      </c>
      <c r="L41" s="1">
        <v>67</v>
      </c>
      <c r="M41" s="1">
        <v>718000</v>
      </c>
      <c r="N41" s="1">
        <v>67000</v>
      </c>
      <c r="O41" s="61">
        <v>125000</v>
      </c>
      <c r="P41" s="61"/>
      <c r="Q41" s="61"/>
      <c r="R41" s="61"/>
      <c r="S41" s="61"/>
      <c r="T41" s="61">
        <f t="shared" si="7"/>
        <v>192000</v>
      </c>
      <c r="U41" s="61"/>
      <c r="V41" s="61">
        <v>166500</v>
      </c>
      <c r="W41" s="61"/>
      <c r="X41" s="61"/>
      <c r="Y41" s="61">
        <f t="shared" si="8"/>
        <v>166500</v>
      </c>
      <c r="Z41" s="1">
        <f>35%*Table5[[#This Row],[Total Selling (Clients Revenue)]]</f>
        <v>251299.99999999997</v>
      </c>
      <c r="AA41" s="61"/>
      <c r="AB41" s="61"/>
      <c r="AC41" s="61"/>
      <c r="AD41" s="61"/>
      <c r="AE41" s="61">
        <f t="shared" si="9"/>
        <v>251299.99999999997</v>
      </c>
      <c r="AF41" s="61">
        <f t="shared" si="10"/>
        <v>-107200.00000000003</v>
      </c>
      <c r="AG4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59299.999999999971</v>
      </c>
      <c r="AH41" s="13">
        <f>IFERROR(AG41/(Z41+Table5[[#This Row],[Rider Penalty (Claim, Other Denda to Riders)]]),0)</f>
        <v>0.23597294070831668</v>
      </c>
      <c r="AI41" s="62">
        <f t="shared" si="11"/>
        <v>-166500</v>
      </c>
      <c r="AJ41" s="60">
        <f t="shared" si="12"/>
        <v>0</v>
      </c>
      <c r="AV41" s="109"/>
      <c r="AW41" s="109"/>
      <c r="AX41" s="109"/>
    </row>
    <row r="42" spans="1:50" hidden="1">
      <c r="A42">
        <v>2025</v>
      </c>
      <c r="B42" s="30" t="s">
        <v>23</v>
      </c>
      <c r="C42" s="30" t="s">
        <v>23</v>
      </c>
      <c r="D42" s="30" t="s">
        <v>168</v>
      </c>
      <c r="E42" s="30" t="s">
        <v>28</v>
      </c>
      <c r="F42" s="30" t="s">
        <v>25</v>
      </c>
      <c r="G42" s="30">
        <v>4</v>
      </c>
      <c r="H42" s="30" t="s">
        <v>21</v>
      </c>
      <c r="I42" t="s">
        <v>279</v>
      </c>
      <c r="J42" t="s">
        <v>298</v>
      </c>
      <c r="K42" s="76">
        <v>255</v>
      </c>
      <c r="L42" s="76">
        <v>67657</v>
      </c>
      <c r="M42" s="76">
        <v>593360000</v>
      </c>
      <c r="N42" s="76">
        <v>67538000</v>
      </c>
      <c r="O42" s="61">
        <v>51325000</v>
      </c>
      <c r="P42" s="61">
        <v>46125000</v>
      </c>
      <c r="Q42" s="61"/>
      <c r="R42" s="61">
        <v>5300000</v>
      </c>
      <c r="S42" s="61"/>
      <c r="T42" s="61">
        <f t="shared" si="7"/>
        <v>170288000</v>
      </c>
      <c r="U42" s="61">
        <v>0</v>
      </c>
      <c r="V42" s="61">
        <v>56643300</v>
      </c>
      <c r="W42" s="61"/>
      <c r="X42" s="61">
        <v>327500</v>
      </c>
      <c r="Y42" s="61">
        <f t="shared" si="8"/>
        <v>56970800</v>
      </c>
      <c r="Z42" s="76">
        <f>23%*Table5[[#This Row],[Total Selling (Clients Revenue)]]</f>
        <v>136472800</v>
      </c>
      <c r="AA42" s="61">
        <v>30618000</v>
      </c>
      <c r="AB42" s="61">
        <f>7/31*139518968</f>
        <v>31504283.096774194</v>
      </c>
      <c r="AC42" s="61"/>
      <c r="AD42" s="61"/>
      <c r="AE42" s="61">
        <f t="shared" si="9"/>
        <v>198595083.09677419</v>
      </c>
      <c r="AF42" s="61">
        <f t="shared" si="10"/>
        <v>-28663716.903225809</v>
      </c>
      <c r="AG4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-34142700</v>
      </c>
      <c r="AH42" s="13">
        <f>IFERROR(AG42/(Z42+Table5[[#This Row],[Rider Penalty (Claim, Other Denda to Riders)]]),0)</f>
        <v>-0.25017952295255902</v>
      </c>
      <c r="AI42" s="62">
        <f t="shared" si="11"/>
        <v>5478983.0967741907</v>
      </c>
      <c r="AJ42" s="60">
        <f t="shared" si="12"/>
        <v>8.8196743964464766E-2</v>
      </c>
      <c r="AV42" s="109">
        <f>Table5[[#This Row],[Total Selling Comission/Sales (Weekly)]]/Table5[[#This Row],[Total Revenue Sharing % (Weekly)]]*100%</f>
        <v>0.49488249673194951</v>
      </c>
      <c r="AW42" s="109">
        <f>Table5[[#This Row],[Total Daily Incentive (Weekly)]]/Table5[[#This Row],[Total Revenue Sharing % (Weekly)]]*100%</f>
        <v>0.37608226694257024</v>
      </c>
      <c r="AX42" s="109">
        <f>(N42+O42)/Z42*100%</f>
        <v>0.8709647636745198</v>
      </c>
    </row>
    <row r="43" spans="1:50" hidden="1">
      <c r="A43">
        <v>2025</v>
      </c>
      <c r="B43" s="30" t="s">
        <v>23</v>
      </c>
      <c r="C43" s="30" t="s">
        <v>172</v>
      </c>
      <c r="D43" s="30" t="s">
        <v>168</v>
      </c>
      <c r="E43" s="30" t="s">
        <v>28</v>
      </c>
      <c r="F43" s="30" t="s">
        <v>31</v>
      </c>
      <c r="G43" s="30">
        <v>4</v>
      </c>
      <c r="H43" s="30" t="s">
        <v>21</v>
      </c>
      <c r="I43" t="s">
        <v>279</v>
      </c>
      <c r="J43" t="s">
        <v>298</v>
      </c>
      <c r="K43" s="76">
        <v>28</v>
      </c>
      <c r="L43" s="76">
        <v>7717</v>
      </c>
      <c r="M43" s="76">
        <v>68118000</v>
      </c>
      <c r="N43" s="76">
        <v>7717000</v>
      </c>
      <c r="O43" s="61">
        <v>6375000</v>
      </c>
      <c r="P43" s="61">
        <v>4875000</v>
      </c>
      <c r="Q43" s="61"/>
      <c r="R43" s="61"/>
      <c r="S43" s="61"/>
      <c r="T43" s="61">
        <f t="shared" si="7"/>
        <v>18967000</v>
      </c>
      <c r="U43" s="61">
        <v>0</v>
      </c>
      <c r="V43" s="61">
        <v>5727600</v>
      </c>
      <c r="W43" s="61"/>
      <c r="X43" s="61">
        <v>456000</v>
      </c>
      <c r="Y43" s="61">
        <f t="shared" si="8"/>
        <v>6183600</v>
      </c>
      <c r="Z43" s="76">
        <f>23%*Table5[[#This Row],[Total Selling (Clients Revenue)]]</f>
        <v>15667140</v>
      </c>
      <c r="AA43" s="61">
        <v>3096000</v>
      </c>
      <c r="AB43" s="61">
        <f>7/31*13364129</f>
        <v>3017706.5483870967</v>
      </c>
      <c r="AC43" s="61"/>
      <c r="AD43" s="61"/>
      <c r="AE43" s="61">
        <f t="shared" si="9"/>
        <v>21780846.548387095</v>
      </c>
      <c r="AF43" s="61">
        <f t="shared" si="10"/>
        <v>-3369753.4516129047</v>
      </c>
      <c r="AG4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-3755860</v>
      </c>
      <c r="AH43" s="13">
        <f>IFERROR(AG43/(Z43+Table5[[#This Row],[Rider Penalty (Claim, Other Denda to Riders)]]),0)</f>
        <v>-0.23972850181973226</v>
      </c>
      <c r="AI43" s="62">
        <f t="shared" si="11"/>
        <v>386106.54838709719</v>
      </c>
      <c r="AJ43" s="60">
        <f t="shared" si="12"/>
        <v>6.3154249444464891E-2</v>
      </c>
      <c r="AV43" s="109">
        <f>Table5[[#This Row],[Total Selling Comission/Sales (Weekly)]]/Table5[[#This Row],[Total Revenue Sharing % (Weekly)]]*100%</f>
        <v>0.49255958649759946</v>
      </c>
      <c r="AW43" s="109">
        <f>Table5[[#This Row],[Total Daily Incentive (Weekly)]]/Table5[[#This Row],[Total Revenue Sharing % (Weekly)]]*100%</f>
        <v>0.40690259996400108</v>
      </c>
      <c r="AX43" s="109">
        <f>(N43+O43)/Z43*100%</f>
        <v>0.89946218646160048</v>
      </c>
    </row>
    <row r="44" spans="1:50" hidden="1">
      <c r="A44">
        <v>2025</v>
      </c>
      <c r="B44" s="30" t="s">
        <v>23</v>
      </c>
      <c r="C44" s="30" t="s">
        <v>174</v>
      </c>
      <c r="D44" s="30" t="s">
        <v>168</v>
      </c>
      <c r="E44" s="30" t="s">
        <v>24</v>
      </c>
      <c r="F44" s="30" t="s">
        <v>24</v>
      </c>
      <c r="G44" s="30">
        <v>4</v>
      </c>
      <c r="H44" s="30" t="s">
        <v>21</v>
      </c>
      <c r="I44" t="s">
        <v>279</v>
      </c>
      <c r="J44" t="s">
        <v>298</v>
      </c>
      <c r="K44" s="76">
        <v>53</v>
      </c>
      <c r="L44" s="76">
        <v>9405</v>
      </c>
      <c r="M44" s="76">
        <v>85420000</v>
      </c>
      <c r="N44" s="76">
        <v>7489200</v>
      </c>
      <c r="O44" s="61">
        <v>13630000</v>
      </c>
      <c r="P44" s="61">
        <v>6067034</v>
      </c>
      <c r="Q44" s="61"/>
      <c r="R44" s="61"/>
      <c r="S44" s="61"/>
      <c r="T44" s="61">
        <f t="shared" si="7"/>
        <v>27186234</v>
      </c>
      <c r="U44" s="61">
        <v>0</v>
      </c>
      <c r="V44" s="61">
        <v>8757900</v>
      </c>
      <c r="W44" s="61"/>
      <c r="X44" s="61"/>
      <c r="Y44" s="61">
        <f t="shared" si="8"/>
        <v>8757900</v>
      </c>
      <c r="Z44" s="76">
        <f>21%*Table5[[#This Row],[Total Selling (Clients Revenue)]]</f>
        <v>17938200</v>
      </c>
      <c r="AA44" s="61">
        <v>6575000</v>
      </c>
      <c r="AB44" s="61">
        <f>7/31*15146013</f>
        <v>3420067.4516129033</v>
      </c>
      <c r="AC44" s="61"/>
      <c r="AD44" s="61">
        <v>625000</v>
      </c>
      <c r="AE44" s="61">
        <f t="shared" si="9"/>
        <v>28558267.451612905</v>
      </c>
      <c r="AF44" s="61">
        <f t="shared" si="10"/>
        <v>-7385866.5483870953</v>
      </c>
      <c r="AG4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-8623034</v>
      </c>
      <c r="AH44" s="13">
        <f>IFERROR(AG44/(Z44+Table5[[#This Row],[Rider Penalty (Claim, Other Denda to Riders)]]),0)</f>
        <v>-0.46452303482158247</v>
      </c>
      <c r="AI44" s="62">
        <f t="shared" si="11"/>
        <v>1237167.4516129028</v>
      </c>
      <c r="AJ44" s="60">
        <f t="shared" si="12"/>
        <v>0.12377779915965062</v>
      </c>
      <c r="AV44" s="109">
        <f>Table5[[#This Row],[Total Selling Comission/Sales (Weekly)]]/Table5[[#This Row],[Total Revenue Sharing % (Weekly)]]*100%</f>
        <v>0.41750008362043012</v>
      </c>
      <c r="AW44" s="109">
        <f>Table5[[#This Row],[Total Daily Incentive (Weekly)]]/Table5[[#This Row],[Total Revenue Sharing % (Weekly)]]*100%</f>
        <v>0.75983097523720333</v>
      </c>
      <c r="AX44" s="109">
        <f>(N44+O44)/Z44*100%</f>
        <v>1.1773310588576333</v>
      </c>
    </row>
    <row r="45" spans="1:50" hidden="1">
      <c r="A45">
        <v>2025</v>
      </c>
      <c r="B45" s="30" t="s">
        <v>23</v>
      </c>
      <c r="C45" s="30" t="s">
        <v>173</v>
      </c>
      <c r="D45" s="30" t="s">
        <v>168</v>
      </c>
      <c r="E45" s="30" t="s">
        <v>24</v>
      </c>
      <c r="F45" s="30" t="s">
        <v>282</v>
      </c>
      <c r="G45" s="30">
        <v>4</v>
      </c>
      <c r="H45" s="30" t="s">
        <v>21</v>
      </c>
      <c r="I45" t="s">
        <v>279</v>
      </c>
      <c r="J45" t="s">
        <v>298</v>
      </c>
      <c r="K45" s="48">
        <v>15</v>
      </c>
      <c r="L45" s="48">
        <v>4531</v>
      </c>
      <c r="M45" s="48">
        <v>41488000</v>
      </c>
      <c r="N45" s="48">
        <v>3485600</v>
      </c>
      <c r="O45" s="55">
        <v>37500000</v>
      </c>
      <c r="P45" s="55">
        <v>798077</v>
      </c>
      <c r="Q45" s="55"/>
      <c r="R45" s="55">
        <v>0</v>
      </c>
      <c r="S45" s="55"/>
      <c r="T45" s="55">
        <f t="shared" si="7"/>
        <v>41783677</v>
      </c>
      <c r="U45" s="55">
        <v>0</v>
      </c>
      <c r="V45" s="55">
        <v>2497500</v>
      </c>
      <c r="W45" s="55"/>
      <c r="X45" s="55"/>
      <c r="Y45" s="55">
        <f t="shared" si="8"/>
        <v>2497500</v>
      </c>
      <c r="Z45" s="76">
        <f>21%*Table5[[#This Row],[Total Selling (Clients Revenue)]]</f>
        <v>8712480</v>
      </c>
      <c r="AA45" s="55">
        <v>1875000</v>
      </c>
      <c r="AB45" s="61">
        <f>7/31*4549006</f>
        <v>1027194.9032258064</v>
      </c>
      <c r="AC45" s="61"/>
      <c r="AD45" s="55">
        <v>0</v>
      </c>
      <c r="AE45" s="55">
        <f t="shared" si="9"/>
        <v>11614674.903225806</v>
      </c>
      <c r="AF45" s="55">
        <f t="shared" si="10"/>
        <v>-32666502.096774194</v>
      </c>
      <c r="AG4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-33071197</v>
      </c>
      <c r="AH45" s="59">
        <f>IFERROR(AG45/(Z45+Table5[[#This Row],[Rider Penalty (Claim, Other Denda to Riders)]]),0)</f>
        <v>-3.7958419416744715</v>
      </c>
      <c r="AI45" s="56">
        <f t="shared" si="11"/>
        <v>404694.90322580654</v>
      </c>
      <c r="AJ45" s="60">
        <f t="shared" si="12"/>
        <v>0.13944442627749976</v>
      </c>
      <c r="AV45" s="109">
        <f>Table5[[#This Row],[Total Selling Comission/Sales (Weekly)]]/Table5[[#This Row],[Total Revenue Sharing % (Weekly)]]*100%</f>
        <v>0.40006978495216056</v>
      </c>
      <c r="AW45" s="109">
        <f>Table5[[#This Row],[Total Daily Incentive (Weekly)]]/Table5[[#This Row],[Total Revenue Sharing % (Weekly)]]*100%</f>
        <v>4.3041705691146497</v>
      </c>
      <c r="AX45" s="109">
        <f>(N45+O45)/Z45*100%</f>
        <v>4.7042403540668101</v>
      </c>
    </row>
    <row r="46" spans="1:50" hidden="1">
      <c r="A46" s="41">
        <v>2025</v>
      </c>
      <c r="B46" s="41" t="s">
        <v>27</v>
      </c>
      <c r="C46" s="41" t="s">
        <v>27</v>
      </c>
      <c r="D46" s="41" t="s">
        <v>169</v>
      </c>
      <c r="E46" s="41" t="s">
        <v>28</v>
      </c>
      <c r="F46" s="41" t="s">
        <v>28</v>
      </c>
      <c r="G46" s="41">
        <v>3</v>
      </c>
      <c r="H46" s="41" t="s">
        <v>21</v>
      </c>
      <c r="I46" s="41" t="s">
        <v>278</v>
      </c>
      <c r="J46" s="47" t="s">
        <v>35</v>
      </c>
      <c r="K46" s="48">
        <v>4</v>
      </c>
      <c r="L46" s="48">
        <v>538</v>
      </c>
      <c r="M46" s="48">
        <v>4754000</v>
      </c>
      <c r="N46" s="48">
        <v>538000</v>
      </c>
      <c r="O46" s="55">
        <v>450000</v>
      </c>
      <c r="P46" s="55"/>
      <c r="Q46" s="55"/>
      <c r="R46" s="55"/>
      <c r="S46" s="55"/>
      <c r="T46" s="55">
        <f t="shared" si="7"/>
        <v>988000</v>
      </c>
      <c r="U46" s="55"/>
      <c r="V46" s="55">
        <v>699300</v>
      </c>
      <c r="W46" s="55"/>
      <c r="X46" s="55"/>
      <c r="Y46" s="55">
        <f t="shared" si="8"/>
        <v>699300</v>
      </c>
      <c r="Z46" s="48">
        <f>30%*Table5[[#This Row],[Total Selling (Clients Revenue)]]</f>
        <v>1426200</v>
      </c>
      <c r="AA46" s="55"/>
      <c r="AB46" s="55"/>
      <c r="AC46" s="55"/>
      <c r="AD46" s="55"/>
      <c r="AE46" s="55">
        <f t="shared" si="9"/>
        <v>1426200</v>
      </c>
      <c r="AF46" s="55">
        <f t="shared" si="10"/>
        <v>-261100</v>
      </c>
      <c r="AG4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438200</v>
      </c>
      <c r="AH46" s="59">
        <f>IFERROR(AG46/(Z46+Table5[[#This Row],[Rider Penalty (Claim, Other Denda to Riders)]]),0)</f>
        <v>0.30725003505819659</v>
      </c>
      <c r="AI46" s="56">
        <f t="shared" si="11"/>
        <v>-699300</v>
      </c>
      <c r="AJ46" s="60">
        <f t="shared" si="12"/>
        <v>0</v>
      </c>
      <c r="AV46" s="109"/>
      <c r="AW46" s="109"/>
      <c r="AX46" s="109"/>
    </row>
    <row r="47" spans="1:50" hidden="1">
      <c r="A47">
        <v>2025</v>
      </c>
      <c r="B47" t="s">
        <v>29</v>
      </c>
      <c r="C47" s="16" t="s">
        <v>29</v>
      </c>
      <c r="D47" s="16" t="s">
        <v>169</v>
      </c>
      <c r="E47" t="s">
        <v>28</v>
      </c>
      <c r="F47" s="16" t="s">
        <v>28</v>
      </c>
      <c r="G47" s="16">
        <v>3</v>
      </c>
      <c r="H47" s="16" t="s">
        <v>21</v>
      </c>
      <c r="I47" s="16" t="s">
        <v>278</v>
      </c>
      <c r="J47" s="16" t="s">
        <v>35</v>
      </c>
      <c r="K47" s="76">
        <v>3</v>
      </c>
      <c r="L47" s="76">
        <v>504</v>
      </c>
      <c r="M47" s="76">
        <v>2704000</v>
      </c>
      <c r="N47" s="76">
        <v>504000</v>
      </c>
      <c r="O47" s="61">
        <v>450000</v>
      </c>
      <c r="P47" s="61"/>
      <c r="Q47" s="61"/>
      <c r="R47" s="61"/>
      <c r="S47" s="61"/>
      <c r="T47" s="61">
        <f t="shared" si="7"/>
        <v>954000</v>
      </c>
      <c r="U47" s="61"/>
      <c r="V47" s="61">
        <v>699300</v>
      </c>
      <c r="W47" s="61"/>
      <c r="X47" s="61"/>
      <c r="Y47" s="61">
        <f t="shared" si="8"/>
        <v>699300</v>
      </c>
      <c r="Z47" s="76">
        <f>30%*Table5[[#This Row],[Total Selling (Clients Revenue)]]</f>
        <v>811200</v>
      </c>
      <c r="AA47" s="61"/>
      <c r="AB47" s="61"/>
      <c r="AC47" s="61"/>
      <c r="AD47" s="61"/>
      <c r="AE47" s="61">
        <f t="shared" si="9"/>
        <v>811200</v>
      </c>
      <c r="AF47" s="61">
        <f t="shared" si="10"/>
        <v>-842100</v>
      </c>
      <c r="AG4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-142800</v>
      </c>
      <c r="AH47" s="13">
        <f>IFERROR(AG47/(Z47+Table5[[#This Row],[Rider Penalty (Claim, Other Denda to Riders)]]),0)</f>
        <v>-0.17603550295857989</v>
      </c>
      <c r="AI47" s="62">
        <f t="shared" si="11"/>
        <v>-699300</v>
      </c>
      <c r="AJ47" s="60">
        <f t="shared" si="12"/>
        <v>0</v>
      </c>
      <c r="AV47" s="109"/>
      <c r="AW47" s="109"/>
      <c r="AX47" s="109"/>
    </row>
    <row r="48" spans="1:50" hidden="1">
      <c r="A48">
        <v>2025</v>
      </c>
      <c r="B48" s="30" t="s">
        <v>23</v>
      </c>
      <c r="C48" s="30" t="s">
        <v>23</v>
      </c>
      <c r="D48" s="30" t="s">
        <v>168</v>
      </c>
      <c r="E48" s="30" t="s">
        <v>28</v>
      </c>
      <c r="F48" s="30" t="s">
        <v>25</v>
      </c>
      <c r="G48" s="30">
        <v>3</v>
      </c>
      <c r="H48" s="30" t="s">
        <v>21</v>
      </c>
      <c r="I48" t="s">
        <v>278</v>
      </c>
      <c r="J48" s="18" t="s">
        <v>299</v>
      </c>
      <c r="K48" s="76">
        <v>256</v>
      </c>
      <c r="L48" s="76">
        <v>73938</v>
      </c>
      <c r="M48" s="76">
        <v>650952000</v>
      </c>
      <c r="N48" s="76">
        <v>73700000</v>
      </c>
      <c r="O48" s="61">
        <v>53650000</v>
      </c>
      <c r="P48" s="61"/>
      <c r="Q48" s="61"/>
      <c r="R48" s="61"/>
      <c r="S48" s="61"/>
      <c r="T48" s="61">
        <f t="shared" si="7"/>
        <v>127350000</v>
      </c>
      <c r="U48" s="61">
        <v>0</v>
      </c>
      <c r="V48" s="61">
        <v>58141800</v>
      </c>
      <c r="W48" s="61"/>
      <c r="X48" s="61">
        <v>327500</v>
      </c>
      <c r="Y48" s="61">
        <f t="shared" si="8"/>
        <v>58469300</v>
      </c>
      <c r="Z48" s="76">
        <f>23%*Table5[[#This Row],[Total Selling (Clients Revenue)]]</f>
        <v>149718960</v>
      </c>
      <c r="AA48" s="61">
        <v>31428000</v>
      </c>
      <c r="AB48" s="61">
        <f>7/31*139518968</f>
        <v>31504283.096774194</v>
      </c>
      <c r="AC48" s="61"/>
      <c r="AD48" s="61"/>
      <c r="AE48" s="61">
        <f t="shared" si="9"/>
        <v>212651243.09677419</v>
      </c>
      <c r="AF48" s="61">
        <f t="shared" si="10"/>
        <v>26831943.096774191</v>
      </c>
      <c r="AG4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22041460</v>
      </c>
      <c r="AH48" s="13">
        <f>IFERROR(AG48/(Z48+Table5[[#This Row],[Rider Penalty (Claim, Other Denda to Riders)]]),0)</f>
        <v>0.14721889599019389</v>
      </c>
      <c r="AI48" s="62">
        <f t="shared" si="11"/>
        <v>4790483.0967741907</v>
      </c>
      <c r="AJ48" s="60">
        <f t="shared" si="12"/>
        <v>7.6121234778779912E-2</v>
      </c>
      <c r="AV48" s="109">
        <f>Table5[[#This Row],[Total Selling Comission/Sales (Weekly)]]/Table5[[#This Row],[Total Revenue Sharing % (Weekly)]]*100%</f>
        <v>0.49225562346946572</v>
      </c>
      <c r="AW48" s="109">
        <f>Table5[[#This Row],[Total Daily Incentive (Weekly)]]/Table5[[#This Row],[Total Revenue Sharing % (Weekly)]]*100%</f>
        <v>0.35833804883496384</v>
      </c>
      <c r="AX48" s="109">
        <f>(N48+O48)/Z48*100%</f>
        <v>0.85059367230442962</v>
      </c>
    </row>
    <row r="49" spans="1:50" hidden="1">
      <c r="A49">
        <v>2025</v>
      </c>
      <c r="B49" s="30" t="s">
        <v>23</v>
      </c>
      <c r="C49" s="30" t="s">
        <v>172</v>
      </c>
      <c r="D49" s="30" t="s">
        <v>168</v>
      </c>
      <c r="E49" s="30" t="s">
        <v>28</v>
      </c>
      <c r="F49" s="30" t="s">
        <v>31</v>
      </c>
      <c r="G49" s="30">
        <v>3</v>
      </c>
      <c r="H49" s="30" t="s">
        <v>21</v>
      </c>
      <c r="I49" t="s">
        <v>278</v>
      </c>
      <c r="J49" s="18" t="s">
        <v>299</v>
      </c>
      <c r="K49" s="76">
        <v>20</v>
      </c>
      <c r="L49" s="76">
        <v>6964</v>
      </c>
      <c r="M49" s="76">
        <v>61752000</v>
      </c>
      <c r="N49" s="76">
        <v>6952000</v>
      </c>
      <c r="O49" s="61">
        <v>5025000</v>
      </c>
      <c r="P49" s="61"/>
      <c r="Q49" s="61"/>
      <c r="R49" s="61"/>
      <c r="S49" s="61"/>
      <c r="T49" s="61">
        <f t="shared" si="7"/>
        <v>11977000</v>
      </c>
      <c r="U49" s="61">
        <v>0</v>
      </c>
      <c r="V49" s="61">
        <v>4562100</v>
      </c>
      <c r="W49" s="61"/>
      <c r="X49" s="61">
        <v>456000</v>
      </c>
      <c r="Y49" s="61">
        <f t="shared" si="8"/>
        <v>5018100</v>
      </c>
      <c r="Z49" s="1">
        <f>23%*Table5[[#This Row],[Total Selling (Clients Revenue)]]</f>
        <v>14202960</v>
      </c>
      <c r="AA49" s="61">
        <v>2466000</v>
      </c>
      <c r="AB49" s="61">
        <f>7/31*13364129</f>
        <v>3017706.5483870967</v>
      </c>
      <c r="AC49" s="61"/>
      <c r="AD49" s="61"/>
      <c r="AE49" s="61">
        <f t="shared" si="9"/>
        <v>19686666.548387095</v>
      </c>
      <c r="AF49" s="61">
        <f t="shared" si="10"/>
        <v>2691566.5483870953</v>
      </c>
      <c r="AG4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1769960</v>
      </c>
      <c r="AH49" s="13">
        <f>IFERROR(AG49/(Z49+Table5[[#This Row],[Rider Penalty (Claim, Other Denda to Riders)]]),0)</f>
        <v>0.12461909348473839</v>
      </c>
      <c r="AI49" s="62">
        <f t="shared" si="11"/>
        <v>921606.54838709719</v>
      </c>
      <c r="AJ49" s="60">
        <f t="shared" si="12"/>
        <v>0.16806270362117864</v>
      </c>
      <c r="AV49" s="109">
        <f>Table5[[#This Row],[Total Selling Comission/Sales (Weekly)]]/Table5[[#This Row],[Total Revenue Sharing % (Weekly)]]*100%</f>
        <v>0.48947543328996207</v>
      </c>
      <c r="AW49" s="109">
        <f>Table5[[#This Row],[Total Daily Incentive (Weekly)]]/Table5[[#This Row],[Total Revenue Sharing % (Weekly)]]*100%</f>
        <v>0.35379948968384056</v>
      </c>
      <c r="AX49" s="109">
        <f>(N49+O49)/Z49*100%</f>
        <v>0.84327492297380269</v>
      </c>
    </row>
    <row r="50" spans="1:50" hidden="1">
      <c r="A50" s="63">
        <v>2025</v>
      </c>
      <c r="B50" s="165" t="s">
        <v>23</v>
      </c>
      <c r="C50" s="165" t="s">
        <v>174</v>
      </c>
      <c r="D50" s="165" t="s">
        <v>168</v>
      </c>
      <c r="E50" s="165" t="s">
        <v>24</v>
      </c>
      <c r="F50" s="165" t="s">
        <v>24</v>
      </c>
      <c r="G50" s="165">
        <v>3</v>
      </c>
      <c r="H50" s="165" t="s">
        <v>21</v>
      </c>
      <c r="I50" s="64" t="s">
        <v>278</v>
      </c>
      <c r="J50" s="74" t="s">
        <v>299</v>
      </c>
      <c r="K50" s="48">
        <v>47</v>
      </c>
      <c r="L50" s="48">
        <v>9176</v>
      </c>
      <c r="M50" s="48">
        <v>83342000</v>
      </c>
      <c r="N50" s="48">
        <v>6958600</v>
      </c>
      <c r="O50" s="55">
        <v>11900000</v>
      </c>
      <c r="P50" s="55">
        <v>0</v>
      </c>
      <c r="Q50" s="55"/>
      <c r="R50" s="55">
        <v>0</v>
      </c>
      <c r="S50" s="55"/>
      <c r="T50" s="55">
        <f t="shared" si="7"/>
        <v>18858600</v>
      </c>
      <c r="U50" s="55">
        <v>0</v>
      </c>
      <c r="V50" s="55">
        <v>7925400</v>
      </c>
      <c r="W50" s="55"/>
      <c r="X50" s="55"/>
      <c r="Y50" s="55">
        <f t="shared" si="8"/>
        <v>7925400</v>
      </c>
      <c r="Z50" s="76">
        <f>21%*Table5[[#This Row],[Total Selling (Clients Revenue)]]</f>
        <v>17501820</v>
      </c>
      <c r="AA50" s="55">
        <v>5950000</v>
      </c>
      <c r="AB50" s="61">
        <f>7/31*15146013</f>
        <v>3420067.4516129033</v>
      </c>
      <c r="AC50" s="61"/>
      <c r="AD50" s="55">
        <v>600000</v>
      </c>
      <c r="AE50" s="55">
        <f t="shared" si="9"/>
        <v>27471887.451612905</v>
      </c>
      <c r="AF50" s="55">
        <f t="shared" si="10"/>
        <v>687887.45161290467</v>
      </c>
      <c r="AG5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-756780</v>
      </c>
      <c r="AH50" s="59">
        <f>IFERROR(AG50/(Z50+Table5[[#This Row],[Rider Penalty (Claim, Other Denda to Riders)]]),0)</f>
        <v>-4.1806845941457824E-2</v>
      </c>
      <c r="AI50" s="56">
        <f t="shared" si="11"/>
        <v>1444667.4516129028</v>
      </c>
      <c r="AJ50" s="60">
        <f t="shared" si="12"/>
        <v>0.15417898100234348</v>
      </c>
      <c r="AV50" s="109">
        <f>Table5[[#This Row],[Total Selling Comission/Sales (Weekly)]]/Table5[[#This Row],[Total Revenue Sharing % (Weekly)]]*100%</f>
        <v>0.39759293604893664</v>
      </c>
      <c r="AW50" s="109">
        <f>Table5[[#This Row],[Total Daily Incentive (Weekly)]]/Table5[[#This Row],[Total Revenue Sharing % (Weekly)]]*100%</f>
        <v>0.67992928735411517</v>
      </c>
      <c r="AX50" s="109">
        <f>(N50+O50)/Z50*100%</f>
        <v>1.0775222234030517</v>
      </c>
    </row>
    <row r="51" spans="1:50" hidden="1">
      <c r="A51">
        <v>2025</v>
      </c>
      <c r="B51" s="30" t="s">
        <v>23</v>
      </c>
      <c r="C51" s="30" t="s">
        <v>173</v>
      </c>
      <c r="D51" s="30" t="s">
        <v>168</v>
      </c>
      <c r="E51" s="30" t="s">
        <v>24</v>
      </c>
      <c r="F51" s="30" t="s">
        <v>282</v>
      </c>
      <c r="G51" s="30">
        <v>3</v>
      </c>
      <c r="H51" s="30" t="s">
        <v>21</v>
      </c>
      <c r="I51" t="s">
        <v>278</v>
      </c>
      <c r="J51" s="18" t="s">
        <v>299</v>
      </c>
      <c r="K51" s="76">
        <v>14</v>
      </c>
      <c r="L51" s="76">
        <v>4410</v>
      </c>
      <c r="M51" s="76">
        <v>40536000</v>
      </c>
      <c r="N51" s="76">
        <v>3528000</v>
      </c>
      <c r="O51" s="61">
        <v>3700000</v>
      </c>
      <c r="P51" s="61">
        <v>0</v>
      </c>
      <c r="Q51" s="61"/>
      <c r="R51" s="61">
        <v>0</v>
      </c>
      <c r="S51" s="61"/>
      <c r="T51" s="61">
        <f t="shared" si="7"/>
        <v>7228000</v>
      </c>
      <c r="U51" s="61">
        <v>0</v>
      </c>
      <c r="V51" s="61">
        <v>2464200</v>
      </c>
      <c r="W51" s="61"/>
      <c r="X51" s="61"/>
      <c r="Y51" s="61">
        <f t="shared" si="8"/>
        <v>2464200</v>
      </c>
      <c r="Z51" s="76">
        <f>21%*Table5[[#This Row],[Total Selling (Clients Revenue)]]</f>
        <v>8512560</v>
      </c>
      <c r="AA51" s="61">
        <v>1850000</v>
      </c>
      <c r="AB51" s="61">
        <f>7/31*4549006</f>
        <v>1027194.9032258064</v>
      </c>
      <c r="AC51" s="61"/>
      <c r="AD51" s="61">
        <v>250000</v>
      </c>
      <c r="AE51" s="61">
        <f t="shared" si="9"/>
        <v>11639754.903225806</v>
      </c>
      <c r="AF51" s="61">
        <f t="shared" si="10"/>
        <v>1947554.9032258056</v>
      </c>
      <c r="AG5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1534560</v>
      </c>
      <c r="AH51" s="13">
        <f>IFERROR(AG51/(Z51+Table5[[#This Row],[Rider Penalty (Claim, Other Denda to Riders)]]),0)</f>
        <v>0.17512690355329949</v>
      </c>
      <c r="AI51" s="62">
        <f t="shared" si="11"/>
        <v>412994.90322580654</v>
      </c>
      <c r="AJ51" s="60">
        <f t="shared" si="12"/>
        <v>0.14354081566138313</v>
      </c>
      <c r="AV51" s="109">
        <f>Table5[[#This Row],[Total Selling Comission/Sales (Weekly)]]/Table5[[#This Row],[Total Revenue Sharing % (Weekly)]]*100%</f>
        <v>0.41444641799881587</v>
      </c>
      <c r="AW51" s="109">
        <f>Table5[[#This Row],[Total Daily Incentive (Weekly)]]/Table5[[#This Row],[Total Revenue Sharing % (Weekly)]]*100%</f>
        <v>0.43465185561100306</v>
      </c>
      <c r="AX51" s="109">
        <f>(N51+O51)/Z51*100%</f>
        <v>0.84909827360981893</v>
      </c>
    </row>
    <row r="52" spans="1:50" hidden="1">
      <c r="A52">
        <v>2025</v>
      </c>
      <c r="B52" t="s">
        <v>201</v>
      </c>
      <c r="C52" t="s">
        <v>201</v>
      </c>
      <c r="D52" t="s">
        <v>169</v>
      </c>
      <c r="E52" t="s">
        <v>28</v>
      </c>
      <c r="F52" s="76" t="s">
        <v>28</v>
      </c>
      <c r="G52">
        <v>3</v>
      </c>
      <c r="H52" t="s">
        <v>21</v>
      </c>
      <c r="I52" t="s">
        <v>278</v>
      </c>
      <c r="J52" s="18" t="s">
        <v>299</v>
      </c>
      <c r="K52" s="76">
        <v>3</v>
      </c>
      <c r="L52" s="76">
        <v>122</v>
      </c>
      <c r="M52" s="76"/>
      <c r="N52" s="76">
        <v>122000</v>
      </c>
      <c r="O52" s="61">
        <v>400000</v>
      </c>
      <c r="P52" s="61"/>
      <c r="Q52" s="61"/>
      <c r="R52" s="61"/>
      <c r="S52" s="61"/>
      <c r="T52" s="61">
        <f t="shared" si="7"/>
        <v>522000</v>
      </c>
      <c r="U52" s="61"/>
      <c r="V52" s="61">
        <v>699300</v>
      </c>
      <c r="W52" s="61"/>
      <c r="X52" s="61"/>
      <c r="Y52" s="61">
        <f t="shared" si="8"/>
        <v>699300</v>
      </c>
      <c r="Z52" s="76">
        <f>30%*Table5[[#This Row],[Total Selling (Clients Revenue)]]</f>
        <v>0</v>
      </c>
      <c r="AA52" s="61"/>
      <c r="AB52" s="61"/>
      <c r="AC52" s="61"/>
      <c r="AD52" s="61"/>
      <c r="AE52" s="61">
        <f t="shared" si="9"/>
        <v>0</v>
      </c>
      <c r="AF52" s="61">
        <f t="shared" si="10"/>
        <v>-1221300</v>
      </c>
      <c r="AG5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-522000</v>
      </c>
      <c r="AH52" s="13">
        <f>IFERROR(AG52/(Z52+Table5[[#This Row],[Rider Penalty (Claim, Other Denda to Riders)]]),0)</f>
        <v>0</v>
      </c>
      <c r="AI52" s="62">
        <f t="shared" si="11"/>
        <v>-699300</v>
      </c>
      <c r="AJ52" s="60">
        <f t="shared" si="12"/>
        <v>0</v>
      </c>
      <c r="AV52" s="109"/>
      <c r="AW52" s="109"/>
      <c r="AX52" s="109"/>
    </row>
    <row r="53" spans="1:50" hidden="1">
      <c r="A53">
        <v>2025</v>
      </c>
      <c r="B53" s="30" t="s">
        <v>27</v>
      </c>
      <c r="C53" s="30" t="s">
        <v>27</v>
      </c>
      <c r="D53" s="30" t="s">
        <v>169</v>
      </c>
      <c r="E53" s="30" t="s">
        <v>28</v>
      </c>
      <c r="F53" s="30" t="s">
        <v>28</v>
      </c>
      <c r="G53" s="30">
        <v>2</v>
      </c>
      <c r="H53" s="30" t="s">
        <v>21</v>
      </c>
      <c r="I53" t="s">
        <v>256</v>
      </c>
      <c r="J53" t="s">
        <v>26</v>
      </c>
      <c r="K53" s="76">
        <v>4</v>
      </c>
      <c r="L53" s="76">
        <v>683</v>
      </c>
      <c r="M53" s="76">
        <v>5610000</v>
      </c>
      <c r="N53" s="76">
        <v>683000</v>
      </c>
      <c r="O53" s="61">
        <v>650000</v>
      </c>
      <c r="P53" s="61"/>
      <c r="Q53" s="61"/>
      <c r="R53" s="61"/>
      <c r="S53" s="61"/>
      <c r="T53" s="61">
        <f t="shared" si="7"/>
        <v>1333000</v>
      </c>
      <c r="U53" s="61"/>
      <c r="V53" s="61">
        <v>932400</v>
      </c>
      <c r="W53" s="61"/>
      <c r="X53" s="61"/>
      <c r="Y53" s="61">
        <f t="shared" si="8"/>
        <v>932400</v>
      </c>
      <c r="Z53" s="76">
        <f>30%*Table5[[#This Row],[Total Selling (Clients Revenue)]]</f>
        <v>1683000</v>
      </c>
      <c r="AA53" s="61">
        <v>0</v>
      </c>
      <c r="AB53" s="61">
        <v>0</v>
      </c>
      <c r="AC53" s="61"/>
      <c r="AD53" s="61"/>
      <c r="AE53" s="61">
        <f t="shared" si="9"/>
        <v>1683000</v>
      </c>
      <c r="AF53" s="61">
        <f t="shared" si="10"/>
        <v>-582400</v>
      </c>
      <c r="AG5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350000</v>
      </c>
      <c r="AH53" s="13">
        <f>IFERROR(AG53/(Z53+Table5[[#This Row],[Rider Penalty (Claim, Other Denda to Riders)]]),0)</f>
        <v>0.20796197266785502</v>
      </c>
      <c r="AI53" s="62">
        <f t="shared" si="11"/>
        <v>-932400</v>
      </c>
      <c r="AJ53" s="60">
        <f t="shared" si="12"/>
        <v>0</v>
      </c>
      <c r="AV53" s="109"/>
      <c r="AW53" s="109"/>
      <c r="AX53" s="109"/>
    </row>
    <row r="54" spans="1:50" hidden="1">
      <c r="A54">
        <v>2025</v>
      </c>
      <c r="B54" s="30" t="s">
        <v>29</v>
      </c>
      <c r="C54" s="30" t="s">
        <v>29</v>
      </c>
      <c r="D54" s="30" t="s">
        <v>169</v>
      </c>
      <c r="E54" s="30" t="s">
        <v>28</v>
      </c>
      <c r="F54" s="30" t="s">
        <v>28</v>
      </c>
      <c r="G54" s="30">
        <v>2</v>
      </c>
      <c r="H54" s="30" t="s">
        <v>21</v>
      </c>
      <c r="I54" t="s">
        <v>256</v>
      </c>
      <c r="J54" t="s">
        <v>26</v>
      </c>
      <c r="K54" s="76">
        <v>3</v>
      </c>
      <c r="L54" s="76">
        <v>299</v>
      </c>
      <c r="M54" s="76">
        <v>2728000</v>
      </c>
      <c r="N54" s="76">
        <v>299000</v>
      </c>
      <c r="O54" s="61">
        <v>285000</v>
      </c>
      <c r="P54" s="61"/>
      <c r="Q54" s="61"/>
      <c r="R54" s="61"/>
      <c r="S54" s="61"/>
      <c r="T54" s="61">
        <f t="shared" si="7"/>
        <v>584000</v>
      </c>
      <c r="U54" s="61"/>
      <c r="V54" s="61">
        <v>599400</v>
      </c>
      <c r="W54" s="61"/>
      <c r="X54" s="61"/>
      <c r="Y54" s="61">
        <f t="shared" si="8"/>
        <v>599400</v>
      </c>
      <c r="Z54" s="1">
        <f>30%*Table5[[#This Row],[Total Selling (Clients Revenue)]]</f>
        <v>818400</v>
      </c>
      <c r="AA54" s="61">
        <v>0</v>
      </c>
      <c r="AB54" s="61">
        <v>0</v>
      </c>
      <c r="AC54" s="61"/>
      <c r="AD54" s="61"/>
      <c r="AE54" s="61">
        <f t="shared" si="9"/>
        <v>818400</v>
      </c>
      <c r="AF54" s="61">
        <f t="shared" si="10"/>
        <v>-365000</v>
      </c>
      <c r="AG5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234400</v>
      </c>
      <c r="AH54" s="13">
        <f>IFERROR(AG54/(Z54+Table5[[#This Row],[Rider Penalty (Claim, Other Denda to Riders)]]),0)</f>
        <v>0.28641251221896386</v>
      </c>
      <c r="AI54" s="62">
        <f t="shared" si="11"/>
        <v>-599400</v>
      </c>
      <c r="AJ54" s="60">
        <f t="shared" si="12"/>
        <v>0</v>
      </c>
      <c r="AV54" s="109"/>
      <c r="AW54" s="109"/>
      <c r="AX54" s="109"/>
    </row>
    <row r="55" spans="1:50" hidden="1">
      <c r="A55">
        <v>2025</v>
      </c>
      <c r="B55" s="30" t="s">
        <v>23</v>
      </c>
      <c r="C55" s="30" t="s">
        <v>174</v>
      </c>
      <c r="D55" s="30" t="s">
        <v>168</v>
      </c>
      <c r="E55" s="30" t="s">
        <v>24</v>
      </c>
      <c r="F55" s="30" t="s">
        <v>24</v>
      </c>
      <c r="G55" s="30">
        <v>2</v>
      </c>
      <c r="H55" s="30" t="s">
        <v>21</v>
      </c>
      <c r="I55" t="s">
        <v>256</v>
      </c>
      <c r="J55" t="s">
        <v>22</v>
      </c>
      <c r="K55" s="76">
        <v>44</v>
      </c>
      <c r="L55" s="76">
        <v>9110</v>
      </c>
      <c r="M55" s="76">
        <v>83081000</v>
      </c>
      <c r="N55" s="76">
        <v>7225900</v>
      </c>
      <c r="O55" s="61">
        <v>11250000</v>
      </c>
      <c r="P55" s="61">
        <v>0</v>
      </c>
      <c r="Q55" s="61"/>
      <c r="R55" s="61">
        <v>0</v>
      </c>
      <c r="S55" s="61"/>
      <c r="T55" s="61">
        <f t="shared" si="7"/>
        <v>18475900</v>
      </c>
      <c r="U55" s="61">
        <v>0</v>
      </c>
      <c r="V55" s="61">
        <v>10156500</v>
      </c>
      <c r="W55" s="61"/>
      <c r="X55" s="61"/>
      <c r="Y55" s="61">
        <f t="shared" si="8"/>
        <v>10156500</v>
      </c>
      <c r="Z55" s="76">
        <f>21%*Table5[[#This Row],[Total Selling (Clients Revenue)]]</f>
        <v>17447010</v>
      </c>
      <c r="AA55" s="61">
        <v>5625000</v>
      </c>
      <c r="AB55" s="61">
        <f>7/31*15146013</f>
        <v>3420067.4516129033</v>
      </c>
      <c r="AC55" s="61"/>
      <c r="AD55" s="61">
        <v>0</v>
      </c>
      <c r="AE55" s="61">
        <f t="shared" si="9"/>
        <v>26492077.451612905</v>
      </c>
      <c r="AF55" s="61">
        <f t="shared" si="10"/>
        <v>-2140322.5483870953</v>
      </c>
      <c r="AG5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-1028890</v>
      </c>
      <c r="AH55" s="13">
        <f>IFERROR(AG55/(Z55+Table5[[#This Row],[Rider Penalty (Claim, Other Denda to Riders)]]),0)</f>
        <v>-5.8972282356690345E-2</v>
      </c>
      <c r="AI55" s="62">
        <f t="shared" si="11"/>
        <v>-1111432.5483870972</v>
      </c>
      <c r="AJ55" s="60">
        <f t="shared" si="12"/>
        <v>-0.12287719846565746</v>
      </c>
      <c r="AV55" s="109">
        <f>Table5[[#This Row],[Total Selling Comission/Sales (Weekly)]]/Table5[[#This Row],[Total Revenue Sharing % (Weekly)]]*100%</f>
        <v>0.41416265595079044</v>
      </c>
      <c r="AW55" s="109">
        <f>Table5[[#This Row],[Total Daily Incentive (Weekly)]]/Table5[[#This Row],[Total Revenue Sharing % (Weekly)]]*100%</f>
        <v>0.64480962640589989</v>
      </c>
      <c r="AX55" s="109">
        <f>(N55+O55)/Z55*100%</f>
        <v>1.0589722823566903</v>
      </c>
    </row>
    <row r="56" spans="1:50" hidden="1">
      <c r="A56">
        <v>2025</v>
      </c>
      <c r="B56" s="30" t="s">
        <v>23</v>
      </c>
      <c r="C56" s="30" t="s">
        <v>173</v>
      </c>
      <c r="D56" s="30" t="s">
        <v>168</v>
      </c>
      <c r="E56" s="30" t="s">
        <v>24</v>
      </c>
      <c r="F56" s="30" t="s">
        <v>282</v>
      </c>
      <c r="G56" s="30">
        <v>2</v>
      </c>
      <c r="H56" s="30" t="s">
        <v>21</v>
      </c>
      <c r="I56" t="s">
        <v>256</v>
      </c>
      <c r="J56" t="s">
        <v>22</v>
      </c>
      <c r="K56" s="76">
        <v>15</v>
      </c>
      <c r="L56" s="76">
        <v>4243</v>
      </c>
      <c r="M56" s="76">
        <v>39114000</v>
      </c>
      <c r="N56" s="76">
        <v>3394400</v>
      </c>
      <c r="O56" s="61">
        <v>4000000</v>
      </c>
      <c r="P56" s="61">
        <v>0</v>
      </c>
      <c r="Q56" s="61"/>
      <c r="R56" s="61">
        <v>0</v>
      </c>
      <c r="S56" s="61"/>
      <c r="T56" s="61">
        <f t="shared" si="7"/>
        <v>7394400</v>
      </c>
      <c r="U56" s="61">
        <v>0</v>
      </c>
      <c r="V56" s="61">
        <v>2664000</v>
      </c>
      <c r="W56" s="61"/>
      <c r="X56" s="61"/>
      <c r="Y56" s="61">
        <f t="shared" si="8"/>
        <v>2664000</v>
      </c>
      <c r="Z56" s="76">
        <f>21%*Table5[[#This Row],[Total Selling (Clients Revenue)]]</f>
        <v>8213940</v>
      </c>
      <c r="AA56" s="61">
        <v>2000000</v>
      </c>
      <c r="AB56" s="61">
        <f>7/31*4549006</f>
        <v>1027194.9032258064</v>
      </c>
      <c r="AC56" s="61"/>
      <c r="AD56" s="61">
        <v>0</v>
      </c>
      <c r="AE56" s="61">
        <f t="shared" si="9"/>
        <v>11241134.903225806</v>
      </c>
      <c r="AF56" s="61">
        <f t="shared" si="10"/>
        <v>1182734.9032258056</v>
      </c>
      <c r="AG5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819540</v>
      </c>
      <c r="AH56" s="13">
        <f>IFERROR(AG56/(Z56+Table5[[#This Row],[Rider Penalty (Claim, Other Denda to Riders)]]),0)</f>
        <v>9.9774286152565034E-2</v>
      </c>
      <c r="AI56" s="62">
        <f t="shared" si="11"/>
        <v>363194.90322580654</v>
      </c>
      <c r="AJ56" s="60">
        <f t="shared" si="12"/>
        <v>0.11997737669245635</v>
      </c>
      <c r="AV56" s="109">
        <f>Table5[[#This Row],[Total Selling Comission/Sales (Weekly)]]/Table5[[#This Row],[Total Revenue Sharing % (Weekly)]]*100%</f>
        <v>0.41324869672775794</v>
      </c>
      <c r="AW56" s="109">
        <f>Table5[[#This Row],[Total Daily Incentive (Weekly)]]/Table5[[#This Row],[Total Revenue Sharing % (Weekly)]]*100%</f>
        <v>0.48697701711967706</v>
      </c>
      <c r="AX56" s="109">
        <f>(N56+O56)/Z56*100%</f>
        <v>0.90022571384743499</v>
      </c>
    </row>
    <row r="57" spans="1:50" hidden="1">
      <c r="A57">
        <v>2025</v>
      </c>
      <c r="B57" s="30" t="s">
        <v>23</v>
      </c>
      <c r="C57" s="30" t="s">
        <v>23</v>
      </c>
      <c r="D57" s="30" t="s">
        <v>168</v>
      </c>
      <c r="E57" s="30" t="s">
        <v>28</v>
      </c>
      <c r="F57" s="30" t="s">
        <v>25</v>
      </c>
      <c r="G57" s="30">
        <v>2</v>
      </c>
      <c r="H57" s="30" t="s">
        <v>21</v>
      </c>
      <c r="I57" t="s">
        <v>256</v>
      </c>
      <c r="J57" t="s">
        <v>22</v>
      </c>
      <c r="K57" s="106">
        <v>257</v>
      </c>
      <c r="L57" s="106">
        <v>75705</v>
      </c>
      <c r="M57" s="106">
        <v>666015000</v>
      </c>
      <c r="N57" s="106">
        <v>75642500</v>
      </c>
      <c r="O57" s="61">
        <v>52225000</v>
      </c>
      <c r="P57" s="61"/>
      <c r="Q57" s="61"/>
      <c r="R57" s="61"/>
      <c r="S57" s="61"/>
      <c r="T57" s="61">
        <f t="shared" si="7"/>
        <v>127867500</v>
      </c>
      <c r="U57" s="61">
        <v>0</v>
      </c>
      <c r="V57" s="61">
        <v>57542400</v>
      </c>
      <c r="W57" s="61"/>
      <c r="X57" s="61">
        <v>327500</v>
      </c>
      <c r="Y57" s="61">
        <f t="shared" si="8"/>
        <v>57869900</v>
      </c>
      <c r="Z57" s="76">
        <f>23%*Table5[[#This Row],[Total Selling (Clients Revenue)]]</f>
        <v>153183450</v>
      </c>
      <c r="AA57" s="61">
        <v>31104000</v>
      </c>
      <c r="AB57" s="61">
        <f>7/31*139518968</f>
        <v>31504283.096774194</v>
      </c>
      <c r="AC57" s="61"/>
      <c r="AD57" s="61"/>
      <c r="AE57" s="61">
        <f t="shared" si="9"/>
        <v>215791733.09677419</v>
      </c>
      <c r="AF57" s="61">
        <f t="shared" si="10"/>
        <v>30054333.096774191</v>
      </c>
      <c r="AG5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24988450</v>
      </c>
      <c r="AH57" s="13">
        <f>IFERROR(AG57/(Z57+Table5[[#This Row],[Rider Penalty (Claim, Other Denda to Riders)]]),0)</f>
        <v>0.16312760941211338</v>
      </c>
      <c r="AI57" s="62">
        <f t="shared" si="11"/>
        <v>5065883.0967741907</v>
      </c>
      <c r="AJ57" s="60">
        <f t="shared" si="12"/>
        <v>8.0913943749963704E-2</v>
      </c>
      <c r="AV57" s="109">
        <f>Table5[[#This Row],[Total Selling Comission/Sales (Weekly)]]/Table5[[#This Row],[Total Revenue Sharing % (Weekly)]]*100%</f>
        <v>0.4938033449435954</v>
      </c>
      <c r="AW57" s="109">
        <f>Table5[[#This Row],[Total Daily Incentive (Weekly)]]/Table5[[#This Row],[Total Revenue Sharing % (Weekly)]]*100%</f>
        <v>0.34093108622374024</v>
      </c>
      <c r="AX57" s="109">
        <f>(N57+O57)/Z57*100%</f>
        <v>0.83473443116733559</v>
      </c>
    </row>
    <row r="58" spans="1:50" hidden="1">
      <c r="A58">
        <v>2025</v>
      </c>
      <c r="B58" s="30" t="s">
        <v>23</v>
      </c>
      <c r="C58" s="30" t="s">
        <v>172</v>
      </c>
      <c r="D58" s="30" t="s">
        <v>168</v>
      </c>
      <c r="E58" s="30" t="s">
        <v>28</v>
      </c>
      <c r="F58" s="30" t="s">
        <v>31</v>
      </c>
      <c r="G58" s="30">
        <v>2</v>
      </c>
      <c r="H58" s="30" t="s">
        <v>21</v>
      </c>
      <c r="I58" t="s">
        <v>256</v>
      </c>
      <c r="J58" t="s">
        <v>22</v>
      </c>
      <c r="K58" s="106">
        <v>19</v>
      </c>
      <c r="L58" s="106">
        <v>7309</v>
      </c>
      <c r="M58" s="106">
        <v>64489000</v>
      </c>
      <c r="N58" s="106">
        <v>7291500</v>
      </c>
      <c r="O58" s="61">
        <v>4900000</v>
      </c>
      <c r="P58" s="61"/>
      <c r="Q58" s="61"/>
      <c r="R58" s="61"/>
      <c r="S58" s="61"/>
      <c r="T58" s="61">
        <f t="shared" si="7"/>
        <v>12191500</v>
      </c>
      <c r="U58" s="61"/>
      <c r="V58" s="61">
        <v>4362300</v>
      </c>
      <c r="W58" s="61"/>
      <c r="X58" s="61">
        <v>456000</v>
      </c>
      <c r="Y58" s="61">
        <f t="shared" si="8"/>
        <v>4818300</v>
      </c>
      <c r="Z58" s="1">
        <f>23%*Table5[[#This Row],[Total Selling (Clients Revenue)]]</f>
        <v>14832470</v>
      </c>
      <c r="AA58" s="61">
        <v>2358000</v>
      </c>
      <c r="AB58" s="61">
        <f>7/31*13364129</f>
        <v>3017706.5483870967</v>
      </c>
      <c r="AC58" s="61"/>
      <c r="AD58" s="61"/>
      <c r="AE58" s="61">
        <f t="shared" si="9"/>
        <v>20208176.548387095</v>
      </c>
      <c r="AF58" s="61">
        <f t="shared" si="10"/>
        <v>3198376.5483870953</v>
      </c>
      <c r="AG5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2184970</v>
      </c>
      <c r="AH58" s="13">
        <f>IFERROR(AG58/(Z58+Table5[[#This Row],[Rider Penalty (Claim, Other Denda to Riders)]]),0)</f>
        <v>0.1473099220831055</v>
      </c>
      <c r="AI58" s="62">
        <f t="shared" si="11"/>
        <v>1013406.5483870972</v>
      </c>
      <c r="AJ58" s="60">
        <f t="shared" si="12"/>
        <v>0.18851597260106304</v>
      </c>
      <c r="AV58" s="109">
        <f>Table5[[#This Row],[Total Selling Comission/Sales (Weekly)]]/Table5[[#This Row],[Total Revenue Sharing % (Weekly)]]*100%</f>
        <v>0.49159040941933474</v>
      </c>
      <c r="AW58" s="109">
        <f>Table5[[#This Row],[Total Daily Incentive (Weekly)]]/Table5[[#This Row],[Total Revenue Sharing % (Weekly)]]*100%</f>
        <v>0.33035630613107592</v>
      </c>
      <c r="AX58" s="109">
        <f>(N58+O58)/Z58*100%</f>
        <v>0.82194671555041066</v>
      </c>
    </row>
    <row r="59" spans="1:50" hidden="1">
      <c r="A59">
        <v>2025</v>
      </c>
      <c r="B59" s="30" t="s">
        <v>33</v>
      </c>
      <c r="C59" s="30" t="s">
        <v>33</v>
      </c>
      <c r="D59" s="30" t="s">
        <v>169</v>
      </c>
      <c r="E59" s="30" t="s">
        <v>28</v>
      </c>
      <c r="F59" s="30" t="s">
        <v>28</v>
      </c>
      <c r="G59" s="30">
        <v>1</v>
      </c>
      <c r="H59" s="30" t="s">
        <v>21</v>
      </c>
      <c r="I59" t="s">
        <v>275</v>
      </c>
      <c r="J59" s="18" t="s">
        <v>300</v>
      </c>
      <c r="K59" s="76">
        <v>1</v>
      </c>
      <c r="L59" s="76">
        <v>30</v>
      </c>
      <c r="M59" s="76">
        <v>410000</v>
      </c>
      <c r="N59" s="76">
        <v>30000</v>
      </c>
      <c r="O59" s="61">
        <v>75000</v>
      </c>
      <c r="P59" s="61"/>
      <c r="Q59" s="61"/>
      <c r="R59" s="61"/>
      <c r="S59" s="61"/>
      <c r="T59" s="61">
        <f t="shared" si="7"/>
        <v>105000</v>
      </c>
      <c r="U59" s="61"/>
      <c r="V59" s="61">
        <v>166500</v>
      </c>
      <c r="W59" s="61"/>
      <c r="X59" s="61"/>
      <c r="Y59" s="61">
        <f t="shared" si="8"/>
        <v>166500</v>
      </c>
      <c r="Z59" s="76">
        <f>25%*Table5[[#This Row],[Total Selling (Clients Revenue)]]</f>
        <v>102500</v>
      </c>
      <c r="AA59" s="61">
        <v>60000</v>
      </c>
      <c r="AB59" s="61"/>
      <c r="AC59" s="61"/>
      <c r="AD59" s="61"/>
      <c r="AE59" s="61">
        <f t="shared" si="9"/>
        <v>162500</v>
      </c>
      <c r="AF59" s="61">
        <f t="shared" si="10"/>
        <v>-109000</v>
      </c>
      <c r="AG5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-2500</v>
      </c>
      <c r="AH59" s="13">
        <f>IFERROR(AG59/(Z59+Table5[[#This Row],[Rider Penalty (Claim, Other Denda to Riders)]]),0)</f>
        <v>-2.4390243902439025E-2</v>
      </c>
      <c r="AI59" s="62">
        <f t="shared" si="11"/>
        <v>-106500</v>
      </c>
      <c r="AJ59" s="60">
        <f t="shared" si="12"/>
        <v>-1.7749999999999999</v>
      </c>
      <c r="AV59" s="109"/>
      <c r="AW59" s="109"/>
      <c r="AX59" s="109"/>
    </row>
    <row r="60" spans="1:50" hidden="1">
      <c r="A60">
        <v>2024</v>
      </c>
      <c r="B60" s="30" t="s">
        <v>23</v>
      </c>
      <c r="C60" s="30" t="s">
        <v>174</v>
      </c>
      <c r="D60" s="30" t="s">
        <v>168</v>
      </c>
      <c r="E60" s="30" t="s">
        <v>24</v>
      </c>
      <c r="F60" s="30" t="s">
        <v>24</v>
      </c>
      <c r="G60" s="30">
        <v>53</v>
      </c>
      <c r="H60" s="30" t="s">
        <v>166</v>
      </c>
      <c r="I60" t="s">
        <v>280</v>
      </c>
      <c r="J60" s="34" t="s">
        <v>301</v>
      </c>
      <c r="K60" s="106">
        <v>4</v>
      </c>
      <c r="L60" s="106">
        <v>4264</v>
      </c>
      <c r="M60" s="106">
        <v>38989000</v>
      </c>
      <c r="N60" s="104">
        <f>3/7*7246900</f>
        <v>3105814.2857142854</v>
      </c>
      <c r="O60" s="61">
        <f>3/7*10950000</f>
        <v>4692857.1428571427</v>
      </c>
      <c r="P60" s="61">
        <v>0</v>
      </c>
      <c r="Q60" s="61"/>
      <c r="R60" s="61">
        <v>0</v>
      </c>
      <c r="S60" s="61"/>
      <c r="T60" s="61">
        <f t="shared" si="7"/>
        <v>7798671.4285714282</v>
      </c>
      <c r="U60" s="61">
        <v>0</v>
      </c>
      <c r="V60" s="61">
        <f>3/7*7292700</f>
        <v>3125442.8571428568</v>
      </c>
      <c r="W60" s="61"/>
      <c r="X60" s="61"/>
      <c r="Y60" s="61">
        <f t="shared" si="8"/>
        <v>3125442.8571428568</v>
      </c>
      <c r="Z60" s="76">
        <f>21%*Table5[[#This Row],[Total Selling (Clients Revenue)]]</f>
        <v>8187690</v>
      </c>
      <c r="AA60" s="61">
        <f>3/7*5475000</f>
        <v>2346428.5714285714</v>
      </c>
      <c r="AB60" s="61">
        <f>3/7*3153600</f>
        <v>1351542.857142857</v>
      </c>
      <c r="AC60" s="61"/>
      <c r="AD60" s="61"/>
      <c r="AE60" s="61">
        <f t="shared" si="9"/>
        <v>11885661.428571427</v>
      </c>
      <c r="AF60" s="61">
        <f t="shared" si="10"/>
        <v>961547.14285714179</v>
      </c>
      <c r="AG6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389018.57142857183</v>
      </c>
      <c r="AH60" s="13">
        <f>IFERROR(AG60/(Z60+Table5[[#This Row],[Rider Penalty (Claim, Other Denda to Riders)]]),0)</f>
        <v>4.7512616064918411E-2</v>
      </c>
      <c r="AI60" s="62">
        <f t="shared" si="11"/>
        <v>572528.57142857136</v>
      </c>
      <c r="AJ60" s="60">
        <f t="shared" si="12"/>
        <v>0.1548223350253807</v>
      </c>
      <c r="AV60" s="109">
        <f>Table5[[#This Row],[Total Selling Comission/Sales (Weekly)]]/Table5[[#This Row],[Total Revenue Sharing % (Weekly)]]*100%</f>
        <v>0.37932729325539749</v>
      </c>
      <c r="AW60" s="109">
        <f>Table5[[#This Row],[Total Daily Incentive (Weekly)]]/Table5[[#This Row],[Total Revenue Sharing % (Weekly)]]*100%</f>
        <v>0.5731600906796841</v>
      </c>
      <c r="AX60" s="109">
        <f t="shared" ref="AX60:AX107" si="13">(N60+O60)/Z60*100%</f>
        <v>0.95248738393508159</v>
      </c>
    </row>
    <row r="61" spans="1:50" hidden="1">
      <c r="A61">
        <v>2025</v>
      </c>
      <c r="B61" s="30" t="s">
        <v>23</v>
      </c>
      <c r="C61" s="30" t="s">
        <v>174</v>
      </c>
      <c r="D61" s="30" t="s">
        <v>168</v>
      </c>
      <c r="E61" s="30" t="s">
        <v>24</v>
      </c>
      <c r="F61" s="30" t="s">
        <v>24</v>
      </c>
      <c r="G61" s="30">
        <v>1</v>
      </c>
      <c r="H61" s="30" t="s">
        <v>21</v>
      </c>
      <c r="I61" t="s">
        <v>275</v>
      </c>
      <c r="J61" s="58" t="s">
        <v>302</v>
      </c>
      <c r="K61" s="104">
        <v>40</v>
      </c>
      <c r="L61" s="104">
        <v>4861</v>
      </c>
      <c r="M61" s="104">
        <v>44544000</v>
      </c>
      <c r="N61" s="104">
        <f>4/7*7246900</f>
        <v>4141085.7142857141</v>
      </c>
      <c r="O61" s="61">
        <f>4/7*10950000</f>
        <v>6257142.8571428563</v>
      </c>
      <c r="P61" s="55"/>
      <c r="Q61" s="55"/>
      <c r="R61" s="55"/>
      <c r="S61" s="55"/>
      <c r="T61" s="55">
        <f>SUM(N61:R61)</f>
        <v>10398228.571428571</v>
      </c>
      <c r="U61" s="55"/>
      <c r="V61" s="61">
        <f>4/7*7292700</f>
        <v>4167257.1428571427</v>
      </c>
      <c r="W61" s="61"/>
      <c r="X61" s="55"/>
      <c r="Y61" s="55">
        <f>SUM(U61:X61)</f>
        <v>4167257.1428571427</v>
      </c>
      <c r="Z61" s="55">
        <f>2%*M61</f>
        <v>890880</v>
      </c>
      <c r="AA61" s="61">
        <f>4/7*5475000</f>
        <v>3128571.4285714282</v>
      </c>
      <c r="AB61" s="61">
        <f>4/31*15146013</f>
        <v>1954324.2580645161</v>
      </c>
      <c r="AC61" s="61"/>
      <c r="AD61" s="55"/>
      <c r="AE61" s="55">
        <f>SUM(Z61:AD61)</f>
        <v>5973775.6866359441</v>
      </c>
      <c r="AF61" s="55">
        <f>AE61-(T61+Y61)</f>
        <v>-8591710.0276497677</v>
      </c>
      <c r="AG6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-9507348.5714285709</v>
      </c>
      <c r="AH61" s="59">
        <f>IFERROR(AG61/(Z61+Table5[[#This Row],[Rider Penalty (Claim, Other Denda to Riders)]]),0)</f>
        <v>-10.671862171592775</v>
      </c>
      <c r="AI61" s="56">
        <f>AA61+AB61-V61</f>
        <v>915638.54377880134</v>
      </c>
      <c r="AJ61" s="60">
        <f>IFERROR(AI61/(AA61+AB61),0)</f>
        <v>0.18014112431742746</v>
      </c>
      <c r="AV61" s="109">
        <f>Table5[[#This Row],[Total Selling Comission/Sales (Weekly)]]/Table5[[#This Row],[Total Revenue Sharing % (Weekly)]]*100%</f>
        <v>4.6483092159277506</v>
      </c>
      <c r="AW61" s="109">
        <f>Table5[[#This Row],[Total Daily Incentive (Weekly)]]/Table5[[#This Row],[Total Revenue Sharing % (Weekly)]]*100%</f>
        <v>7.023552955665024</v>
      </c>
      <c r="AX61" s="109">
        <f t="shared" si="13"/>
        <v>11.671862171592775</v>
      </c>
    </row>
    <row r="62" spans="1:50" hidden="1">
      <c r="A62">
        <v>2024</v>
      </c>
      <c r="B62" s="30" t="s">
        <v>23</v>
      </c>
      <c r="C62" s="30" t="s">
        <v>173</v>
      </c>
      <c r="D62" s="30" t="s">
        <v>168</v>
      </c>
      <c r="E62" s="30" t="s">
        <v>24</v>
      </c>
      <c r="F62" s="30" t="s">
        <v>282</v>
      </c>
      <c r="G62" s="30">
        <v>53</v>
      </c>
      <c r="H62" s="30" t="s">
        <v>166</v>
      </c>
      <c r="I62" t="s">
        <v>280</v>
      </c>
      <c r="J62" s="34" t="s">
        <v>301</v>
      </c>
      <c r="K62" s="42">
        <v>2</v>
      </c>
      <c r="L62" s="42">
        <v>1645</v>
      </c>
      <c r="M62" s="42">
        <v>15348000</v>
      </c>
      <c r="N62" s="42">
        <f>3/7*2949600</f>
        <v>1264114.2857142857</v>
      </c>
      <c r="O62" s="61">
        <f>3/7*3200000</f>
        <v>1371428.5714285714</v>
      </c>
      <c r="P62" s="61">
        <v>0</v>
      </c>
      <c r="Q62" s="61"/>
      <c r="R62" s="61">
        <v>0</v>
      </c>
      <c r="S62" s="61"/>
      <c r="T62" s="61">
        <f t="shared" si="7"/>
        <v>2635542.8571428573</v>
      </c>
      <c r="U62" s="61">
        <v>0</v>
      </c>
      <c r="V62" s="61">
        <f>3/7*2131200</f>
        <v>913371.42857142852</v>
      </c>
      <c r="W62" s="61"/>
      <c r="X62" s="61"/>
      <c r="Y62" s="61">
        <f t="shared" si="8"/>
        <v>913371.42857142852</v>
      </c>
      <c r="Z62" s="76">
        <f>21%*Table5[[#This Row],[Total Selling (Clients Revenue)]]</f>
        <v>3223080</v>
      </c>
      <c r="AA62" s="61">
        <f>3/7*1600000</f>
        <v>685714.28571428568</v>
      </c>
      <c r="AB62" s="61">
        <f>3/7*921600</f>
        <v>394971.42857142852</v>
      </c>
      <c r="AC62" s="61"/>
      <c r="AD62" s="61"/>
      <c r="AE62" s="61">
        <f t="shared" si="9"/>
        <v>4303765.7142857136</v>
      </c>
      <c r="AF62" s="61">
        <f t="shared" si="10"/>
        <v>754851.42857142771</v>
      </c>
      <c r="AG6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587537.14285714272</v>
      </c>
      <c r="AH62" s="13">
        <f>IFERROR(AG62/(Z62+Table5[[#This Row],[Rider Penalty (Claim, Other Denda to Riders)]]),0)</f>
        <v>0.18229058628924591</v>
      </c>
      <c r="AI62" s="62">
        <f t="shared" si="11"/>
        <v>167314.28571428556</v>
      </c>
      <c r="AJ62" s="60">
        <f t="shared" si="12"/>
        <v>0.15482233502538059</v>
      </c>
      <c r="AV62" s="109">
        <f>Table5[[#This Row],[Total Selling Comission/Sales (Weekly)]]/Table5[[#This Row],[Total Revenue Sharing % (Weekly)]]*100%</f>
        <v>0.39220692186178613</v>
      </c>
      <c r="AW62" s="109">
        <f>Table5[[#This Row],[Total Daily Incentive (Weekly)]]/Table5[[#This Row],[Total Revenue Sharing % (Weekly)]]*100%</f>
        <v>0.42550249184896788</v>
      </c>
      <c r="AX62" s="109">
        <f t="shared" si="13"/>
        <v>0.81770941371075412</v>
      </c>
    </row>
    <row r="63" spans="1:50" hidden="1">
      <c r="A63">
        <v>2025</v>
      </c>
      <c r="B63" s="30" t="s">
        <v>23</v>
      </c>
      <c r="C63" s="30" t="s">
        <v>173</v>
      </c>
      <c r="D63" s="30" t="s">
        <v>168</v>
      </c>
      <c r="E63" s="30" t="s">
        <v>24</v>
      </c>
      <c r="F63" s="30" t="s">
        <v>282</v>
      </c>
      <c r="G63" s="30">
        <v>1</v>
      </c>
      <c r="H63" s="30" t="s">
        <v>21</v>
      </c>
      <c r="I63" t="s">
        <v>275</v>
      </c>
      <c r="J63" s="58" t="s">
        <v>302</v>
      </c>
      <c r="K63" s="42">
        <v>12</v>
      </c>
      <c r="L63" s="42">
        <v>2042</v>
      </c>
      <c r="M63" s="104">
        <v>18900000</v>
      </c>
      <c r="N63" s="42">
        <f>4/7*2949600</f>
        <v>1685485.7142857141</v>
      </c>
      <c r="O63" s="61">
        <f>4/7*3200000</f>
        <v>1828571.4285714284</v>
      </c>
      <c r="P63" s="55"/>
      <c r="Q63" s="55"/>
      <c r="R63" s="55"/>
      <c r="S63" s="55"/>
      <c r="T63" s="55">
        <f>SUM(N63:R63)</f>
        <v>3514057.1428571427</v>
      </c>
      <c r="U63" s="55"/>
      <c r="V63" s="61">
        <f>4/7*2131200</f>
        <v>1217828.5714285714</v>
      </c>
      <c r="W63" s="61"/>
      <c r="X63" s="55"/>
      <c r="Y63" s="55">
        <f>SUM(U63:X63)</f>
        <v>1217828.5714285714</v>
      </c>
      <c r="Z63" s="55">
        <f>21%*M63</f>
        <v>3969000</v>
      </c>
      <c r="AA63" s="61">
        <f>4/7*1600000</f>
        <v>914285.7142857142</v>
      </c>
      <c r="AB63" s="61">
        <f>4/31*4549006</f>
        <v>586968.51612903224</v>
      </c>
      <c r="AC63" s="61"/>
      <c r="AD63" s="55"/>
      <c r="AE63" s="55">
        <f>SUM(Z63:AD63)</f>
        <v>5470254.2304147463</v>
      </c>
      <c r="AF63" s="55">
        <f>AE63-(T63+Y63)</f>
        <v>738368.51612903178</v>
      </c>
      <c r="AG6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454942.85714285728</v>
      </c>
      <c r="AH63" s="59">
        <f>IFERROR(AG63/(Z63+Table5[[#This Row],[Rider Penalty (Claim, Other Denda to Riders)]]),0)</f>
        <v>0.11462405067847248</v>
      </c>
      <c r="AI63" s="56">
        <f>AA63+AB63-V63</f>
        <v>283425.65898617497</v>
      </c>
      <c r="AJ63" s="60">
        <f>IFERROR(AI63/(AA63+AB63),0)</f>
        <v>0.18879257972706856</v>
      </c>
      <c r="AV63" s="109">
        <f>Table5[[#This Row],[Total Selling Comission/Sales (Weekly)]]/Table5[[#This Row],[Total Revenue Sharing % (Weekly)]]*100%</f>
        <v>0.42466256343807357</v>
      </c>
      <c r="AW63" s="109">
        <f>Table5[[#This Row],[Total Daily Incentive (Weekly)]]/Table5[[#This Row],[Total Revenue Sharing % (Weekly)]]*100%</f>
        <v>0.4607133858834539</v>
      </c>
      <c r="AX63" s="109">
        <f t="shared" si="13"/>
        <v>0.88537594932152752</v>
      </c>
    </row>
    <row r="64" spans="1:50" hidden="1">
      <c r="A64">
        <v>2024</v>
      </c>
      <c r="B64" s="30" t="s">
        <v>23</v>
      </c>
      <c r="C64" s="30" t="s">
        <v>23</v>
      </c>
      <c r="D64" s="30" t="s">
        <v>168</v>
      </c>
      <c r="E64" s="30" t="s">
        <v>28</v>
      </c>
      <c r="F64" s="30" t="s">
        <v>25</v>
      </c>
      <c r="G64" s="30">
        <v>53</v>
      </c>
      <c r="H64" s="30" t="s">
        <v>166</v>
      </c>
      <c r="I64" t="s">
        <v>280</v>
      </c>
      <c r="J64" s="34" t="s">
        <v>301</v>
      </c>
      <c r="K64" s="106">
        <v>10</v>
      </c>
      <c r="L64" s="106">
        <v>35600</v>
      </c>
      <c r="M64" s="106">
        <v>313947000</v>
      </c>
      <c r="N64" s="106">
        <f>3/7*78666000</f>
        <v>33714000</v>
      </c>
      <c r="O64" s="61">
        <f>3/7*52975000</f>
        <v>22703571.428571429</v>
      </c>
      <c r="P64" s="61">
        <v>0</v>
      </c>
      <c r="Q64" s="61"/>
      <c r="R64" s="61">
        <v>0</v>
      </c>
      <c r="S64" s="61"/>
      <c r="T64" s="61">
        <f t="shared" si="7"/>
        <v>56417571.428571433</v>
      </c>
      <c r="U64" s="61"/>
      <c r="V64" s="61">
        <f>3/7*54245700</f>
        <v>23248157.142857142</v>
      </c>
      <c r="W64" s="61"/>
      <c r="X64" s="61">
        <f>3/7*327500</f>
        <v>140357.14285714284</v>
      </c>
      <c r="Y64" s="61">
        <f t="shared" si="8"/>
        <v>23388514.285714284</v>
      </c>
      <c r="Z64" s="76">
        <f>23%*Table5[[#This Row],[Total Selling (Clients Revenue)]]</f>
        <v>72207810</v>
      </c>
      <c r="AA64" s="61">
        <f>3/7*29322000</f>
        <v>12566571.428571427</v>
      </c>
      <c r="AB64" s="61">
        <f>3/7*30792000</f>
        <v>13196571.428571427</v>
      </c>
      <c r="AC64" s="61"/>
      <c r="AD64" s="61"/>
      <c r="AE64" s="61">
        <f t="shared" si="9"/>
        <v>97970952.857142866</v>
      </c>
      <c r="AF64" s="61">
        <f t="shared" si="10"/>
        <v>18164867.142857149</v>
      </c>
      <c r="AG6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15649881.428571424</v>
      </c>
      <c r="AH64" s="13">
        <f>IFERROR(AG64/(Z64+Table5[[#This Row],[Rider Penalty (Claim, Other Denda to Riders)]]),0)</f>
        <v>0.21673391602059977</v>
      </c>
      <c r="AI64" s="62">
        <f t="shared" si="11"/>
        <v>2514985.7142857127</v>
      </c>
      <c r="AJ64" s="60">
        <f t="shared" si="12"/>
        <v>9.7619522906477643E-2</v>
      </c>
      <c r="AV64" s="109">
        <f>Table5[[#This Row],[Total Selling Comission/Sales (Weekly)]]/Table5[[#This Row],[Total Revenue Sharing % (Weekly)]]*100%</f>
        <v>0.46690240293951585</v>
      </c>
      <c r="AW64" s="109">
        <f>Table5[[#This Row],[Total Daily Incentive (Weekly)]]/Table5[[#This Row],[Total Revenue Sharing % (Weekly)]]*100%</f>
        <v>0.31441988655481212</v>
      </c>
      <c r="AX64" s="109">
        <f t="shared" si="13"/>
        <v>0.78132228949432803</v>
      </c>
    </row>
    <row r="65" spans="1:50" hidden="1">
      <c r="A65">
        <v>2025</v>
      </c>
      <c r="B65" s="30" t="s">
        <v>23</v>
      </c>
      <c r="C65" s="30" t="s">
        <v>23</v>
      </c>
      <c r="D65" s="30" t="s">
        <v>168</v>
      </c>
      <c r="E65" s="30" t="s">
        <v>28</v>
      </c>
      <c r="F65" s="30" t="s">
        <v>25</v>
      </c>
      <c r="G65" s="30">
        <v>1</v>
      </c>
      <c r="H65" s="30" t="s">
        <v>21</v>
      </c>
      <c r="I65" t="s">
        <v>275</v>
      </c>
      <c r="J65" s="34" t="s">
        <v>302</v>
      </c>
      <c r="K65" s="106">
        <v>237</v>
      </c>
      <c r="L65" s="106">
        <v>43066</v>
      </c>
      <c r="M65" s="104">
        <v>379443000</v>
      </c>
      <c r="N65" s="106">
        <f>4/7*78666000</f>
        <v>44952000</v>
      </c>
      <c r="O65" s="61">
        <f>4/7*52975000</f>
        <v>30271428.571428571</v>
      </c>
      <c r="P65" s="55"/>
      <c r="Q65" s="55"/>
      <c r="R65" s="55"/>
      <c r="S65" s="55"/>
      <c r="T65" s="55">
        <f>SUM(N65:R65)</f>
        <v>75223428.571428567</v>
      </c>
      <c r="U65" s="55"/>
      <c r="V65" s="61">
        <f>4/7*54245700</f>
        <v>30997542.857142854</v>
      </c>
      <c r="W65" s="61"/>
      <c r="X65" s="61">
        <f>4/7*327500</f>
        <v>187142.85714285713</v>
      </c>
      <c r="Y65" s="55">
        <f>SUM(U65:X65)</f>
        <v>31184685.714285713</v>
      </c>
      <c r="Z65" s="55">
        <f>23%*M65</f>
        <v>87271890</v>
      </c>
      <c r="AA65" s="61">
        <f>4/7*29322000</f>
        <v>16755428.571428571</v>
      </c>
      <c r="AB65" s="61">
        <f>4/31*139518968</f>
        <v>18002447.483870968</v>
      </c>
      <c r="AC65" s="61"/>
      <c r="AD65" s="55"/>
      <c r="AE65" s="55">
        <f>SUM(Z65:AD65)</f>
        <v>122029766.05529954</v>
      </c>
      <c r="AF65" s="55">
        <f>AE65-(T65+Y65)</f>
        <v>15621651.769585252</v>
      </c>
      <c r="AG6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11861318.571428576</v>
      </c>
      <c r="AH65" s="59">
        <f>IFERROR(AG65/(Z65+Table5[[#This Row],[Rider Penalty (Claim, Other Denda to Riders)]]),0)</f>
        <v>0.13591224587239462</v>
      </c>
      <c r="AI65" s="56">
        <f>AA65+AB65-V65</f>
        <v>3760333.1981566809</v>
      </c>
      <c r="AJ65" s="60">
        <f>IFERROR(AI65/(AA65+AB65),0)</f>
        <v>0.10818650691354148</v>
      </c>
      <c r="AV65" s="109">
        <f>Table5[[#This Row],[Total Selling Comission/Sales (Weekly)]]/Table5[[#This Row],[Total Revenue Sharing % (Weekly)]]*100%</f>
        <v>0.51507994154818926</v>
      </c>
      <c r="AW65" s="109">
        <f>Table5[[#This Row],[Total Daily Incentive (Weekly)]]/Table5[[#This Row],[Total Revenue Sharing % (Weekly)]]*100%</f>
        <v>0.34686344676881148</v>
      </c>
      <c r="AX65" s="109">
        <f t="shared" si="13"/>
        <v>0.86194338831700068</v>
      </c>
    </row>
    <row r="66" spans="1:50" hidden="1">
      <c r="A66">
        <v>2024</v>
      </c>
      <c r="B66" s="30" t="s">
        <v>23</v>
      </c>
      <c r="C66" s="30" t="s">
        <v>172</v>
      </c>
      <c r="D66" s="30" t="s">
        <v>168</v>
      </c>
      <c r="E66" s="30" t="s">
        <v>28</v>
      </c>
      <c r="F66" s="30" t="s">
        <v>31</v>
      </c>
      <c r="G66" s="30">
        <v>53</v>
      </c>
      <c r="H66" s="30" t="s">
        <v>166</v>
      </c>
      <c r="I66" t="s">
        <v>280</v>
      </c>
      <c r="J66" s="34" t="s">
        <v>301</v>
      </c>
      <c r="K66" s="106">
        <v>0</v>
      </c>
      <c r="L66" s="106">
        <v>7429</v>
      </c>
      <c r="M66" s="106">
        <v>28154000</v>
      </c>
      <c r="N66" s="106">
        <f>3/7*7429000</f>
        <v>3183857.1428571427</v>
      </c>
      <c r="O66" s="61">
        <f>3/7*5125000</f>
        <v>2196428.5714285714</v>
      </c>
      <c r="P66" s="61"/>
      <c r="Q66" s="61"/>
      <c r="R66" s="61"/>
      <c r="S66" s="61"/>
      <c r="T66" s="61">
        <f t="shared" si="7"/>
        <v>5380285.7142857146</v>
      </c>
      <c r="U66" s="61"/>
      <c r="V66" s="61">
        <f>3/7*4362300</f>
        <v>1869557.1428571427</v>
      </c>
      <c r="W66" s="61"/>
      <c r="X66" s="61">
        <f>3/7*456000</f>
        <v>195428.57142857142</v>
      </c>
      <c r="Y66" s="61">
        <f t="shared" si="8"/>
        <v>2064985.7142857141</v>
      </c>
      <c r="Z66" s="76">
        <f>23%*Table5[[#This Row],[Total Selling (Clients Revenue)]]</f>
        <v>6475420</v>
      </c>
      <c r="AA66" s="61">
        <f>3/7*2358000</f>
        <v>1010571.4285714285</v>
      </c>
      <c r="AB66" s="61">
        <f>3/7*2784000</f>
        <v>1193142.857142857</v>
      </c>
      <c r="AC66" s="61"/>
      <c r="AD66" s="61"/>
      <c r="AE66" s="61">
        <f t="shared" si="9"/>
        <v>8679134.2857142854</v>
      </c>
      <c r="AF66" s="61">
        <f t="shared" si="10"/>
        <v>1233862.8571428563</v>
      </c>
      <c r="AG6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899705.71428571409</v>
      </c>
      <c r="AH66" s="13">
        <f>IFERROR(AG66/(Z66+Table5[[#This Row],[Rider Penalty (Claim, Other Denda to Riders)]]),0)</f>
        <v>0.13894167703187038</v>
      </c>
      <c r="AI66" s="62">
        <f t="shared" si="11"/>
        <v>334157.14285714272</v>
      </c>
      <c r="AJ66" s="60">
        <f t="shared" si="12"/>
        <v>0.15163360560093345</v>
      </c>
      <c r="AV66" s="109">
        <f>Table5[[#This Row],[Total Selling Comission/Sales (Weekly)]]/Table5[[#This Row],[Total Revenue Sharing % (Weekly)]]*100%</f>
        <v>0.49168349587472976</v>
      </c>
      <c r="AW66" s="109">
        <f>Table5[[#This Row],[Total Daily Incentive (Weekly)]]/Table5[[#This Row],[Total Revenue Sharing % (Weekly)]]*100%</f>
        <v>0.3391947659655391</v>
      </c>
      <c r="AX66" s="109">
        <f t="shared" si="13"/>
        <v>0.83087826184026903</v>
      </c>
    </row>
    <row r="67" spans="1:50" hidden="1">
      <c r="A67">
        <v>2025</v>
      </c>
      <c r="B67" s="30" t="s">
        <v>23</v>
      </c>
      <c r="C67" s="30" t="s">
        <v>172</v>
      </c>
      <c r="D67" s="30" t="s">
        <v>168</v>
      </c>
      <c r="E67" s="30" t="s">
        <v>28</v>
      </c>
      <c r="F67" s="30" t="s">
        <v>31</v>
      </c>
      <c r="G67" s="30">
        <v>1</v>
      </c>
      <c r="H67" s="30" t="s">
        <v>21</v>
      </c>
      <c r="I67" t="s">
        <v>275</v>
      </c>
      <c r="J67" s="34" t="s">
        <v>302</v>
      </c>
      <c r="K67" s="104">
        <v>19</v>
      </c>
      <c r="L67" s="104">
        <v>4246</v>
      </c>
      <c r="M67" s="104">
        <v>37666000</v>
      </c>
      <c r="N67" s="106">
        <f>4/7*7429000</f>
        <v>4245142.8571428573</v>
      </c>
      <c r="O67" s="61">
        <f>4/7*5125000</f>
        <v>2928571.4285714286</v>
      </c>
      <c r="P67" s="55"/>
      <c r="Q67" s="55"/>
      <c r="R67" s="55"/>
      <c r="S67" s="55"/>
      <c r="T67" s="55">
        <f>SUM(N67:R67)</f>
        <v>7173714.2857142854</v>
      </c>
      <c r="U67" s="55"/>
      <c r="V67" s="61">
        <f>4/7*4362300</f>
        <v>2492742.8571428568</v>
      </c>
      <c r="W67" s="61"/>
      <c r="X67" s="61">
        <f>4/7*456000</f>
        <v>260571.42857142855</v>
      </c>
      <c r="Y67" s="55">
        <f>SUM(U67:X67)</f>
        <v>2753314.2857142854</v>
      </c>
      <c r="Z67" s="55">
        <f>23%*M67</f>
        <v>8663180</v>
      </c>
      <c r="AA67" s="61">
        <f>4/7*2358000</f>
        <v>1347428.5714285714</v>
      </c>
      <c r="AB67" s="61">
        <f>4/31*13364129</f>
        <v>1724403.7419354839</v>
      </c>
      <c r="AC67" s="61"/>
      <c r="AD67" s="55"/>
      <c r="AE67" s="55">
        <f>SUM(Z67:AD67)</f>
        <v>11735012.313364055</v>
      </c>
      <c r="AF67" s="55">
        <f>AE67-(T67+Y67)</f>
        <v>1807983.7419354841</v>
      </c>
      <c r="AG6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1228894.2857142859</v>
      </c>
      <c r="AH67" s="59">
        <f>IFERROR(AG67/(Z67+Table5[[#This Row],[Rider Penalty (Claim, Other Denda to Riders)]]),0)</f>
        <v>0.1418525628827158</v>
      </c>
      <c r="AI67" s="56">
        <f>AA67+AB67-V67</f>
        <v>579089.4562211982</v>
      </c>
      <c r="AJ67" s="60">
        <f>IFERROR(AI67/(AA67+AB67),0)</f>
        <v>0.18851597260106301</v>
      </c>
      <c r="AV67" s="109">
        <f>Table5[[#This Row],[Total Selling Comission/Sales (Weekly)]]/Table5[[#This Row],[Total Revenue Sharing % (Weekly)]]*100%</f>
        <v>0.49002131516866293</v>
      </c>
      <c r="AW67" s="109">
        <f>Table5[[#This Row],[Total Daily Incentive (Weekly)]]/Table5[[#This Row],[Total Revenue Sharing % (Weekly)]]*100%</f>
        <v>0.3380480872579617</v>
      </c>
      <c r="AX67" s="109">
        <f t="shared" si="13"/>
        <v>0.82806940242662452</v>
      </c>
    </row>
    <row r="68" spans="1:50" hidden="1">
      <c r="A68">
        <v>2024</v>
      </c>
      <c r="B68" t="s">
        <v>23</v>
      </c>
      <c r="C68" t="s">
        <v>174</v>
      </c>
      <c r="D68" t="s">
        <v>168</v>
      </c>
      <c r="E68" t="s">
        <v>24</v>
      </c>
      <c r="F68" t="s">
        <v>24</v>
      </c>
      <c r="G68">
        <v>52</v>
      </c>
      <c r="H68" t="s">
        <v>166</v>
      </c>
      <c r="I68" t="s">
        <v>279</v>
      </c>
      <c r="J68" t="s">
        <v>303</v>
      </c>
      <c r="K68" s="106">
        <v>46</v>
      </c>
      <c r="L68" s="106">
        <v>9027</v>
      </c>
      <c r="M68" s="106">
        <v>82932000</v>
      </c>
      <c r="N68" s="106">
        <v>7155000</v>
      </c>
      <c r="O68" s="61">
        <f>4800000+47400000</f>
        <v>52200000</v>
      </c>
      <c r="P68" s="61">
        <v>4000000</v>
      </c>
      <c r="Q68" s="61"/>
      <c r="R68" s="61">
        <v>200000</v>
      </c>
      <c r="S68" s="61"/>
      <c r="T68" s="61">
        <f t="shared" si="7"/>
        <v>63555000</v>
      </c>
      <c r="U68" s="61"/>
      <c r="V68" s="61">
        <f>3196800+31568400</f>
        <v>34765200</v>
      </c>
      <c r="W68" s="61"/>
      <c r="X68" s="61"/>
      <c r="Y68" s="61">
        <f t="shared" si="8"/>
        <v>34765200</v>
      </c>
      <c r="Z68" s="76">
        <f>21%*Table5[[#This Row],[Total Selling (Clients Revenue)]]</f>
        <v>17415720</v>
      </c>
      <c r="AA68" s="61">
        <f>1990000+23336000</f>
        <v>25326000</v>
      </c>
      <c r="AB68" s="61">
        <f>1382400+13651200</f>
        <v>15033600</v>
      </c>
      <c r="AC68" s="61"/>
      <c r="AD68" s="61">
        <v>2750000</v>
      </c>
      <c r="AE68" s="61">
        <f t="shared" si="9"/>
        <v>60525320</v>
      </c>
      <c r="AF68" s="61">
        <f t="shared" si="10"/>
        <v>-37794880</v>
      </c>
      <c r="AG6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-43389280</v>
      </c>
      <c r="AH68" s="13">
        <f>IFERROR(AG68/(Z68+Table5[[#This Row],[Rider Penalty (Claim, Other Denda to Riders)]]),0)</f>
        <v>-2.1516355478505105</v>
      </c>
      <c r="AI68" s="62">
        <f t="shared" si="11"/>
        <v>5594400</v>
      </c>
      <c r="AJ68" s="60">
        <f t="shared" si="12"/>
        <v>0.13861386138613863</v>
      </c>
      <c r="AV68" s="109">
        <f>Table5[[#This Row],[Total Selling Comission/Sales (Weekly)]]/Table5[[#This Row],[Total Revenue Sharing % (Weekly)]]*100%</f>
        <v>0.41083572772185128</v>
      </c>
      <c r="AW68" s="109">
        <f>Table5[[#This Row],[Total Daily Incentive (Weekly)]]/Table5[[#This Row],[Total Revenue Sharing % (Weekly)]]*100%</f>
        <v>2.9972921016185379</v>
      </c>
      <c r="AX68" s="109">
        <f t="shared" si="13"/>
        <v>3.4081278293403892</v>
      </c>
    </row>
    <row r="69" spans="1:50" hidden="1">
      <c r="A69">
        <v>2024</v>
      </c>
      <c r="B69" t="s">
        <v>23</v>
      </c>
      <c r="C69" t="s">
        <v>174</v>
      </c>
      <c r="D69" t="s">
        <v>168</v>
      </c>
      <c r="E69" t="s">
        <v>24</v>
      </c>
      <c r="F69" t="s">
        <v>24</v>
      </c>
      <c r="G69">
        <v>52</v>
      </c>
      <c r="H69" t="s">
        <v>166</v>
      </c>
      <c r="I69" t="s">
        <v>279</v>
      </c>
      <c r="J69" t="s">
        <v>303</v>
      </c>
      <c r="K69" s="75">
        <v>9</v>
      </c>
      <c r="L69" s="75">
        <v>1470</v>
      </c>
      <c r="M69" s="75">
        <v>13454000</v>
      </c>
      <c r="N69" s="75">
        <f>1176000</f>
        <v>1176000</v>
      </c>
      <c r="O69" s="61">
        <f>1100000+1600000</f>
        <v>2700000</v>
      </c>
      <c r="P69" s="61">
        <v>0</v>
      </c>
      <c r="Q69" s="61"/>
      <c r="R69" s="61">
        <v>0</v>
      </c>
      <c r="S69" s="61"/>
      <c r="T69" s="61">
        <f t="shared" si="7"/>
        <v>3876000</v>
      </c>
      <c r="U69" s="61">
        <v>0</v>
      </c>
      <c r="V69" s="61">
        <f>732600+1065600</f>
        <v>1798200</v>
      </c>
      <c r="W69" s="61"/>
      <c r="X69" s="61"/>
      <c r="Y69" s="61">
        <f t="shared" si="8"/>
        <v>1798200</v>
      </c>
      <c r="Z69" s="61">
        <f>21%*M69</f>
        <v>2825340</v>
      </c>
      <c r="AA69" s="61">
        <f>550000+800000</f>
        <v>1350000</v>
      </c>
      <c r="AB69" s="61">
        <f>316800+460800</f>
        <v>777600</v>
      </c>
      <c r="AC69" s="61"/>
      <c r="AD69" s="61">
        <v>0</v>
      </c>
      <c r="AE69" s="61">
        <f t="shared" si="9"/>
        <v>4952940</v>
      </c>
      <c r="AF69" s="61">
        <f t="shared" si="10"/>
        <v>-721260</v>
      </c>
      <c r="AG6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-1050660</v>
      </c>
      <c r="AH69" s="13">
        <f>IFERROR(AG69/(Z69+Table5[[#This Row],[Rider Penalty (Claim, Other Denda to Riders)]]),0)</f>
        <v>-0.37187028817770607</v>
      </c>
      <c r="AI69" s="62">
        <f t="shared" si="11"/>
        <v>329400</v>
      </c>
      <c r="AJ69" s="60">
        <f t="shared" si="12"/>
        <v>0.1548223350253807</v>
      </c>
      <c r="AV69" s="109">
        <f>Table5[[#This Row],[Total Selling Comission/Sales (Weekly)]]/Table5[[#This Row],[Total Revenue Sharing % (Weekly)]]*100%</f>
        <v>0.41623309053069718</v>
      </c>
      <c r="AW69" s="109">
        <f>Table5[[#This Row],[Total Daily Incentive (Weekly)]]/Table5[[#This Row],[Total Revenue Sharing % (Weekly)]]*100%</f>
        <v>0.95563719764700883</v>
      </c>
      <c r="AX69" s="109">
        <f t="shared" si="13"/>
        <v>1.3718702881777061</v>
      </c>
    </row>
    <row r="70" spans="1:50" hidden="1">
      <c r="A70">
        <v>2024</v>
      </c>
      <c r="B70" t="s">
        <v>23</v>
      </c>
      <c r="C70" t="s">
        <v>23</v>
      </c>
      <c r="D70" t="s">
        <v>168</v>
      </c>
      <c r="E70" t="s">
        <v>28</v>
      </c>
      <c r="F70" t="s">
        <v>25</v>
      </c>
      <c r="G70">
        <v>52</v>
      </c>
      <c r="H70" t="s">
        <v>166</v>
      </c>
      <c r="I70" t="s">
        <v>279</v>
      </c>
      <c r="J70" t="s">
        <v>303</v>
      </c>
      <c r="K70" s="42">
        <v>242</v>
      </c>
      <c r="L70" s="42">
        <v>71078</v>
      </c>
      <c r="M70" s="42">
        <v>619549000</v>
      </c>
      <c r="N70" s="42">
        <v>70751000</v>
      </c>
      <c r="O70" s="61">
        <v>53200000</v>
      </c>
      <c r="P70" s="61">
        <v>31875000</v>
      </c>
      <c r="Q70" s="61"/>
      <c r="R70" s="61">
        <v>5700000</v>
      </c>
      <c r="S70" s="61"/>
      <c r="T70" s="61">
        <f t="shared" si="7"/>
        <v>161526000</v>
      </c>
      <c r="U70" s="61"/>
      <c r="V70" s="61">
        <v>54516000</v>
      </c>
      <c r="W70" s="61"/>
      <c r="X70" s="61"/>
      <c r="Y70" s="61">
        <f t="shared" si="8"/>
        <v>54516000</v>
      </c>
      <c r="Z70" s="1">
        <f>23%*Table5[[#This Row],[Total Selling (Clients Revenue)]]</f>
        <v>142496270</v>
      </c>
      <c r="AA70" s="61">
        <v>29736000</v>
      </c>
      <c r="AB70" s="61">
        <v>31344000</v>
      </c>
      <c r="AC70" s="61"/>
      <c r="AD70" s="61"/>
      <c r="AE70" s="61">
        <f t="shared" si="9"/>
        <v>203576270</v>
      </c>
      <c r="AF70" s="61">
        <f t="shared" si="10"/>
        <v>-12465730</v>
      </c>
      <c r="AG7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-19029730</v>
      </c>
      <c r="AH70" s="13">
        <f>IFERROR(AG70/(Z70+Table5[[#This Row],[Rider Penalty (Claim, Other Denda to Riders)]]),0)</f>
        <v>-0.13354546052328248</v>
      </c>
      <c r="AI70" s="62">
        <f t="shared" si="11"/>
        <v>6564000</v>
      </c>
      <c r="AJ70" s="60">
        <f t="shared" si="12"/>
        <v>0.1074656188605108</v>
      </c>
      <c r="AV70" s="109">
        <f>Table5[[#This Row],[Total Selling Comission/Sales (Weekly)]]/Table5[[#This Row],[Total Revenue Sharing % (Weekly)]]*100%</f>
        <v>0.49651124201356289</v>
      </c>
      <c r="AW70" s="109">
        <f>Table5[[#This Row],[Total Daily Incentive (Weekly)]]/Table5[[#This Row],[Total Revenue Sharing % (Weekly)]]*100%</f>
        <v>0.37334310575287338</v>
      </c>
      <c r="AX70" s="109">
        <f t="shared" si="13"/>
        <v>0.86985434776643622</v>
      </c>
    </row>
    <row r="71" spans="1:50" hidden="1">
      <c r="A71">
        <v>2024</v>
      </c>
      <c r="B71" t="s">
        <v>23</v>
      </c>
      <c r="C71" t="s">
        <v>172</v>
      </c>
      <c r="D71" t="s">
        <v>168</v>
      </c>
      <c r="E71" t="s">
        <v>28</v>
      </c>
      <c r="F71" t="s">
        <v>31</v>
      </c>
      <c r="G71">
        <v>52</v>
      </c>
      <c r="H71" t="s">
        <v>166</v>
      </c>
      <c r="I71" t="s">
        <v>279</v>
      </c>
      <c r="J71" t="s">
        <v>303</v>
      </c>
      <c r="K71" s="106">
        <v>19</v>
      </c>
      <c r="L71" s="106">
        <v>5555</v>
      </c>
      <c r="M71" s="106">
        <v>51734000</v>
      </c>
      <c r="N71" s="106">
        <v>5550000</v>
      </c>
      <c r="O71" s="61">
        <v>4375000</v>
      </c>
      <c r="P71" s="61">
        <v>4125000</v>
      </c>
      <c r="Q71" s="61"/>
      <c r="R71" s="61">
        <v>0</v>
      </c>
      <c r="S71" s="61"/>
      <c r="T71" s="61">
        <f t="shared" si="7"/>
        <v>14050000</v>
      </c>
      <c r="U71" s="61">
        <v>0</v>
      </c>
      <c r="V71" s="61">
        <v>4125000</v>
      </c>
      <c r="W71" s="61"/>
      <c r="X71" s="61"/>
      <c r="Y71" s="61">
        <f t="shared" si="8"/>
        <v>4125000</v>
      </c>
      <c r="Z71" s="76">
        <f>23%*Table5[[#This Row],[Total Selling (Clients Revenue)]]</f>
        <v>11898820</v>
      </c>
      <c r="AA71" s="61">
        <v>2250000</v>
      </c>
      <c r="AB71" s="61">
        <v>2400000</v>
      </c>
      <c r="AC71" s="61"/>
      <c r="AD71" s="61"/>
      <c r="AE71" s="61">
        <f t="shared" si="9"/>
        <v>16548820</v>
      </c>
      <c r="AF71" s="61">
        <f t="shared" si="10"/>
        <v>-1626180</v>
      </c>
      <c r="AG7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-2151180</v>
      </c>
      <c r="AH71" s="13">
        <f>IFERROR(AG71/(Z71+Table5[[#This Row],[Rider Penalty (Claim, Other Denda to Riders)]]),0)</f>
        <v>-0.18078935558315867</v>
      </c>
      <c r="AI71" s="62">
        <f t="shared" si="11"/>
        <v>525000</v>
      </c>
      <c r="AJ71" s="60">
        <f t="shared" si="12"/>
        <v>0.11290322580645161</v>
      </c>
      <c r="AV71" s="109">
        <f>Table5[[#This Row],[Total Selling Comission/Sales (Weekly)]]/Table5[[#This Row],[Total Revenue Sharing % (Weekly)]]*100%</f>
        <v>0.46643280594210185</v>
      </c>
      <c r="AW71" s="109">
        <f>Table5[[#This Row],[Total Daily Incentive (Weekly)]]/Table5[[#This Row],[Total Revenue Sharing % (Weekly)]]*100%</f>
        <v>0.36768351819760281</v>
      </c>
      <c r="AX71" s="109">
        <f t="shared" si="13"/>
        <v>0.8341163241397046</v>
      </c>
    </row>
    <row r="72" spans="1:50" hidden="1">
      <c r="A72">
        <v>2024</v>
      </c>
      <c r="B72" t="s">
        <v>23</v>
      </c>
      <c r="C72" t="s">
        <v>174</v>
      </c>
      <c r="D72" t="s">
        <v>168</v>
      </c>
      <c r="E72" t="s">
        <v>24</v>
      </c>
      <c r="F72" t="s">
        <v>24</v>
      </c>
      <c r="G72">
        <v>51</v>
      </c>
      <c r="H72" t="s">
        <v>166</v>
      </c>
      <c r="I72" t="s">
        <v>278</v>
      </c>
      <c r="J72" t="s">
        <v>304</v>
      </c>
      <c r="K72" s="42">
        <v>43</v>
      </c>
      <c r="L72" s="42">
        <v>10229</v>
      </c>
      <c r="M72" s="42">
        <v>94554000</v>
      </c>
      <c r="N72" s="42">
        <v>8123800</v>
      </c>
      <c r="O72" s="61">
        <v>0</v>
      </c>
      <c r="P72" s="61">
        <v>0</v>
      </c>
      <c r="Q72" s="61"/>
      <c r="R72" s="61">
        <v>0</v>
      </c>
      <c r="S72" s="61"/>
      <c r="T72" s="61">
        <f t="shared" si="7"/>
        <v>8123800</v>
      </c>
      <c r="U72" s="61">
        <v>0</v>
      </c>
      <c r="V72" s="61">
        <v>0</v>
      </c>
      <c r="W72" s="61"/>
      <c r="X72" s="61">
        <v>0</v>
      </c>
      <c r="Y72" s="61">
        <f t="shared" si="8"/>
        <v>0</v>
      </c>
      <c r="Z72" s="76">
        <f>21%*Table5[[#This Row],[Total Selling (Clients Revenue)]]</f>
        <v>19856340</v>
      </c>
      <c r="AA72" s="61">
        <v>0</v>
      </c>
      <c r="AB72" s="61">
        <v>0</v>
      </c>
      <c r="AC72" s="61"/>
      <c r="AD72" s="61">
        <v>0</v>
      </c>
      <c r="AE72" s="61">
        <f t="shared" si="9"/>
        <v>19856340</v>
      </c>
      <c r="AF72" s="61">
        <f t="shared" si="10"/>
        <v>11732540</v>
      </c>
      <c r="AG7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11732540</v>
      </c>
      <c r="AH72" s="13">
        <f>IFERROR(AG72/(Z72+Table5[[#This Row],[Rider Penalty (Claim, Other Denda to Riders)]]),0)</f>
        <v>0.59087122803094627</v>
      </c>
      <c r="AI72" s="62">
        <f t="shared" si="11"/>
        <v>0</v>
      </c>
      <c r="AJ72" s="60">
        <f t="shared" si="12"/>
        <v>0</v>
      </c>
      <c r="AV72" s="109">
        <f>Table5[[#This Row],[Total Selling Comission/Sales (Weekly)]]/Table5[[#This Row],[Total Revenue Sharing % (Weekly)]]*100%</f>
        <v>0.40912877196905373</v>
      </c>
      <c r="AW72" s="109">
        <f>Table5[[#This Row],[Total Daily Incentive (Weekly)]]/Table5[[#This Row],[Total Revenue Sharing % (Weekly)]]*100%</f>
        <v>0</v>
      </c>
      <c r="AX72" s="109">
        <f t="shared" si="13"/>
        <v>0.40912877196905373</v>
      </c>
    </row>
    <row r="73" spans="1:50" hidden="1">
      <c r="A73">
        <v>2024</v>
      </c>
      <c r="B73" t="s">
        <v>23</v>
      </c>
      <c r="C73" t="s">
        <v>174</v>
      </c>
      <c r="D73" t="s">
        <v>168</v>
      </c>
      <c r="E73" t="s">
        <v>24</v>
      </c>
      <c r="F73" t="s">
        <v>24</v>
      </c>
      <c r="G73">
        <v>51</v>
      </c>
      <c r="H73" t="s">
        <v>166</v>
      </c>
      <c r="I73" t="s">
        <v>278</v>
      </c>
      <c r="J73" t="s">
        <v>304</v>
      </c>
      <c r="K73" s="75">
        <v>5</v>
      </c>
      <c r="L73" s="75">
        <v>454</v>
      </c>
      <c r="M73" s="75">
        <v>4140000</v>
      </c>
      <c r="N73" s="75">
        <v>363200</v>
      </c>
      <c r="O73" s="61">
        <v>0</v>
      </c>
      <c r="P73" s="61">
        <v>0</v>
      </c>
      <c r="Q73" s="61"/>
      <c r="R73" s="61">
        <v>0</v>
      </c>
      <c r="S73" s="61"/>
      <c r="T73" s="61">
        <f t="shared" si="7"/>
        <v>363200</v>
      </c>
      <c r="U73" s="61">
        <v>0</v>
      </c>
      <c r="V73" s="61">
        <v>0</v>
      </c>
      <c r="W73" s="61"/>
      <c r="X73" s="61">
        <v>0</v>
      </c>
      <c r="Y73" s="61">
        <f t="shared" si="8"/>
        <v>0</v>
      </c>
      <c r="Z73" s="61">
        <f>21%*M73</f>
        <v>869400</v>
      </c>
      <c r="AA73" s="61">
        <v>0</v>
      </c>
      <c r="AB73" s="61">
        <v>0</v>
      </c>
      <c r="AC73" s="61"/>
      <c r="AD73" s="61">
        <v>0</v>
      </c>
      <c r="AE73" s="61">
        <f t="shared" si="9"/>
        <v>869400</v>
      </c>
      <c r="AF73" s="61">
        <f t="shared" si="10"/>
        <v>506200</v>
      </c>
      <c r="AG7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506200</v>
      </c>
      <c r="AH73" s="13">
        <f>IFERROR(AG73/(Z73+Table5[[#This Row],[Rider Penalty (Claim, Other Denda to Riders)]]),0)</f>
        <v>0.58224062571888657</v>
      </c>
      <c r="AI73" s="62">
        <f t="shared" si="11"/>
        <v>0</v>
      </c>
      <c r="AJ73" s="60">
        <f t="shared" si="12"/>
        <v>0</v>
      </c>
      <c r="AV73" s="109">
        <f>Table5[[#This Row],[Total Selling Comission/Sales (Weekly)]]/Table5[[#This Row],[Total Revenue Sharing % (Weekly)]]*100%</f>
        <v>0.41775937428111343</v>
      </c>
      <c r="AW73" s="109">
        <f>Table5[[#This Row],[Total Daily Incentive (Weekly)]]/Table5[[#This Row],[Total Revenue Sharing % (Weekly)]]*100%</f>
        <v>0</v>
      </c>
      <c r="AX73" s="109">
        <f t="shared" si="13"/>
        <v>0.41775937428111343</v>
      </c>
    </row>
    <row r="74" spans="1:50" hidden="1">
      <c r="A74">
        <v>2024</v>
      </c>
      <c r="B74" t="s">
        <v>23</v>
      </c>
      <c r="C74" t="s">
        <v>23</v>
      </c>
      <c r="D74" t="s">
        <v>168</v>
      </c>
      <c r="E74" t="s">
        <v>28</v>
      </c>
      <c r="F74" t="s">
        <v>25</v>
      </c>
      <c r="G74">
        <v>51</v>
      </c>
      <c r="H74" t="s">
        <v>166</v>
      </c>
      <c r="I74" t="s">
        <v>278</v>
      </c>
      <c r="J74" t="s">
        <v>304</v>
      </c>
      <c r="K74" s="106">
        <v>247</v>
      </c>
      <c r="L74" s="106">
        <v>68023</v>
      </c>
      <c r="M74" s="106">
        <v>597589000</v>
      </c>
      <c r="N74" s="106">
        <v>68023000</v>
      </c>
      <c r="O74" s="61">
        <v>51575000</v>
      </c>
      <c r="P74" s="61">
        <v>0</v>
      </c>
      <c r="Q74" s="61"/>
      <c r="R74" s="61">
        <v>0</v>
      </c>
      <c r="S74" s="61"/>
      <c r="T74" s="61">
        <f t="shared" ref="T74:T105" si="14">SUM(N74:R74)</f>
        <v>119598000</v>
      </c>
      <c r="U74" s="61">
        <v>0</v>
      </c>
      <c r="V74" s="61">
        <v>52514100</v>
      </c>
      <c r="W74" s="61"/>
      <c r="X74" s="61"/>
      <c r="Y74" s="61">
        <f t="shared" ref="Y74:Y105" si="15">SUM(U74:X74)</f>
        <v>52514100</v>
      </c>
      <c r="Z74" s="76">
        <f>23%*Table5[[#This Row],[Total Selling (Clients Revenue)]]</f>
        <v>137445470</v>
      </c>
      <c r="AA74" s="61">
        <v>28386000</v>
      </c>
      <c r="AB74" s="61">
        <v>30768000</v>
      </c>
      <c r="AC74" s="61"/>
      <c r="AD74" s="61"/>
      <c r="AE74" s="61">
        <f t="shared" ref="AE74:AE105" si="16">SUM(Z74:AD74)</f>
        <v>196599470</v>
      </c>
      <c r="AF74" s="61">
        <f t="shared" ref="AF74:AF105" si="17">AE74-(T74+Y74)</f>
        <v>24487370</v>
      </c>
      <c r="AG7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17847470</v>
      </c>
      <c r="AH74" s="13">
        <f>IFERROR(AG74/(Z74+Table5[[#This Row],[Rider Penalty (Claim, Other Denda to Riders)]]),0)</f>
        <v>0.1298512784742924</v>
      </c>
      <c r="AI74" s="62">
        <f t="shared" ref="AI74:AI105" si="18">AA74+AB74-V74</f>
        <v>6639900</v>
      </c>
      <c r="AJ74" s="60">
        <f t="shared" ref="AJ74:AJ105" si="19">IFERROR(AI74/(AA74+AB74),0)</f>
        <v>0.11224769246373871</v>
      </c>
      <c r="AV74" s="109">
        <f>Table5[[#This Row],[Total Selling Comission/Sales (Weekly)]]/Table5[[#This Row],[Total Revenue Sharing % (Weekly)]]*100%</f>
        <v>0.49490899918345799</v>
      </c>
      <c r="AW74" s="109">
        <f>Table5[[#This Row],[Total Daily Incentive (Weekly)]]/Table5[[#This Row],[Total Revenue Sharing % (Weekly)]]*100%</f>
        <v>0.37523972234224962</v>
      </c>
      <c r="AX74" s="109">
        <f t="shared" si="13"/>
        <v>0.87014872152570766</v>
      </c>
    </row>
    <row r="75" spans="1:50" hidden="1">
      <c r="A75">
        <v>2024</v>
      </c>
      <c r="B75" t="s">
        <v>23</v>
      </c>
      <c r="C75" t="s">
        <v>172</v>
      </c>
      <c r="D75" t="s">
        <v>168</v>
      </c>
      <c r="E75" t="s">
        <v>28</v>
      </c>
      <c r="F75" t="s">
        <v>31</v>
      </c>
      <c r="G75">
        <v>51</v>
      </c>
      <c r="H75" t="s">
        <v>166</v>
      </c>
      <c r="I75" t="s">
        <v>278</v>
      </c>
      <c r="J75" t="s">
        <v>304</v>
      </c>
      <c r="K75" s="106">
        <v>16</v>
      </c>
      <c r="L75" s="106">
        <v>5770</v>
      </c>
      <c r="M75" s="106">
        <v>51094000</v>
      </c>
      <c r="N75" s="106">
        <v>5770000</v>
      </c>
      <c r="O75" s="61">
        <v>4075000</v>
      </c>
      <c r="P75" s="61">
        <v>0</v>
      </c>
      <c r="Q75" s="61"/>
      <c r="R75" s="61">
        <v>0</v>
      </c>
      <c r="S75" s="61"/>
      <c r="T75" s="61">
        <f t="shared" si="14"/>
        <v>9845000</v>
      </c>
      <c r="U75" s="61">
        <v>0</v>
      </c>
      <c r="V75" s="61">
        <v>3396600</v>
      </c>
      <c r="W75" s="61"/>
      <c r="X75" s="61"/>
      <c r="Y75" s="61">
        <f t="shared" si="15"/>
        <v>3396600</v>
      </c>
      <c r="Z75" s="76">
        <f>23%*Table5[[#This Row],[Total Selling (Clients Revenue)]]</f>
        <v>11751620</v>
      </c>
      <c r="AA75" s="61">
        <v>1836000</v>
      </c>
      <c r="AB75" s="61">
        <v>2208000</v>
      </c>
      <c r="AC75" s="61"/>
      <c r="AD75" s="61"/>
      <c r="AE75" s="61">
        <f t="shared" si="16"/>
        <v>15795620</v>
      </c>
      <c r="AF75" s="61">
        <f t="shared" si="17"/>
        <v>2554020</v>
      </c>
      <c r="AG7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1906620</v>
      </c>
      <c r="AH75" s="13">
        <f>IFERROR(AG75/(Z75+Table5[[#This Row],[Rider Penalty (Claim, Other Denda to Riders)]]),0)</f>
        <v>0.16224316307028308</v>
      </c>
      <c r="AI75" s="62">
        <f t="shared" si="18"/>
        <v>647400</v>
      </c>
      <c r="AJ75" s="60">
        <f t="shared" si="19"/>
        <v>0.16008902077151335</v>
      </c>
      <c r="AV75" s="109">
        <f>Table5[[#This Row],[Total Selling Comission/Sales (Weekly)]]/Table5[[#This Row],[Total Revenue Sharing % (Weekly)]]*100%</f>
        <v>0.49099613500096156</v>
      </c>
      <c r="AW75" s="109">
        <f>Table5[[#This Row],[Total Daily Incentive (Weekly)]]/Table5[[#This Row],[Total Revenue Sharing % (Weekly)]]*100%</f>
        <v>0.34676070192875535</v>
      </c>
      <c r="AX75" s="109">
        <f t="shared" si="13"/>
        <v>0.83775683692971692</v>
      </c>
    </row>
    <row r="76" spans="1:50" hidden="1">
      <c r="A76">
        <v>2024</v>
      </c>
      <c r="B76" t="s">
        <v>23</v>
      </c>
      <c r="C76" t="s">
        <v>174</v>
      </c>
      <c r="D76" t="s">
        <v>168</v>
      </c>
      <c r="E76" t="s">
        <v>24</v>
      </c>
      <c r="F76" t="s">
        <v>24</v>
      </c>
      <c r="G76">
        <v>50</v>
      </c>
      <c r="H76" t="s">
        <v>166</v>
      </c>
      <c r="I76" t="s">
        <v>256</v>
      </c>
      <c r="J76" t="s">
        <v>305</v>
      </c>
      <c r="K76" s="106">
        <v>39</v>
      </c>
      <c r="L76" s="106">
        <v>8405</v>
      </c>
      <c r="M76" s="106">
        <v>76136000</v>
      </c>
      <c r="N76" s="106">
        <v>6721100</v>
      </c>
      <c r="O76" s="61">
        <v>0</v>
      </c>
      <c r="P76" s="61">
        <v>0</v>
      </c>
      <c r="Q76" s="61"/>
      <c r="R76" s="61">
        <v>0</v>
      </c>
      <c r="S76" s="61"/>
      <c r="T76" s="61">
        <f t="shared" si="14"/>
        <v>6721100</v>
      </c>
      <c r="U76" s="61"/>
      <c r="V76" s="61">
        <v>0</v>
      </c>
      <c r="W76" s="61"/>
      <c r="X76" s="61"/>
      <c r="Y76" s="61">
        <f t="shared" si="15"/>
        <v>0</v>
      </c>
      <c r="Z76" s="76">
        <f>21%*Table5[[#This Row],[Total Selling (Clients Revenue)]]</f>
        <v>15988560</v>
      </c>
      <c r="AA76" s="61">
        <v>0</v>
      </c>
      <c r="AB76" s="61">
        <v>0</v>
      </c>
      <c r="AC76" s="61"/>
      <c r="AD76" s="61"/>
      <c r="AE76" s="61">
        <f t="shared" si="16"/>
        <v>15988560</v>
      </c>
      <c r="AF76" s="61">
        <f t="shared" si="17"/>
        <v>9267460</v>
      </c>
      <c r="AG7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9267460</v>
      </c>
      <c r="AH76" s="13">
        <f>IFERROR(AG76/(Z76+Table5[[#This Row],[Rider Penalty (Claim, Other Denda to Riders)]]),0)</f>
        <v>0.57963068594044742</v>
      </c>
      <c r="AI76" s="62">
        <f t="shared" si="18"/>
        <v>0</v>
      </c>
      <c r="AJ76" s="60">
        <f t="shared" si="19"/>
        <v>0</v>
      </c>
      <c r="AV76" s="109">
        <f>Table5[[#This Row],[Total Selling Comission/Sales (Weekly)]]/Table5[[#This Row],[Total Revenue Sharing % (Weekly)]]*100%</f>
        <v>0.42036931405955258</v>
      </c>
      <c r="AW76" s="109">
        <f>Table5[[#This Row],[Total Daily Incentive (Weekly)]]/Table5[[#This Row],[Total Revenue Sharing % (Weekly)]]*100%</f>
        <v>0</v>
      </c>
      <c r="AX76" s="109">
        <f t="shared" si="13"/>
        <v>0.42036931405955258</v>
      </c>
    </row>
    <row r="77" spans="1:50" hidden="1">
      <c r="A77">
        <v>2024</v>
      </c>
      <c r="B77" t="s">
        <v>23</v>
      </c>
      <c r="C77" t="s">
        <v>23</v>
      </c>
      <c r="D77" t="s">
        <v>168</v>
      </c>
      <c r="E77" t="s">
        <v>28</v>
      </c>
      <c r="F77" t="s">
        <v>25</v>
      </c>
      <c r="G77">
        <v>50</v>
      </c>
      <c r="H77" s="23" t="s">
        <v>166</v>
      </c>
      <c r="I77" t="s">
        <v>256</v>
      </c>
      <c r="J77" t="s">
        <v>305</v>
      </c>
      <c r="K77" s="106">
        <v>232</v>
      </c>
      <c r="L77" s="106">
        <v>65405</v>
      </c>
      <c r="M77" s="106">
        <v>573705000</v>
      </c>
      <c r="N77" s="106">
        <v>65405000</v>
      </c>
      <c r="O77" s="61">
        <v>49300000</v>
      </c>
      <c r="P77" s="61">
        <v>0</v>
      </c>
      <c r="Q77" s="61"/>
      <c r="R77" s="61">
        <v>0</v>
      </c>
      <c r="S77" s="61"/>
      <c r="T77" s="61">
        <f t="shared" si="14"/>
        <v>114705000</v>
      </c>
      <c r="U77" s="61"/>
      <c r="V77" s="61">
        <v>49716900</v>
      </c>
      <c r="W77" s="61"/>
      <c r="X77" s="61"/>
      <c r="Y77" s="61">
        <f t="shared" si="15"/>
        <v>49716900</v>
      </c>
      <c r="Z77" s="76">
        <f>23%*Table5[[#This Row],[Total Selling (Clients Revenue)]]</f>
        <v>131952150</v>
      </c>
      <c r="AA77" s="61">
        <v>26874000</v>
      </c>
      <c r="AB77" s="61">
        <v>29472000</v>
      </c>
      <c r="AC77" s="61"/>
      <c r="AD77" s="61"/>
      <c r="AE77" s="61">
        <f t="shared" si="16"/>
        <v>188298150</v>
      </c>
      <c r="AF77" s="61">
        <f t="shared" si="17"/>
        <v>23876250</v>
      </c>
      <c r="AG7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17247150</v>
      </c>
      <c r="AH77" s="13">
        <f>IFERROR(AG77/(Z77+Table5[[#This Row],[Rider Penalty (Claim, Other Denda to Riders)]]),0)</f>
        <v>0.13070760878091034</v>
      </c>
      <c r="AI77" s="62">
        <f t="shared" si="18"/>
        <v>6629100</v>
      </c>
      <c r="AJ77" s="60">
        <f t="shared" si="19"/>
        <v>0.11764987754232777</v>
      </c>
      <c r="AV77" s="109">
        <f>Table5[[#This Row],[Total Selling Comission/Sales (Weekly)]]/Table5[[#This Row],[Total Revenue Sharing % (Weekly)]]*100%</f>
        <v>0.49567210538062473</v>
      </c>
      <c r="AW77" s="109">
        <f>Table5[[#This Row],[Total Daily Incentive (Weekly)]]/Table5[[#This Row],[Total Revenue Sharing % (Weekly)]]*100%</f>
        <v>0.37362028583846491</v>
      </c>
      <c r="AX77" s="109">
        <f t="shared" si="13"/>
        <v>0.86929239121908963</v>
      </c>
    </row>
    <row r="78" spans="1:50" hidden="1">
      <c r="A78">
        <v>2024</v>
      </c>
      <c r="B78" t="s">
        <v>23</v>
      </c>
      <c r="C78" t="s">
        <v>172</v>
      </c>
      <c r="D78" t="s">
        <v>168</v>
      </c>
      <c r="E78" t="s">
        <v>28</v>
      </c>
      <c r="F78" t="s">
        <v>31</v>
      </c>
      <c r="G78">
        <v>50</v>
      </c>
      <c r="H78" s="23" t="s">
        <v>166</v>
      </c>
      <c r="I78" t="s">
        <v>256</v>
      </c>
      <c r="J78" t="s">
        <v>305</v>
      </c>
      <c r="K78" s="106">
        <v>14</v>
      </c>
      <c r="L78" s="106">
        <v>5090</v>
      </c>
      <c r="M78" s="106">
        <v>45532000</v>
      </c>
      <c r="N78" s="106">
        <v>5090000</v>
      </c>
      <c r="O78" s="61">
        <v>3875000</v>
      </c>
      <c r="P78" s="61">
        <v>0</v>
      </c>
      <c r="Q78" s="61"/>
      <c r="R78" s="61">
        <v>0</v>
      </c>
      <c r="S78" s="61"/>
      <c r="T78" s="61">
        <f t="shared" si="14"/>
        <v>8965000</v>
      </c>
      <c r="U78" s="61">
        <v>0</v>
      </c>
      <c r="V78" s="61">
        <v>2863800</v>
      </c>
      <c r="W78" s="61"/>
      <c r="X78" s="61"/>
      <c r="Y78" s="61">
        <f t="shared" si="15"/>
        <v>2863800</v>
      </c>
      <c r="Z78" s="76">
        <f>23%*Table5[[#This Row],[Total Selling (Clients Revenue)]]</f>
        <v>10472360</v>
      </c>
      <c r="AA78" s="61">
        <v>1548000</v>
      </c>
      <c r="AB78" s="61">
        <v>1872000</v>
      </c>
      <c r="AC78" s="61"/>
      <c r="AD78" s="61"/>
      <c r="AE78" s="61">
        <f t="shared" si="16"/>
        <v>13892360</v>
      </c>
      <c r="AF78" s="61">
        <f t="shared" si="17"/>
        <v>2063560</v>
      </c>
      <c r="AG7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1507360</v>
      </c>
      <c r="AH78" s="13">
        <f>IFERROR(AG78/(Z78+Table5[[#This Row],[Rider Penalty (Claim, Other Denda to Riders)]]),0)</f>
        <v>0.14393699223479711</v>
      </c>
      <c r="AI78" s="62">
        <f t="shared" si="18"/>
        <v>556200</v>
      </c>
      <c r="AJ78" s="60">
        <f t="shared" si="19"/>
        <v>0.16263157894736843</v>
      </c>
      <c r="AV78" s="109">
        <f>Table5[[#This Row],[Total Selling Comission/Sales (Weekly)]]/Table5[[#This Row],[Total Revenue Sharing % (Weekly)]]*100%</f>
        <v>0.48604135075570359</v>
      </c>
      <c r="AW78" s="109">
        <f>Table5[[#This Row],[Total Daily Incentive (Weekly)]]/Table5[[#This Row],[Total Revenue Sharing % (Weekly)]]*100%</f>
        <v>0.37002165700949929</v>
      </c>
      <c r="AX78" s="109">
        <f t="shared" si="13"/>
        <v>0.85606300776520283</v>
      </c>
    </row>
    <row r="79" spans="1:50" hidden="1">
      <c r="A79">
        <v>2024</v>
      </c>
      <c r="B79" t="s">
        <v>23</v>
      </c>
      <c r="C79" t="s">
        <v>174</v>
      </c>
      <c r="D79" t="s">
        <v>168</v>
      </c>
      <c r="E79" t="s">
        <v>24</v>
      </c>
      <c r="F79" t="s">
        <v>24</v>
      </c>
      <c r="G79">
        <v>49</v>
      </c>
      <c r="H79" s="23" t="s">
        <v>166</v>
      </c>
      <c r="I79" t="s">
        <v>275</v>
      </c>
      <c r="J79" t="s">
        <v>306</v>
      </c>
      <c r="K79" s="106">
        <v>39</v>
      </c>
      <c r="L79" s="106">
        <v>10172</v>
      </c>
      <c r="M79" s="106">
        <v>80481000</v>
      </c>
      <c r="N79" s="106">
        <v>6647000</v>
      </c>
      <c r="O79" s="61">
        <v>0</v>
      </c>
      <c r="P79" s="61">
        <v>0</v>
      </c>
      <c r="Q79" s="61"/>
      <c r="R79" s="61">
        <v>0</v>
      </c>
      <c r="S79" s="61"/>
      <c r="T79" s="61">
        <f t="shared" si="14"/>
        <v>6647000</v>
      </c>
      <c r="U79" s="61"/>
      <c r="V79" s="61">
        <v>0</v>
      </c>
      <c r="W79" s="61"/>
      <c r="X79" s="61"/>
      <c r="Y79" s="61">
        <f t="shared" si="15"/>
        <v>0</v>
      </c>
      <c r="Z79" s="76">
        <f>21%*Table5[[#This Row],[Total Selling (Clients Revenue)]]</f>
        <v>16901010</v>
      </c>
      <c r="AA79" s="61">
        <v>0</v>
      </c>
      <c r="AB79" s="61">
        <v>0</v>
      </c>
      <c r="AC79" s="61"/>
      <c r="AD79" s="61"/>
      <c r="AE79" s="61">
        <f t="shared" si="16"/>
        <v>16901010</v>
      </c>
      <c r="AF79" s="61">
        <f t="shared" si="17"/>
        <v>10254010</v>
      </c>
      <c r="AG7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10254010</v>
      </c>
      <c r="AH79" s="13">
        <f>IFERROR(AG79/(Z79+Table5[[#This Row],[Rider Penalty (Claim, Other Denda to Riders)]]),0)</f>
        <v>0.60670989485243776</v>
      </c>
      <c r="AI79" s="62">
        <f t="shared" si="18"/>
        <v>0</v>
      </c>
      <c r="AJ79" s="60">
        <f t="shared" si="19"/>
        <v>0</v>
      </c>
      <c r="AV79" s="109">
        <f>Table5[[#This Row],[Total Selling Comission/Sales (Weekly)]]/Table5[[#This Row],[Total Revenue Sharing % (Weekly)]]*100%</f>
        <v>0.39329010514756219</v>
      </c>
      <c r="AW79" s="109">
        <f>Table5[[#This Row],[Total Daily Incentive (Weekly)]]/Table5[[#This Row],[Total Revenue Sharing % (Weekly)]]*100%</f>
        <v>0</v>
      </c>
      <c r="AX79" s="109">
        <f t="shared" si="13"/>
        <v>0.39329010514756219</v>
      </c>
    </row>
    <row r="80" spans="1:50" hidden="1">
      <c r="A80">
        <v>2024</v>
      </c>
      <c r="B80" t="s">
        <v>23</v>
      </c>
      <c r="C80" t="s">
        <v>23</v>
      </c>
      <c r="D80" t="s">
        <v>168</v>
      </c>
      <c r="E80" t="s">
        <v>28</v>
      </c>
      <c r="F80" t="s">
        <v>25</v>
      </c>
      <c r="G80">
        <v>49</v>
      </c>
      <c r="H80" t="s">
        <v>166</v>
      </c>
      <c r="I80" t="s">
        <v>275</v>
      </c>
      <c r="J80" t="s">
        <v>306</v>
      </c>
      <c r="K80" s="106">
        <v>236</v>
      </c>
      <c r="L80" s="106">
        <v>63090</v>
      </c>
      <c r="M80" s="106">
        <v>553762000</v>
      </c>
      <c r="N80" s="106">
        <v>63090000</v>
      </c>
      <c r="O80" s="61">
        <v>49450000</v>
      </c>
      <c r="P80" s="61">
        <v>0</v>
      </c>
      <c r="Q80" s="61"/>
      <c r="R80" s="61">
        <v>0</v>
      </c>
      <c r="S80" s="61"/>
      <c r="T80" s="61">
        <f t="shared" si="14"/>
        <v>112540000</v>
      </c>
      <c r="U80" s="61">
        <v>0</v>
      </c>
      <c r="V80" s="61">
        <v>50349600</v>
      </c>
      <c r="W80" s="61"/>
      <c r="X80" s="61"/>
      <c r="Y80" s="61">
        <f t="shared" si="15"/>
        <v>50349600</v>
      </c>
      <c r="Z80" s="1">
        <f>23%*Table5[[#This Row],[Total Selling (Clients Revenue)]]</f>
        <v>127365260</v>
      </c>
      <c r="AA80" s="61">
        <v>27216000</v>
      </c>
      <c r="AB80" s="61">
        <v>29112000</v>
      </c>
      <c r="AC80" s="61"/>
      <c r="AD80" s="61"/>
      <c r="AE80" s="61">
        <f t="shared" si="16"/>
        <v>183693260</v>
      </c>
      <c r="AF80" s="61">
        <f t="shared" si="17"/>
        <v>20803660</v>
      </c>
      <c r="AG8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14825260</v>
      </c>
      <c r="AH80" s="13">
        <f>IFERROR(AG80/(Z80+Table5[[#This Row],[Rider Penalty (Claim, Other Denda to Riders)]]),0)</f>
        <v>0.11639955824688773</v>
      </c>
      <c r="AI80" s="62">
        <f t="shared" si="18"/>
        <v>5978400</v>
      </c>
      <c r="AJ80" s="60">
        <f t="shared" si="19"/>
        <v>0.10613549211759693</v>
      </c>
      <c r="AV80" s="109">
        <f>Table5[[#This Row],[Total Selling Comission/Sales (Weekly)]]/Table5[[#This Row],[Total Revenue Sharing % (Weekly)]]*100%</f>
        <v>0.49534700435581885</v>
      </c>
      <c r="AW80" s="109">
        <f>Table5[[#This Row],[Total Daily Incentive (Weekly)]]/Table5[[#This Row],[Total Revenue Sharing % (Weekly)]]*100%</f>
        <v>0.3882534373972934</v>
      </c>
      <c r="AX80" s="109">
        <f t="shared" si="13"/>
        <v>0.88360044175311225</v>
      </c>
    </row>
    <row r="81" spans="1:50" hidden="1">
      <c r="A81">
        <v>2024</v>
      </c>
      <c r="B81" t="s">
        <v>23</v>
      </c>
      <c r="C81" t="s">
        <v>172</v>
      </c>
      <c r="D81" t="s">
        <v>168</v>
      </c>
      <c r="E81" t="s">
        <v>28</v>
      </c>
      <c r="F81" t="s">
        <v>31</v>
      </c>
      <c r="G81">
        <v>49</v>
      </c>
      <c r="H81" t="s">
        <v>166</v>
      </c>
      <c r="I81" t="s">
        <v>275</v>
      </c>
      <c r="J81" t="s">
        <v>306</v>
      </c>
      <c r="K81" s="106">
        <v>12</v>
      </c>
      <c r="L81" s="106">
        <v>3962</v>
      </c>
      <c r="M81" s="106">
        <v>35350000</v>
      </c>
      <c r="N81" s="106">
        <v>3962000</v>
      </c>
      <c r="O81" s="61">
        <v>6225000</v>
      </c>
      <c r="P81" s="61">
        <v>0</v>
      </c>
      <c r="Q81" s="61"/>
      <c r="R81" s="61">
        <v>0</v>
      </c>
      <c r="S81" s="61"/>
      <c r="T81" s="61">
        <f t="shared" si="14"/>
        <v>10187000</v>
      </c>
      <c r="U81" s="61">
        <v>0</v>
      </c>
      <c r="V81" s="61">
        <v>2697300</v>
      </c>
      <c r="W81" s="61"/>
      <c r="X81" s="61"/>
      <c r="Y81" s="61">
        <f t="shared" si="15"/>
        <v>2697300</v>
      </c>
      <c r="Z81" s="76">
        <f>23%*Table5[[#This Row],[Total Selling (Clients Revenue)]]</f>
        <v>8130500</v>
      </c>
      <c r="AA81" s="61">
        <v>1458000</v>
      </c>
      <c r="AB81" s="61">
        <v>1704000</v>
      </c>
      <c r="AC81" s="61"/>
      <c r="AD81" s="61"/>
      <c r="AE81" s="61">
        <f t="shared" si="16"/>
        <v>11292500</v>
      </c>
      <c r="AF81" s="61">
        <f t="shared" si="17"/>
        <v>-1591800</v>
      </c>
      <c r="AG8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-2056500</v>
      </c>
      <c r="AH81" s="13">
        <f>IFERROR(AG81/(Z81+Table5[[#This Row],[Rider Penalty (Claim, Other Denda to Riders)]]),0)</f>
        <v>-0.25293647377160078</v>
      </c>
      <c r="AI81" s="62">
        <f t="shared" si="18"/>
        <v>464700</v>
      </c>
      <c r="AJ81" s="60">
        <f t="shared" si="19"/>
        <v>0.14696394686907022</v>
      </c>
      <c r="AV81" s="109">
        <f>Table5[[#This Row],[Total Selling Comission/Sales (Weekly)]]/Table5[[#This Row],[Total Revenue Sharing % (Weekly)]]*100%</f>
        <v>0.48730090400344384</v>
      </c>
      <c r="AW81" s="109">
        <f>Table5[[#This Row],[Total Daily Incentive (Weekly)]]/Table5[[#This Row],[Total Revenue Sharing % (Weekly)]]*100%</f>
        <v>0.76563556976815694</v>
      </c>
      <c r="AX81" s="109">
        <f t="shared" si="13"/>
        <v>1.2529364737716007</v>
      </c>
    </row>
    <row r="82" spans="1:50" hidden="1">
      <c r="A82">
        <v>2024</v>
      </c>
      <c r="B82" t="s">
        <v>23</v>
      </c>
      <c r="C82" t="s">
        <v>174</v>
      </c>
      <c r="D82" t="s">
        <v>168</v>
      </c>
      <c r="E82" t="s">
        <v>24</v>
      </c>
      <c r="F82" t="s">
        <v>24</v>
      </c>
      <c r="G82">
        <v>48</v>
      </c>
      <c r="H82" t="s">
        <v>36</v>
      </c>
      <c r="I82" t="s">
        <v>279</v>
      </c>
      <c r="J82" t="s">
        <v>307</v>
      </c>
      <c r="K82" s="42">
        <v>40</v>
      </c>
      <c r="L82" s="42">
        <v>8215</v>
      </c>
      <c r="M82" s="42">
        <v>90297000</v>
      </c>
      <c r="N82" s="42">
        <v>8494500</v>
      </c>
      <c r="O82" s="61">
        <v>35450000</v>
      </c>
      <c r="P82" s="61">
        <v>4250000</v>
      </c>
      <c r="Q82" s="61"/>
      <c r="R82" s="61">
        <v>200000</v>
      </c>
      <c r="S82" s="61"/>
      <c r="T82" s="61">
        <f t="shared" si="14"/>
        <v>48394500</v>
      </c>
      <c r="U82" s="61"/>
      <c r="V82" s="61">
        <v>23609700</v>
      </c>
      <c r="W82" s="61"/>
      <c r="X82" s="61"/>
      <c r="Y82" s="61">
        <f t="shared" si="15"/>
        <v>23609700</v>
      </c>
      <c r="Z82" s="76">
        <f>21%*Table5[[#This Row],[Total Selling (Clients Revenue)]]</f>
        <v>18962370</v>
      </c>
      <c r="AA82" s="61">
        <v>12762000</v>
      </c>
      <c r="AB82" s="61">
        <v>10209600</v>
      </c>
      <c r="AC82" s="61"/>
      <c r="AD82" s="61"/>
      <c r="AE82" s="61">
        <f t="shared" si="16"/>
        <v>41933970</v>
      </c>
      <c r="AF82" s="61">
        <f t="shared" si="17"/>
        <v>-30070230</v>
      </c>
      <c r="AG8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-29432130</v>
      </c>
      <c r="AH82" s="13">
        <f>IFERROR(AG82/(Z82+Table5[[#This Row],[Rider Penalty (Claim, Other Denda to Riders)]]),0)</f>
        <v>-1.5521335149562001</v>
      </c>
      <c r="AI82" s="62">
        <f t="shared" si="18"/>
        <v>-638100</v>
      </c>
      <c r="AJ82" s="60">
        <f t="shared" si="19"/>
        <v>-2.7777777777777776E-2</v>
      </c>
      <c r="AV82" s="109">
        <f>Table5[[#This Row],[Total Selling Comission/Sales (Weekly)]]/Table5[[#This Row],[Total Revenue Sharing % (Weekly)]]*100%</f>
        <v>0.44796615612921803</v>
      </c>
      <c r="AW82" s="109">
        <f>Table5[[#This Row],[Total Daily Incentive (Weekly)]]/Table5[[#This Row],[Total Revenue Sharing % (Weekly)]]*100%</f>
        <v>1.8694920518901381</v>
      </c>
      <c r="AX82" s="109">
        <f t="shared" si="13"/>
        <v>2.3174582080193562</v>
      </c>
    </row>
    <row r="83" spans="1:50" hidden="1">
      <c r="A83">
        <v>2024</v>
      </c>
      <c r="B83" t="s">
        <v>23</v>
      </c>
      <c r="C83" t="s">
        <v>23</v>
      </c>
      <c r="D83" t="s">
        <v>168</v>
      </c>
      <c r="E83" t="s">
        <v>28</v>
      </c>
      <c r="F83" t="s">
        <v>25</v>
      </c>
      <c r="G83">
        <v>48</v>
      </c>
      <c r="H83" t="s">
        <v>36</v>
      </c>
      <c r="I83" t="s">
        <v>279</v>
      </c>
      <c r="J83" t="s">
        <v>307</v>
      </c>
      <c r="K83" s="106">
        <v>236</v>
      </c>
      <c r="L83" s="106">
        <v>67407</v>
      </c>
      <c r="M83" s="106">
        <v>592460000</v>
      </c>
      <c r="N83" s="106">
        <v>67407000</v>
      </c>
      <c r="O83" s="61">
        <v>52050000</v>
      </c>
      <c r="P83" s="61">
        <v>37875000</v>
      </c>
      <c r="Q83" s="61"/>
      <c r="R83" s="61">
        <v>3400000</v>
      </c>
      <c r="S83" s="61"/>
      <c r="T83" s="61">
        <f t="shared" si="14"/>
        <v>160732000</v>
      </c>
      <c r="U83" s="61"/>
      <c r="V83" s="61">
        <v>53113500</v>
      </c>
      <c r="W83" s="61"/>
      <c r="X83" s="61"/>
      <c r="Y83" s="61">
        <f t="shared" si="15"/>
        <v>53113500</v>
      </c>
      <c r="Z83" s="76">
        <f>23%*Table5[[#This Row],[Total Selling (Clients Revenue)]]</f>
        <v>136265800</v>
      </c>
      <c r="AA83" s="61">
        <v>28710000</v>
      </c>
      <c r="AB83" s="61">
        <v>30336000</v>
      </c>
      <c r="AC83" s="61"/>
      <c r="AD83" s="61"/>
      <c r="AE83" s="61">
        <f t="shared" si="16"/>
        <v>195311800</v>
      </c>
      <c r="AF83" s="61">
        <f t="shared" si="17"/>
        <v>-18533700</v>
      </c>
      <c r="AG8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-24466200</v>
      </c>
      <c r="AH83" s="13">
        <f>IFERROR(AG83/(Z83+Table5[[#This Row],[Rider Penalty (Claim, Other Denda to Riders)]]),0)</f>
        <v>-0.17954761943202183</v>
      </c>
      <c r="AI83" s="62">
        <f t="shared" si="18"/>
        <v>5932500</v>
      </c>
      <c r="AJ83" s="60">
        <f t="shared" si="19"/>
        <v>0.1004725129560004</v>
      </c>
      <c r="AK83" s="105" t="s">
        <v>308</v>
      </c>
      <c r="AV83" s="109">
        <f>Table5[[#This Row],[Total Selling Comission/Sales (Weekly)]]/Table5[[#This Row],[Total Revenue Sharing % (Weekly)]]*100%</f>
        <v>0.49467291132477847</v>
      </c>
      <c r="AW83" s="109">
        <f>Table5[[#This Row],[Total Daily Incentive (Weekly)]]/Table5[[#This Row],[Total Revenue Sharing % (Weekly)]]*100%</f>
        <v>0.38197405365102616</v>
      </c>
      <c r="AX83" s="109">
        <f t="shared" si="13"/>
        <v>0.87664696497580463</v>
      </c>
    </row>
    <row r="84" spans="1:50" hidden="1">
      <c r="A84">
        <v>2024</v>
      </c>
      <c r="B84" t="s">
        <v>23</v>
      </c>
      <c r="C84" t="s">
        <v>172</v>
      </c>
      <c r="D84" t="s">
        <v>168</v>
      </c>
      <c r="E84" t="s">
        <v>28</v>
      </c>
      <c r="F84" t="s">
        <v>31</v>
      </c>
      <c r="G84">
        <v>48</v>
      </c>
      <c r="H84" s="41" t="s">
        <v>36</v>
      </c>
      <c r="I84" t="s">
        <v>279</v>
      </c>
      <c r="J84" t="s">
        <v>307</v>
      </c>
      <c r="K84" s="104">
        <v>12</v>
      </c>
      <c r="L84" s="104">
        <v>4016</v>
      </c>
      <c r="M84" s="104">
        <v>35574000</v>
      </c>
      <c r="N84" s="104">
        <v>4016000</v>
      </c>
      <c r="O84" s="55">
        <v>3550000</v>
      </c>
      <c r="P84" s="55">
        <v>2625000</v>
      </c>
      <c r="Q84" s="55"/>
      <c r="R84" s="55">
        <v>0</v>
      </c>
      <c r="S84" s="55"/>
      <c r="T84" s="55">
        <f t="shared" si="14"/>
        <v>10191000</v>
      </c>
      <c r="U84" s="55"/>
      <c r="V84" s="55">
        <v>2797200</v>
      </c>
      <c r="W84" s="61"/>
      <c r="X84" s="55"/>
      <c r="Y84" s="55">
        <f t="shared" si="15"/>
        <v>2797200</v>
      </c>
      <c r="Z84" s="55">
        <f>23%*M84</f>
        <v>8182020</v>
      </c>
      <c r="AA84" s="55">
        <v>1512000</v>
      </c>
      <c r="AB84" s="55">
        <v>1728000</v>
      </c>
      <c r="AC84" s="55"/>
      <c r="AD84" s="55"/>
      <c r="AE84" s="55">
        <f t="shared" si="16"/>
        <v>11422020</v>
      </c>
      <c r="AF84" s="55">
        <f t="shared" si="17"/>
        <v>-1566180</v>
      </c>
      <c r="AG8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-2008980</v>
      </c>
      <c r="AH84" s="59">
        <f>IFERROR(AG84/(Z84+Table5[[#This Row],[Rider Penalty (Claim, Other Denda to Riders)]]),0)</f>
        <v>-0.24553594344672833</v>
      </c>
      <c r="AI84" s="56">
        <f t="shared" si="18"/>
        <v>442800</v>
      </c>
      <c r="AJ84" s="60">
        <f t="shared" si="19"/>
        <v>0.13666666666666666</v>
      </c>
      <c r="AK84" s="105" t="s">
        <v>308</v>
      </c>
      <c r="AV84" s="109">
        <f>Table5[[#This Row],[Total Selling Comission/Sales (Weekly)]]/Table5[[#This Row],[Total Revenue Sharing % (Weekly)]]*100%</f>
        <v>0.49083233724679237</v>
      </c>
      <c r="AW84" s="109">
        <f>Table5[[#This Row],[Total Daily Incentive (Weekly)]]/Table5[[#This Row],[Total Revenue Sharing % (Weekly)]]*100%</f>
        <v>0.43387818656028709</v>
      </c>
      <c r="AX84" s="109">
        <f t="shared" si="13"/>
        <v>0.92471052380707941</v>
      </c>
    </row>
    <row r="85" spans="1:50" hidden="1">
      <c r="A85">
        <v>2024</v>
      </c>
      <c r="B85" t="s">
        <v>23</v>
      </c>
      <c r="C85" t="s">
        <v>174</v>
      </c>
      <c r="D85" t="s">
        <v>168</v>
      </c>
      <c r="E85" t="s">
        <v>24</v>
      </c>
      <c r="F85" t="s">
        <v>24</v>
      </c>
      <c r="G85">
        <v>47</v>
      </c>
      <c r="H85" t="s">
        <v>36</v>
      </c>
      <c r="I85" t="s">
        <v>278</v>
      </c>
      <c r="J85" t="s">
        <v>309</v>
      </c>
      <c r="K85" s="42">
        <v>36</v>
      </c>
      <c r="L85" s="42">
        <v>8696</v>
      </c>
      <c r="M85" s="42">
        <v>85181000</v>
      </c>
      <c r="N85" s="42">
        <v>7240500</v>
      </c>
      <c r="O85" s="61">
        <v>0</v>
      </c>
      <c r="P85" s="61">
        <v>0</v>
      </c>
      <c r="Q85" s="61"/>
      <c r="R85" s="61">
        <v>0</v>
      </c>
      <c r="S85" s="61"/>
      <c r="T85" s="61">
        <f t="shared" si="14"/>
        <v>7240500</v>
      </c>
      <c r="U85" s="61"/>
      <c r="V85" s="61">
        <v>0</v>
      </c>
      <c r="W85" s="61"/>
      <c r="X85" s="61"/>
      <c r="Y85" s="61">
        <f t="shared" si="15"/>
        <v>0</v>
      </c>
      <c r="Z85" s="76">
        <f>21%*Table5[[#This Row],[Total Selling (Clients Revenue)]]</f>
        <v>17888010</v>
      </c>
      <c r="AA85" s="61">
        <v>0</v>
      </c>
      <c r="AB85" s="61">
        <v>0</v>
      </c>
      <c r="AC85" s="61"/>
      <c r="AD85" s="61"/>
      <c r="AE85" s="61">
        <f t="shared" si="16"/>
        <v>17888010</v>
      </c>
      <c r="AF85" s="61">
        <f t="shared" si="17"/>
        <v>10647510</v>
      </c>
      <c r="AG8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10647510</v>
      </c>
      <c r="AH85" s="13">
        <f>IFERROR(AG85/(Z85+Table5[[#This Row],[Rider Penalty (Claim, Other Denda to Riders)]]),0)</f>
        <v>0.59523166635081259</v>
      </c>
      <c r="AI85" s="62">
        <f t="shared" si="18"/>
        <v>0</v>
      </c>
      <c r="AJ85" s="60">
        <f t="shared" si="19"/>
        <v>0</v>
      </c>
      <c r="AV85" s="109">
        <f>Table5[[#This Row],[Total Selling Comission/Sales (Weekly)]]/Table5[[#This Row],[Total Revenue Sharing % (Weekly)]]*100%</f>
        <v>0.40476833364918735</v>
      </c>
      <c r="AW85" s="109">
        <f>Table5[[#This Row],[Total Daily Incentive (Weekly)]]/Table5[[#This Row],[Total Revenue Sharing % (Weekly)]]*100%</f>
        <v>0</v>
      </c>
      <c r="AX85" s="109">
        <f t="shared" si="13"/>
        <v>0.40476833364918735</v>
      </c>
    </row>
    <row r="86" spans="1:50" hidden="1">
      <c r="A86">
        <v>2024</v>
      </c>
      <c r="B86" t="s">
        <v>23</v>
      </c>
      <c r="C86" t="s">
        <v>23</v>
      </c>
      <c r="D86" t="s">
        <v>168</v>
      </c>
      <c r="E86" t="s">
        <v>28</v>
      </c>
      <c r="F86" t="s">
        <v>25</v>
      </c>
      <c r="G86">
        <v>47</v>
      </c>
      <c r="H86" t="s">
        <v>36</v>
      </c>
      <c r="I86" t="s">
        <v>278</v>
      </c>
      <c r="J86" t="s">
        <v>309</v>
      </c>
      <c r="K86" s="106">
        <v>235</v>
      </c>
      <c r="L86" s="106">
        <v>61770</v>
      </c>
      <c r="M86" s="106">
        <v>543788000</v>
      </c>
      <c r="N86" s="106">
        <v>61770000</v>
      </c>
      <c r="O86" s="61">
        <v>50740000</v>
      </c>
      <c r="P86" s="61"/>
      <c r="Q86" s="61"/>
      <c r="R86" s="61"/>
      <c r="S86" s="61"/>
      <c r="T86" s="61">
        <f t="shared" si="14"/>
        <v>112510000</v>
      </c>
      <c r="U86" s="61"/>
      <c r="V86" s="61">
        <v>51981300</v>
      </c>
      <c r="W86" s="61"/>
      <c r="X86" s="61"/>
      <c r="Y86" s="61">
        <f t="shared" si="15"/>
        <v>51981300</v>
      </c>
      <c r="Z86" s="76">
        <f>23%*Table5[[#This Row],[Total Selling (Clients Revenue)]]</f>
        <v>125071240</v>
      </c>
      <c r="AA86" s="61">
        <v>28098000</v>
      </c>
      <c r="AB86" s="61">
        <v>30312000</v>
      </c>
      <c r="AC86" s="61"/>
      <c r="AD86" s="61"/>
      <c r="AE86" s="61">
        <f t="shared" si="16"/>
        <v>183481240</v>
      </c>
      <c r="AF86" s="61">
        <f t="shared" si="17"/>
        <v>18989940</v>
      </c>
      <c r="AG8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12561240</v>
      </c>
      <c r="AH86" s="13">
        <f>IFERROR(AG86/(Z86+Table5[[#This Row],[Rider Penalty (Claim, Other Denda to Riders)]]),0)</f>
        <v>0.10043268140621298</v>
      </c>
      <c r="AI86" s="62">
        <f t="shared" si="18"/>
        <v>6428700</v>
      </c>
      <c r="AJ86" s="60">
        <f t="shared" si="19"/>
        <v>0.11006163328197227</v>
      </c>
      <c r="AK86" s="88" t="s">
        <v>308</v>
      </c>
      <c r="AV86" s="109">
        <f>Table5[[#This Row],[Total Selling Comission/Sales (Weekly)]]/Table5[[#This Row],[Total Revenue Sharing % (Weekly)]]*100%</f>
        <v>0.49387852874889543</v>
      </c>
      <c r="AW86" s="109">
        <f>Table5[[#This Row],[Total Daily Incentive (Weekly)]]/Table5[[#This Row],[Total Revenue Sharing % (Weekly)]]*100%</f>
        <v>0.4056887898448916</v>
      </c>
      <c r="AX86" s="109">
        <f t="shared" si="13"/>
        <v>0.89956731859378702</v>
      </c>
    </row>
    <row r="87" spans="1:50" hidden="1">
      <c r="A87">
        <v>2024</v>
      </c>
      <c r="B87" t="s">
        <v>23</v>
      </c>
      <c r="C87" t="s">
        <v>172</v>
      </c>
      <c r="D87" t="s">
        <v>168</v>
      </c>
      <c r="E87" t="s">
        <v>28</v>
      </c>
      <c r="F87" t="s">
        <v>31</v>
      </c>
      <c r="G87">
        <v>47</v>
      </c>
      <c r="H87" t="s">
        <v>36</v>
      </c>
      <c r="I87" t="s">
        <v>278</v>
      </c>
      <c r="J87" t="s">
        <v>309</v>
      </c>
      <c r="K87" s="104">
        <v>12</v>
      </c>
      <c r="L87" s="104">
        <v>3903</v>
      </c>
      <c r="M87" s="104">
        <v>34504000</v>
      </c>
      <c r="N87" s="104">
        <v>3903000</v>
      </c>
      <c r="O87" s="55">
        <v>3375000</v>
      </c>
      <c r="P87" s="55"/>
      <c r="Q87" s="55"/>
      <c r="R87" s="55"/>
      <c r="S87" s="55"/>
      <c r="T87" s="55">
        <f t="shared" si="14"/>
        <v>7278000</v>
      </c>
      <c r="U87" s="55"/>
      <c r="V87" s="55">
        <v>2797200</v>
      </c>
      <c r="W87" s="61"/>
      <c r="X87" s="55"/>
      <c r="Y87" s="55">
        <f t="shared" si="15"/>
        <v>2797200</v>
      </c>
      <c r="Z87" s="55">
        <f>23%*M87</f>
        <v>7935920</v>
      </c>
      <c r="AA87" s="55">
        <v>1512000</v>
      </c>
      <c r="AB87" s="55">
        <v>1728000</v>
      </c>
      <c r="AC87" s="55"/>
      <c r="AD87" s="55"/>
      <c r="AE87" s="55">
        <f t="shared" si="16"/>
        <v>11175920</v>
      </c>
      <c r="AF87" s="55">
        <f t="shared" si="17"/>
        <v>1100720</v>
      </c>
      <c r="AG8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657920</v>
      </c>
      <c r="AH87" s="59">
        <f>IFERROR(AG87/(Z87+Table5[[#This Row],[Rider Penalty (Claim, Other Denda to Riders)]]),0)</f>
        <v>8.2904061532878354E-2</v>
      </c>
      <c r="AI87" s="56">
        <f t="shared" si="18"/>
        <v>442800</v>
      </c>
      <c r="AJ87" s="60">
        <f t="shared" si="19"/>
        <v>0.13666666666666666</v>
      </c>
      <c r="AK87" s="88" t="s">
        <v>308</v>
      </c>
      <c r="AV87" s="109">
        <f>Table5[[#This Row],[Total Selling Comission/Sales (Weekly)]]/Table5[[#This Row],[Total Revenue Sharing % (Weekly)]]*100%</f>
        <v>0.49181443361324206</v>
      </c>
      <c r="AW87" s="109">
        <f>Table5[[#This Row],[Total Daily Incentive (Weekly)]]/Table5[[#This Row],[Total Revenue Sharing % (Weekly)]]*100%</f>
        <v>0.42528150485387956</v>
      </c>
      <c r="AX87" s="109">
        <f t="shared" si="13"/>
        <v>0.91709593846712167</v>
      </c>
    </row>
    <row r="88" spans="1:50" hidden="1">
      <c r="A88">
        <v>2024</v>
      </c>
      <c r="B88" t="s">
        <v>23</v>
      </c>
      <c r="C88" t="s">
        <v>174</v>
      </c>
      <c r="D88" t="s">
        <v>168</v>
      </c>
      <c r="E88" t="s">
        <v>24</v>
      </c>
      <c r="F88" t="s">
        <v>24</v>
      </c>
      <c r="G88">
        <v>46</v>
      </c>
      <c r="H88" t="s">
        <v>36</v>
      </c>
      <c r="I88" t="s">
        <v>256</v>
      </c>
      <c r="J88" t="s">
        <v>310</v>
      </c>
      <c r="K88" s="42">
        <v>36</v>
      </c>
      <c r="L88" s="42">
        <v>8503</v>
      </c>
      <c r="M88" s="42">
        <v>77914000</v>
      </c>
      <c r="N88" s="42">
        <v>5772800</v>
      </c>
      <c r="O88" s="61">
        <v>0</v>
      </c>
      <c r="P88" s="61">
        <v>0</v>
      </c>
      <c r="Q88" s="61"/>
      <c r="R88" s="61">
        <v>0</v>
      </c>
      <c r="S88" s="61"/>
      <c r="T88" s="61">
        <f t="shared" si="14"/>
        <v>5772800</v>
      </c>
      <c r="U88" s="61"/>
      <c r="V88" s="61">
        <v>0</v>
      </c>
      <c r="W88" s="61"/>
      <c r="X88" s="61"/>
      <c r="Y88" s="61">
        <f t="shared" si="15"/>
        <v>0</v>
      </c>
      <c r="Z88" s="76">
        <f>21%*Table5[[#This Row],[Total Selling (Clients Revenue)]]</f>
        <v>16361940</v>
      </c>
      <c r="AA88" s="61">
        <v>0</v>
      </c>
      <c r="AB88" s="61">
        <v>0</v>
      </c>
      <c r="AC88" s="61"/>
      <c r="AD88" s="61"/>
      <c r="AE88" s="61">
        <f t="shared" si="16"/>
        <v>16361940</v>
      </c>
      <c r="AF88" s="61">
        <f t="shared" si="17"/>
        <v>10589140</v>
      </c>
      <c r="AG8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10589140</v>
      </c>
      <c r="AH88" s="13">
        <f>IFERROR(AG88/(Z88+Table5[[#This Row],[Rider Penalty (Claim, Other Denda to Riders)]]),0)</f>
        <v>0.64718120222907549</v>
      </c>
      <c r="AI88" s="62">
        <f t="shared" si="18"/>
        <v>0</v>
      </c>
      <c r="AJ88" s="60">
        <f t="shared" si="19"/>
        <v>0</v>
      </c>
      <c r="AV88" s="109">
        <f>Table5[[#This Row],[Total Selling Comission/Sales (Weekly)]]/Table5[[#This Row],[Total Revenue Sharing % (Weekly)]]*100%</f>
        <v>0.35281879777092445</v>
      </c>
      <c r="AW88" s="109">
        <f>Table5[[#This Row],[Total Daily Incentive (Weekly)]]/Table5[[#This Row],[Total Revenue Sharing % (Weekly)]]*100%</f>
        <v>0</v>
      </c>
      <c r="AX88" s="109">
        <f t="shared" si="13"/>
        <v>0.35281879777092445</v>
      </c>
    </row>
    <row r="89" spans="1:50" hidden="1">
      <c r="A89">
        <v>2024</v>
      </c>
      <c r="B89" t="s">
        <v>23</v>
      </c>
      <c r="C89" t="s">
        <v>23</v>
      </c>
      <c r="D89" t="s">
        <v>168</v>
      </c>
      <c r="E89" t="s">
        <v>28</v>
      </c>
      <c r="F89" t="s">
        <v>25</v>
      </c>
      <c r="G89">
        <v>46</v>
      </c>
      <c r="H89" t="s">
        <v>36</v>
      </c>
      <c r="I89" t="s">
        <v>256</v>
      </c>
      <c r="J89" t="s">
        <v>310</v>
      </c>
      <c r="K89" s="104">
        <v>228</v>
      </c>
      <c r="L89" s="104">
        <v>61158</v>
      </c>
      <c r="M89" s="104">
        <v>539497000</v>
      </c>
      <c r="N89" s="104">
        <v>61158000</v>
      </c>
      <c r="O89" s="55">
        <v>48850000</v>
      </c>
      <c r="P89" s="55">
        <v>0</v>
      </c>
      <c r="Q89" s="55"/>
      <c r="R89" s="55">
        <v>0</v>
      </c>
      <c r="S89" s="55"/>
      <c r="T89" s="55">
        <f t="shared" si="14"/>
        <v>110008000</v>
      </c>
      <c r="U89" s="55"/>
      <c r="V89" s="55">
        <v>53146800</v>
      </c>
      <c r="W89" s="61"/>
      <c r="X89" s="55"/>
      <c r="Y89" s="55">
        <f t="shared" si="15"/>
        <v>53146800</v>
      </c>
      <c r="Z89" s="55">
        <f>23%*M89</f>
        <v>124084310</v>
      </c>
      <c r="AA89" s="55">
        <v>22122000</v>
      </c>
      <c r="AB89" s="55">
        <v>29472000</v>
      </c>
      <c r="AC89" s="55"/>
      <c r="AD89" s="55"/>
      <c r="AE89" s="55">
        <f t="shared" si="16"/>
        <v>175678310</v>
      </c>
      <c r="AF89" s="55">
        <f t="shared" si="17"/>
        <v>12523510</v>
      </c>
      <c r="AG8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14076310</v>
      </c>
      <c r="AH89" s="59">
        <f>IFERROR(AG89/(Z89+Table5[[#This Row],[Rider Penalty (Claim, Other Denda to Riders)]]),0)</f>
        <v>0.11344149796215171</v>
      </c>
      <c r="AI89" s="56">
        <f t="shared" si="18"/>
        <v>-1552800</v>
      </c>
      <c r="AJ89" s="60">
        <f t="shared" si="19"/>
        <v>-3.0096522851494358E-2</v>
      </c>
      <c r="AK89" s="88" t="s">
        <v>308</v>
      </c>
      <c r="AV89" s="109">
        <f>Table5[[#This Row],[Total Selling Comission/Sales (Weekly)]]/Table5[[#This Row],[Total Revenue Sharing % (Weekly)]]*100%</f>
        <v>0.49287456246482736</v>
      </c>
      <c r="AW89" s="109">
        <f>Table5[[#This Row],[Total Daily Incentive (Weekly)]]/Table5[[#This Row],[Total Revenue Sharing % (Weekly)]]*100%</f>
        <v>0.39368393957302095</v>
      </c>
      <c r="AX89" s="109">
        <f t="shared" si="13"/>
        <v>0.88655850203784825</v>
      </c>
    </row>
    <row r="90" spans="1:50" hidden="1">
      <c r="A90">
        <v>2024</v>
      </c>
      <c r="B90" t="s">
        <v>23</v>
      </c>
      <c r="C90" t="s">
        <v>172</v>
      </c>
      <c r="D90" t="s">
        <v>168</v>
      </c>
      <c r="E90" t="s">
        <v>28</v>
      </c>
      <c r="F90" t="s">
        <v>31</v>
      </c>
      <c r="G90">
        <v>46</v>
      </c>
      <c r="H90" t="s">
        <v>36</v>
      </c>
      <c r="I90" t="s">
        <v>256</v>
      </c>
      <c r="J90" t="s">
        <v>310</v>
      </c>
      <c r="K90" s="104">
        <v>12</v>
      </c>
      <c r="L90" s="104">
        <v>4365</v>
      </c>
      <c r="M90" s="104">
        <v>38972000</v>
      </c>
      <c r="N90" s="104">
        <v>4365000</v>
      </c>
      <c r="O90" s="55">
        <v>3600000</v>
      </c>
      <c r="P90" s="55">
        <v>0</v>
      </c>
      <c r="Q90" s="55"/>
      <c r="R90" s="55">
        <v>0</v>
      </c>
      <c r="S90" s="55"/>
      <c r="T90" s="55">
        <f t="shared" si="14"/>
        <v>7965000</v>
      </c>
      <c r="U90" s="55"/>
      <c r="V90" s="55">
        <v>2797200</v>
      </c>
      <c r="W90" s="61">
        <v>0</v>
      </c>
      <c r="X90" s="55">
        <v>0</v>
      </c>
      <c r="Y90" s="55">
        <f t="shared" si="15"/>
        <v>2797200</v>
      </c>
      <c r="Z90" s="55">
        <f>23%*M90</f>
        <v>8963560</v>
      </c>
      <c r="AA90" s="55">
        <v>1368000</v>
      </c>
      <c r="AB90" s="55">
        <v>1824000</v>
      </c>
      <c r="AC90" s="55"/>
      <c r="AD90" s="55"/>
      <c r="AE90" s="55">
        <f t="shared" si="16"/>
        <v>12155560</v>
      </c>
      <c r="AF90" s="55">
        <f t="shared" si="17"/>
        <v>1393360</v>
      </c>
      <c r="AG9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998560</v>
      </c>
      <c r="AH90" s="59">
        <f>IFERROR(AG90/(Z90+Table5[[#This Row],[Rider Penalty (Claim, Other Denda to Riders)]]),0)</f>
        <v>0.11140216610364632</v>
      </c>
      <c r="AI90" s="56">
        <f t="shared" si="18"/>
        <v>394800</v>
      </c>
      <c r="AJ90" s="60">
        <f t="shared" si="19"/>
        <v>0.12368421052631579</v>
      </c>
      <c r="AK90" s="88" t="s">
        <v>308</v>
      </c>
      <c r="AV90" s="109">
        <f>Table5[[#This Row],[Total Selling Comission/Sales (Weekly)]]/Table5[[#This Row],[Total Revenue Sharing % (Weekly)]]*100%</f>
        <v>0.48697169428218251</v>
      </c>
      <c r="AW90" s="109">
        <f>Table5[[#This Row],[Total Daily Incentive (Weekly)]]/Table5[[#This Row],[Total Revenue Sharing % (Weekly)]]*100%</f>
        <v>0.40162613961417115</v>
      </c>
      <c r="AX90" s="109">
        <f t="shared" si="13"/>
        <v>0.88859783389635372</v>
      </c>
    </row>
    <row r="91" spans="1:50" hidden="1">
      <c r="A91">
        <v>2024</v>
      </c>
      <c r="B91" t="s">
        <v>23</v>
      </c>
      <c r="C91" t="s">
        <v>23</v>
      </c>
      <c r="D91" t="s">
        <v>168</v>
      </c>
      <c r="E91" t="s">
        <v>28</v>
      </c>
      <c r="F91" t="s">
        <v>25</v>
      </c>
      <c r="G91">
        <v>45</v>
      </c>
      <c r="H91" t="s">
        <v>36</v>
      </c>
      <c r="I91" t="s">
        <v>256</v>
      </c>
      <c r="J91" t="s">
        <v>311</v>
      </c>
      <c r="K91" s="42">
        <v>227</v>
      </c>
      <c r="L91" s="42">
        <v>62942</v>
      </c>
      <c r="M91" s="42">
        <v>556074000</v>
      </c>
      <c r="N91" s="42">
        <v>62915000</v>
      </c>
      <c r="O91" s="61">
        <v>49200000</v>
      </c>
      <c r="P91" s="61"/>
      <c r="Q91" s="61"/>
      <c r="R91" s="61"/>
      <c r="S91" s="61"/>
      <c r="T91" s="61">
        <f t="shared" si="14"/>
        <v>112115000</v>
      </c>
      <c r="U91" s="61"/>
      <c r="V91" s="61">
        <v>49150800</v>
      </c>
      <c r="W91" s="61"/>
      <c r="X91" s="61"/>
      <c r="Y91" s="61">
        <f t="shared" si="15"/>
        <v>49150800</v>
      </c>
      <c r="Z91" s="48">
        <f>23%*M91</f>
        <v>127897020</v>
      </c>
      <c r="AA91" s="61">
        <v>26568000</v>
      </c>
      <c r="AB91" s="61">
        <v>28728000</v>
      </c>
      <c r="AC91" s="61"/>
      <c r="AD91" s="61"/>
      <c r="AE91" s="61">
        <f t="shared" si="16"/>
        <v>183193020</v>
      </c>
      <c r="AF91" s="61">
        <f t="shared" si="17"/>
        <v>21927220</v>
      </c>
      <c r="AG9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15782020</v>
      </c>
      <c r="AH91" s="13">
        <f>IFERROR(AG91/(Z91+Table5[[#This Row],[Rider Penalty (Claim, Other Denda to Riders)]]),0)</f>
        <v>0.12339630743546644</v>
      </c>
      <c r="AI91" s="62">
        <f t="shared" si="18"/>
        <v>6145200</v>
      </c>
      <c r="AJ91" s="60">
        <f t="shared" si="19"/>
        <v>0.1111328125</v>
      </c>
      <c r="AK91" s="88" t="s">
        <v>308</v>
      </c>
      <c r="AV91" s="109">
        <f>Table5[[#This Row],[Total Selling Comission/Sales (Weekly)]]/Table5[[#This Row],[Total Revenue Sharing % (Weekly)]]*100%</f>
        <v>0.4919192018703798</v>
      </c>
      <c r="AW91" s="109">
        <f>Table5[[#This Row],[Total Daily Incentive (Weekly)]]/Table5[[#This Row],[Total Revenue Sharing % (Weekly)]]*100%</f>
        <v>0.38468449069415378</v>
      </c>
      <c r="AX91" s="109">
        <f t="shared" si="13"/>
        <v>0.87660369256453352</v>
      </c>
    </row>
    <row r="92" spans="1:50" hidden="1">
      <c r="A92">
        <v>2024</v>
      </c>
      <c r="B92" t="s">
        <v>23</v>
      </c>
      <c r="C92" t="s">
        <v>172</v>
      </c>
      <c r="D92" t="s">
        <v>168</v>
      </c>
      <c r="E92" t="s">
        <v>28</v>
      </c>
      <c r="F92" t="s">
        <v>31</v>
      </c>
      <c r="G92">
        <v>45</v>
      </c>
      <c r="H92" t="s">
        <v>36</v>
      </c>
      <c r="I92" t="s">
        <v>256</v>
      </c>
      <c r="J92" t="s">
        <v>311</v>
      </c>
      <c r="K92" s="104">
        <v>12</v>
      </c>
      <c r="L92" s="104">
        <v>4516</v>
      </c>
      <c r="M92" s="104">
        <v>40458000</v>
      </c>
      <c r="N92" s="104">
        <v>4516000</v>
      </c>
      <c r="O92" s="55">
        <v>3500000</v>
      </c>
      <c r="P92" s="55"/>
      <c r="Q92" s="55"/>
      <c r="R92" s="55"/>
      <c r="S92" s="55"/>
      <c r="T92" s="55">
        <f t="shared" si="14"/>
        <v>8016000</v>
      </c>
      <c r="U92" s="55"/>
      <c r="V92" s="55">
        <v>2797200</v>
      </c>
      <c r="W92" s="61"/>
      <c r="X92" s="55"/>
      <c r="Y92" s="55">
        <f t="shared" si="15"/>
        <v>2797200</v>
      </c>
      <c r="Z92" s="55">
        <f>23%*M92</f>
        <v>9305340</v>
      </c>
      <c r="AA92" s="55">
        <v>1512000</v>
      </c>
      <c r="AB92" s="55">
        <v>1704000</v>
      </c>
      <c r="AC92" s="55"/>
      <c r="AD92" s="55"/>
      <c r="AE92" s="55">
        <f t="shared" si="16"/>
        <v>12521340</v>
      </c>
      <c r="AF92" s="55">
        <f t="shared" si="17"/>
        <v>1708140</v>
      </c>
      <c r="AG9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1289340</v>
      </c>
      <c r="AH92" s="59">
        <f>IFERROR(AG92/(Z92+Table5[[#This Row],[Rider Penalty (Claim, Other Denda to Riders)]]),0)</f>
        <v>0.13855914990747248</v>
      </c>
      <c r="AI92" s="56">
        <f t="shared" si="18"/>
        <v>418800</v>
      </c>
      <c r="AJ92" s="60">
        <f t="shared" si="19"/>
        <v>0.13022388059701492</v>
      </c>
      <c r="AK92" s="88" t="s">
        <v>308</v>
      </c>
      <c r="AV92" s="109">
        <f>Table5[[#This Row],[Total Selling Comission/Sales (Weekly)]]/Table5[[#This Row],[Total Revenue Sharing % (Weekly)]]*100%</f>
        <v>0.48531273440841494</v>
      </c>
      <c r="AW92" s="109">
        <f>Table5[[#This Row],[Total Daily Incentive (Weekly)]]/Table5[[#This Row],[Total Revenue Sharing % (Weekly)]]*100%</f>
        <v>0.37612811568411259</v>
      </c>
      <c r="AX92" s="109">
        <f t="shared" si="13"/>
        <v>0.86144085009252747</v>
      </c>
    </row>
    <row r="93" spans="1:50" hidden="1">
      <c r="A93">
        <v>2024</v>
      </c>
      <c r="B93" t="s">
        <v>23</v>
      </c>
      <c r="C93" t="s">
        <v>174</v>
      </c>
      <c r="D93" t="s">
        <v>168</v>
      </c>
      <c r="E93" t="s">
        <v>24</v>
      </c>
      <c r="F93" t="s">
        <v>24</v>
      </c>
      <c r="G93">
        <v>45</v>
      </c>
      <c r="H93" t="s">
        <v>36</v>
      </c>
      <c r="I93" t="s">
        <v>275</v>
      </c>
      <c r="J93" t="s">
        <v>311</v>
      </c>
      <c r="K93" s="42">
        <v>25</v>
      </c>
      <c r="L93" s="42">
        <v>7216</v>
      </c>
      <c r="M93" s="42">
        <v>66424000</v>
      </c>
      <c r="N93" s="42">
        <v>5772800</v>
      </c>
      <c r="O93" s="61">
        <v>0</v>
      </c>
      <c r="P93" s="61">
        <v>0</v>
      </c>
      <c r="Q93" s="61"/>
      <c r="R93" s="61">
        <v>0</v>
      </c>
      <c r="S93" s="61"/>
      <c r="T93" s="61">
        <f t="shared" si="14"/>
        <v>5772800</v>
      </c>
      <c r="U93" s="61"/>
      <c r="V93" s="61">
        <v>0</v>
      </c>
      <c r="W93" s="61"/>
      <c r="X93" s="61"/>
      <c r="Y93" s="61">
        <f t="shared" si="15"/>
        <v>0</v>
      </c>
      <c r="Z93" s="76">
        <f>21%*Table5[[#This Row],[Total Selling (Clients Revenue)]]</f>
        <v>13949040</v>
      </c>
      <c r="AA93" s="61">
        <v>0</v>
      </c>
      <c r="AB93" s="61">
        <v>0</v>
      </c>
      <c r="AC93" s="61"/>
      <c r="AD93" s="61"/>
      <c r="AE93" s="61">
        <f t="shared" si="16"/>
        <v>13949040</v>
      </c>
      <c r="AF93" s="61">
        <f t="shared" si="17"/>
        <v>8176240</v>
      </c>
      <c r="AG9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8176240</v>
      </c>
      <c r="AH93" s="13">
        <f>IFERROR(AG93/(Z93+Table5[[#This Row],[Rider Penalty (Claim, Other Denda to Riders)]]),0)</f>
        <v>0.58615073151987518</v>
      </c>
      <c r="AI93" s="62">
        <f t="shared" si="18"/>
        <v>0</v>
      </c>
      <c r="AJ93" s="60">
        <f t="shared" si="19"/>
        <v>0</v>
      </c>
      <c r="AV93" s="109">
        <f>Table5[[#This Row],[Total Selling Comission/Sales (Weekly)]]/Table5[[#This Row],[Total Revenue Sharing % (Weekly)]]*100%</f>
        <v>0.41384926848012482</v>
      </c>
      <c r="AW93" s="109">
        <f>Table5[[#This Row],[Total Daily Incentive (Weekly)]]/Table5[[#This Row],[Total Revenue Sharing % (Weekly)]]*100%</f>
        <v>0</v>
      </c>
      <c r="AX93" s="109">
        <f t="shared" si="13"/>
        <v>0.41384926848012482</v>
      </c>
    </row>
    <row r="94" spans="1:50" hidden="1">
      <c r="A94">
        <v>2024</v>
      </c>
      <c r="B94" t="s">
        <v>23</v>
      </c>
      <c r="C94" t="s">
        <v>23</v>
      </c>
      <c r="D94" t="s">
        <v>168</v>
      </c>
      <c r="E94" t="s">
        <v>28</v>
      </c>
      <c r="F94" t="s">
        <v>25</v>
      </c>
      <c r="G94">
        <v>44</v>
      </c>
      <c r="H94" t="s">
        <v>36</v>
      </c>
      <c r="I94" t="s">
        <v>275</v>
      </c>
      <c r="J94" t="s">
        <v>312</v>
      </c>
      <c r="K94" s="1">
        <v>224</v>
      </c>
      <c r="L94" s="1">
        <v>65466</v>
      </c>
      <c r="M94" s="1">
        <v>577687000</v>
      </c>
      <c r="N94" s="1">
        <v>65443500</v>
      </c>
      <c r="O94" s="61">
        <v>50550000</v>
      </c>
      <c r="P94" s="61"/>
      <c r="Q94" s="61"/>
      <c r="R94" s="61"/>
      <c r="S94" s="61"/>
      <c r="T94" s="61">
        <f t="shared" si="14"/>
        <v>115993500</v>
      </c>
      <c r="U94" s="61"/>
      <c r="V94" s="61">
        <v>49250700</v>
      </c>
      <c r="W94" s="61"/>
      <c r="X94" s="61"/>
      <c r="Y94" s="61">
        <f t="shared" si="15"/>
        <v>49250700</v>
      </c>
      <c r="Z94" s="1">
        <f>23%*Table5[[#This Row],[Total Selling (Clients Revenue)]]</f>
        <v>132868010</v>
      </c>
      <c r="AA94" s="61">
        <v>26622000</v>
      </c>
      <c r="AB94" s="61">
        <v>19488000</v>
      </c>
      <c r="AC94" s="61"/>
      <c r="AD94" s="61"/>
      <c r="AE94" s="61">
        <f t="shared" si="16"/>
        <v>178978010</v>
      </c>
      <c r="AF94" s="61">
        <f t="shared" si="17"/>
        <v>13733810</v>
      </c>
      <c r="AG9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16874510</v>
      </c>
      <c r="AH94" s="13">
        <f>IFERROR(AG94/(Z94+Table5[[#This Row],[Rider Penalty (Claim, Other Denda to Riders)]]),0)</f>
        <v>0.1270020526385546</v>
      </c>
      <c r="AI94" s="62">
        <f t="shared" si="18"/>
        <v>-3140700</v>
      </c>
      <c r="AJ94" s="60">
        <f t="shared" si="19"/>
        <v>-6.8113207547169805E-2</v>
      </c>
      <c r="AK94" s="88" t="s">
        <v>308</v>
      </c>
      <c r="AV94" s="109">
        <f>Table5[[#This Row],[Total Selling Comission/Sales (Weekly)]]/Table5[[#This Row],[Total Revenue Sharing % (Weekly)]]*100%</f>
        <v>0.49254519579242589</v>
      </c>
      <c r="AW94" s="109">
        <f>Table5[[#This Row],[Total Daily Incentive (Weekly)]]/Table5[[#This Row],[Total Revenue Sharing % (Weekly)]]*100%</f>
        <v>0.38045275156901953</v>
      </c>
      <c r="AX94" s="109">
        <f t="shared" si="13"/>
        <v>0.87299794736144543</v>
      </c>
    </row>
    <row r="95" spans="1:50" hidden="1">
      <c r="A95">
        <v>2024</v>
      </c>
      <c r="B95" t="s">
        <v>23</v>
      </c>
      <c r="C95" t="s">
        <v>172</v>
      </c>
      <c r="D95" t="s">
        <v>168</v>
      </c>
      <c r="E95" t="s">
        <v>28</v>
      </c>
      <c r="F95" t="s">
        <v>31</v>
      </c>
      <c r="G95" s="41">
        <v>44</v>
      </c>
      <c r="H95" t="s">
        <v>36</v>
      </c>
      <c r="I95" t="s">
        <v>275</v>
      </c>
      <c r="J95" t="s">
        <v>312</v>
      </c>
      <c r="K95" s="55">
        <v>10</v>
      </c>
      <c r="L95" s="55">
        <v>3485</v>
      </c>
      <c r="M95" s="55">
        <v>30712000</v>
      </c>
      <c r="N95" s="55">
        <v>3485000</v>
      </c>
      <c r="O95" s="55">
        <v>2750000</v>
      </c>
      <c r="P95" s="55"/>
      <c r="Q95" s="55"/>
      <c r="R95" s="55"/>
      <c r="S95" s="55"/>
      <c r="T95" s="55">
        <f t="shared" si="14"/>
        <v>6235000</v>
      </c>
      <c r="U95" s="55"/>
      <c r="V95" s="55">
        <v>1565100</v>
      </c>
      <c r="W95" s="61"/>
      <c r="X95" s="55"/>
      <c r="Y95" s="55">
        <f t="shared" si="15"/>
        <v>1565100</v>
      </c>
      <c r="Z95" s="55">
        <f>23%*M95</f>
        <v>7063760</v>
      </c>
      <c r="AA95" s="55">
        <v>1188000</v>
      </c>
      <c r="AB95" s="55">
        <v>984000</v>
      </c>
      <c r="AC95" s="55"/>
      <c r="AD95" s="55"/>
      <c r="AE95" s="55">
        <f t="shared" si="16"/>
        <v>9235760</v>
      </c>
      <c r="AF95" s="55">
        <f t="shared" si="17"/>
        <v>1435660</v>
      </c>
      <c r="AG9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828760</v>
      </c>
      <c r="AH95" s="59">
        <f>IFERROR(AG95/(Z95+Table5[[#This Row],[Rider Penalty (Claim, Other Denda to Riders)]]),0)</f>
        <v>0.11732561695187832</v>
      </c>
      <c r="AI95" s="56">
        <f t="shared" si="18"/>
        <v>606900</v>
      </c>
      <c r="AJ95" s="60">
        <f t="shared" si="19"/>
        <v>0.27941988950276242</v>
      </c>
      <c r="AK95" s="88" t="s">
        <v>308</v>
      </c>
      <c r="AV95" s="109">
        <f>Table5[[#This Row],[Total Selling Comission/Sales (Weekly)]]/Table5[[#This Row],[Total Revenue Sharing % (Weekly)]]*100%</f>
        <v>0.49336330792665661</v>
      </c>
      <c r="AW95" s="109">
        <f>Table5[[#This Row],[Total Daily Incentive (Weekly)]]/Table5[[#This Row],[Total Revenue Sharing % (Weekly)]]*100%</f>
        <v>0.38931107512146507</v>
      </c>
      <c r="AX95" s="109">
        <f t="shared" si="13"/>
        <v>0.88267438304812174</v>
      </c>
    </row>
    <row r="96" spans="1:50" hidden="1">
      <c r="A96">
        <v>2024</v>
      </c>
      <c r="B96" t="s">
        <v>23</v>
      </c>
      <c r="C96" t="s">
        <v>174</v>
      </c>
      <c r="D96" t="s">
        <v>168</v>
      </c>
      <c r="E96" t="s">
        <v>24</v>
      </c>
      <c r="F96" t="s">
        <v>24</v>
      </c>
      <c r="G96">
        <v>44</v>
      </c>
      <c r="H96" t="s">
        <v>36</v>
      </c>
      <c r="I96" t="s">
        <v>280</v>
      </c>
      <c r="J96" s="34" t="s">
        <v>312</v>
      </c>
      <c r="K96" s="1">
        <v>25</v>
      </c>
      <c r="L96" s="1">
        <v>7612</v>
      </c>
      <c r="M96" s="1">
        <v>69652000</v>
      </c>
      <c r="N96" s="1">
        <v>6225600</v>
      </c>
      <c r="O96" s="61">
        <v>2004000</v>
      </c>
      <c r="P96" s="61">
        <v>0</v>
      </c>
      <c r="Q96" s="61"/>
      <c r="R96" s="61">
        <v>0</v>
      </c>
      <c r="S96" s="61"/>
      <c r="T96" s="61">
        <f t="shared" si="14"/>
        <v>8229600</v>
      </c>
      <c r="U96" s="61"/>
      <c r="V96" s="61">
        <v>2597400</v>
      </c>
      <c r="W96" s="61"/>
      <c r="X96" s="61"/>
      <c r="Y96" s="61">
        <f t="shared" si="15"/>
        <v>2597400</v>
      </c>
      <c r="Z96" s="76">
        <f>21%*Table5[[#This Row],[Total Selling (Clients Revenue)]]</f>
        <v>14626920</v>
      </c>
      <c r="AA96" s="61">
        <v>1296000</v>
      </c>
      <c r="AB96" s="61">
        <v>1036800</v>
      </c>
      <c r="AC96" s="61"/>
      <c r="AD96" s="61"/>
      <c r="AE96" s="61">
        <f t="shared" si="16"/>
        <v>16959720</v>
      </c>
      <c r="AF96" s="61">
        <f t="shared" si="17"/>
        <v>6132720</v>
      </c>
      <c r="AG9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6397320</v>
      </c>
      <c r="AH96" s="13">
        <f>IFERROR(AG96/(Z96+Table5[[#This Row],[Rider Penalty (Claim, Other Denda to Riders)]]),0)</f>
        <v>0.43736617141544493</v>
      </c>
      <c r="AI96" s="62">
        <f t="shared" si="18"/>
        <v>-264600</v>
      </c>
      <c r="AJ96" s="60">
        <f t="shared" si="19"/>
        <v>-0.11342592592592593</v>
      </c>
      <c r="AV96" s="109">
        <f>Table5[[#This Row],[Total Selling Comission/Sales (Weekly)]]/Table5[[#This Row],[Total Revenue Sharing % (Weekly)]]*100%</f>
        <v>0.42562617420482235</v>
      </c>
      <c r="AW96" s="109">
        <f>Table5[[#This Row],[Total Daily Incentive (Weekly)]]/Table5[[#This Row],[Total Revenue Sharing % (Weekly)]]*100%</f>
        <v>0.13700765437973272</v>
      </c>
      <c r="AX96" s="109">
        <f t="shared" si="13"/>
        <v>0.56263382858455502</v>
      </c>
    </row>
    <row r="97" spans="1:50" hidden="1">
      <c r="A97">
        <v>2024</v>
      </c>
      <c r="B97" t="s">
        <v>23</v>
      </c>
      <c r="C97" t="s">
        <v>174</v>
      </c>
      <c r="D97" t="s">
        <v>168</v>
      </c>
      <c r="E97" t="s">
        <v>24</v>
      </c>
      <c r="F97" t="s">
        <v>24</v>
      </c>
      <c r="G97">
        <v>43</v>
      </c>
      <c r="H97" t="s">
        <v>165</v>
      </c>
      <c r="I97" t="s">
        <v>279</v>
      </c>
      <c r="J97" t="s">
        <v>313</v>
      </c>
      <c r="K97" s="1">
        <v>22</v>
      </c>
      <c r="L97" s="1">
        <v>6963</v>
      </c>
      <c r="M97" s="1">
        <v>73460000</v>
      </c>
      <c r="N97" s="1">
        <v>6369600</v>
      </c>
      <c r="O97" s="61">
        <v>27972385</v>
      </c>
      <c r="P97" s="61">
        <v>4336537</v>
      </c>
      <c r="Q97" s="61"/>
      <c r="R97" s="61">
        <v>200000</v>
      </c>
      <c r="S97" s="61"/>
      <c r="T97" s="61">
        <f t="shared" si="14"/>
        <v>38878522</v>
      </c>
      <c r="U97" s="61"/>
      <c r="V97" s="61">
        <v>21012300</v>
      </c>
      <c r="W97" s="61"/>
      <c r="X97" s="61"/>
      <c r="Y97" s="61">
        <f t="shared" si="15"/>
        <v>21012300</v>
      </c>
      <c r="Z97" s="76">
        <f>21%*Table5[[#This Row],[Total Selling (Clients Revenue)]]</f>
        <v>15426600</v>
      </c>
      <c r="AA97" s="61">
        <v>10062000</v>
      </c>
      <c r="AB97" s="61">
        <v>9086400</v>
      </c>
      <c r="AC97" s="61"/>
      <c r="AD97" s="61"/>
      <c r="AE97" s="61">
        <f t="shared" si="16"/>
        <v>34575000</v>
      </c>
      <c r="AF97" s="61">
        <f t="shared" si="17"/>
        <v>-25315822</v>
      </c>
      <c r="AG9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-23451922</v>
      </c>
      <c r="AH97" s="13">
        <f>IFERROR(AG97/(Z97+Table5[[#This Row],[Rider Penalty (Claim, Other Denda to Riders)]]),0)</f>
        <v>-1.5202262326112039</v>
      </c>
      <c r="AI97" s="62">
        <f t="shared" si="18"/>
        <v>-1863900</v>
      </c>
      <c r="AJ97" s="60">
        <f t="shared" si="19"/>
        <v>-9.7339725512314346E-2</v>
      </c>
      <c r="AV97" s="109">
        <f>Table5[[#This Row],[Total Selling Comission/Sales (Weekly)]]/Table5[[#This Row],[Total Revenue Sharing % (Weekly)]]*100%</f>
        <v>0.41289720353156234</v>
      </c>
      <c r="AW97" s="109">
        <f>Table5[[#This Row],[Total Daily Incentive (Weekly)]]/Table5[[#This Row],[Total Revenue Sharing % (Weekly)]]*100%</f>
        <v>1.813256647608676</v>
      </c>
      <c r="AX97" s="109">
        <f t="shared" si="13"/>
        <v>2.2261538511402383</v>
      </c>
    </row>
    <row r="98" spans="1:50" hidden="1">
      <c r="A98">
        <v>2024</v>
      </c>
      <c r="B98" t="s">
        <v>23</v>
      </c>
      <c r="C98" t="s">
        <v>23</v>
      </c>
      <c r="D98" t="s">
        <v>168</v>
      </c>
      <c r="E98" t="s">
        <v>28</v>
      </c>
      <c r="F98" t="s">
        <v>25</v>
      </c>
      <c r="G98">
        <v>43</v>
      </c>
      <c r="H98" t="s">
        <v>165</v>
      </c>
      <c r="I98" t="s">
        <v>279</v>
      </c>
      <c r="J98" t="s">
        <v>314</v>
      </c>
      <c r="K98" s="1">
        <v>208</v>
      </c>
      <c r="L98" s="1">
        <v>61209</v>
      </c>
      <c r="M98" s="1">
        <v>541260000</v>
      </c>
      <c r="N98" s="1">
        <v>61187000</v>
      </c>
      <c r="O98" s="61">
        <v>47300000</v>
      </c>
      <c r="P98" s="61">
        <v>25875000</v>
      </c>
      <c r="Q98" s="61"/>
      <c r="R98" s="61">
        <v>3700000</v>
      </c>
      <c r="S98" s="61"/>
      <c r="T98" s="61">
        <f t="shared" si="14"/>
        <v>138062000</v>
      </c>
      <c r="U98" s="61"/>
      <c r="V98" s="61">
        <v>45487800</v>
      </c>
      <c r="W98" s="61"/>
      <c r="X98" s="61"/>
      <c r="Y98" s="61">
        <f t="shared" si="15"/>
        <v>45487800</v>
      </c>
      <c r="Z98" s="1">
        <f>23%*Table5[[#This Row],[Total Selling (Clients Revenue)]]</f>
        <v>124489800</v>
      </c>
      <c r="AA98" s="61">
        <v>24588000</v>
      </c>
      <c r="AB98" s="61">
        <v>18936000</v>
      </c>
      <c r="AC98" s="61"/>
      <c r="AD98" s="61"/>
      <c r="AE98" s="61">
        <f t="shared" si="16"/>
        <v>168013800</v>
      </c>
      <c r="AF98" s="61">
        <f t="shared" si="17"/>
        <v>-15536000</v>
      </c>
      <c r="AG9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-13572200</v>
      </c>
      <c r="AH98" s="13">
        <f>IFERROR(AG98/(Z98+Table5[[#This Row],[Rider Penalty (Claim, Other Denda to Riders)]]),0)</f>
        <v>-0.10902258658942339</v>
      </c>
      <c r="AI98" s="62">
        <f t="shared" si="18"/>
        <v>-1963800</v>
      </c>
      <c r="AJ98" s="60">
        <f t="shared" si="19"/>
        <v>-4.5119933829611249E-2</v>
      </c>
      <c r="AK98" s="105" t="s">
        <v>315</v>
      </c>
      <c r="AV98" s="109">
        <f>Table5[[#This Row],[Total Selling Comission/Sales (Weekly)]]/Table5[[#This Row],[Total Revenue Sharing % (Weekly)]]*100%</f>
        <v>0.49150211503271751</v>
      </c>
      <c r="AW98" s="109">
        <f>Table5[[#This Row],[Total Daily Incentive (Weekly)]]/Table5[[#This Row],[Total Revenue Sharing % (Weekly)]]*100%</f>
        <v>0.37995080721472763</v>
      </c>
      <c r="AX98" s="109">
        <f t="shared" si="13"/>
        <v>0.87145292224744519</v>
      </c>
    </row>
    <row r="99" spans="1:50" hidden="1">
      <c r="A99">
        <v>2024</v>
      </c>
      <c r="B99" t="s">
        <v>23</v>
      </c>
      <c r="C99" t="s">
        <v>172</v>
      </c>
      <c r="D99" t="s">
        <v>168</v>
      </c>
      <c r="E99" t="s">
        <v>28</v>
      </c>
      <c r="F99" s="41" t="s">
        <v>31</v>
      </c>
      <c r="G99">
        <v>43</v>
      </c>
      <c r="H99" t="s">
        <v>165</v>
      </c>
      <c r="I99" t="s">
        <v>279</v>
      </c>
      <c r="J99" t="s">
        <v>314</v>
      </c>
      <c r="K99" s="55">
        <v>12</v>
      </c>
      <c r="L99" s="55">
        <v>3563</v>
      </c>
      <c r="M99" s="55">
        <v>31750000</v>
      </c>
      <c r="N99" s="55">
        <v>3563000</v>
      </c>
      <c r="O99" s="55">
        <v>2500000</v>
      </c>
      <c r="P99" s="55"/>
      <c r="Q99" s="55"/>
      <c r="R99" s="55"/>
      <c r="S99" s="55"/>
      <c r="T99" s="55">
        <f t="shared" si="14"/>
        <v>6063000</v>
      </c>
      <c r="U99" s="55"/>
      <c r="V99" s="55">
        <v>2697300</v>
      </c>
      <c r="W99" s="61"/>
      <c r="X99" s="55"/>
      <c r="Y99" s="55">
        <f t="shared" si="15"/>
        <v>2697300</v>
      </c>
      <c r="Z99" s="55">
        <f>23%*M99</f>
        <v>7302500</v>
      </c>
      <c r="AA99" s="55">
        <v>1458000</v>
      </c>
      <c r="AB99" s="55">
        <v>1320000</v>
      </c>
      <c r="AC99" s="55"/>
      <c r="AD99" s="55"/>
      <c r="AE99" s="55">
        <f t="shared" si="16"/>
        <v>10080500</v>
      </c>
      <c r="AF99" s="55">
        <f t="shared" si="17"/>
        <v>1320200</v>
      </c>
      <c r="AG9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1239500</v>
      </c>
      <c r="AH99" s="59">
        <f>IFERROR(AG99/(Z99+Table5[[#This Row],[Rider Penalty (Claim, Other Denda to Riders)]]),0)</f>
        <v>0.16973639164669635</v>
      </c>
      <c r="AI99" s="56">
        <f t="shared" si="18"/>
        <v>80700</v>
      </c>
      <c r="AJ99" s="60">
        <f t="shared" si="19"/>
        <v>2.9049676025917927E-2</v>
      </c>
      <c r="AK99" s="88" t="s">
        <v>315</v>
      </c>
      <c r="AV99" s="109">
        <f>Table5[[#This Row],[Total Selling Comission/Sales (Weekly)]]/Table5[[#This Row],[Total Revenue Sharing % (Weekly)]]*100%</f>
        <v>0.48791509756932555</v>
      </c>
      <c r="AW99" s="109">
        <f>Table5[[#This Row],[Total Daily Incentive (Weekly)]]/Table5[[#This Row],[Total Revenue Sharing % (Weekly)]]*100%</f>
        <v>0.3423485107839781</v>
      </c>
      <c r="AX99" s="109">
        <f t="shared" si="13"/>
        <v>0.83026360835330371</v>
      </c>
    </row>
    <row r="100" spans="1:50" hidden="1">
      <c r="A100">
        <v>2024</v>
      </c>
      <c r="B100" t="s">
        <v>23</v>
      </c>
      <c r="C100" t="s">
        <v>174</v>
      </c>
      <c r="D100" t="s">
        <v>168</v>
      </c>
      <c r="E100" t="s">
        <v>24</v>
      </c>
      <c r="F100" t="s">
        <v>24</v>
      </c>
      <c r="G100">
        <v>42</v>
      </c>
      <c r="H100" t="s">
        <v>165</v>
      </c>
      <c r="I100" t="s">
        <v>278</v>
      </c>
      <c r="J100" t="s">
        <v>316</v>
      </c>
      <c r="K100" s="76">
        <v>26</v>
      </c>
      <c r="L100" s="76">
        <v>8176</v>
      </c>
      <c r="M100" s="76">
        <v>74132000</v>
      </c>
      <c r="N100" s="76">
        <v>6816000</v>
      </c>
      <c r="O100" s="61">
        <v>0</v>
      </c>
      <c r="P100" s="61">
        <v>0</v>
      </c>
      <c r="Q100" s="61"/>
      <c r="R100" s="61">
        <v>0</v>
      </c>
      <c r="S100" s="61"/>
      <c r="T100" s="61">
        <f t="shared" si="14"/>
        <v>6816000</v>
      </c>
      <c r="U100" s="61"/>
      <c r="V100" s="61">
        <v>0</v>
      </c>
      <c r="W100" s="61"/>
      <c r="X100" s="61"/>
      <c r="Y100" s="61">
        <f t="shared" si="15"/>
        <v>0</v>
      </c>
      <c r="Z100" s="76">
        <f>21%*Table5[[#This Row],[Total Selling (Clients Revenue)]]</f>
        <v>15567720</v>
      </c>
      <c r="AA100" s="61">
        <v>0</v>
      </c>
      <c r="AB100" s="61">
        <v>0</v>
      </c>
      <c r="AC100" s="61"/>
      <c r="AD100" s="61"/>
      <c r="AE100" s="61">
        <f t="shared" si="16"/>
        <v>15567720</v>
      </c>
      <c r="AF100" s="61">
        <f t="shared" si="17"/>
        <v>8751720</v>
      </c>
      <c r="AG10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8751720</v>
      </c>
      <c r="AH100" s="13">
        <f>IFERROR(AG100/(Z100+Table5[[#This Row],[Rider Penalty (Claim, Other Denda to Riders)]]),0)</f>
        <v>0.56217095374274462</v>
      </c>
      <c r="AI100" s="62">
        <f t="shared" si="18"/>
        <v>0</v>
      </c>
      <c r="AJ100" s="60">
        <f t="shared" si="19"/>
        <v>0</v>
      </c>
      <c r="AV100" s="109">
        <f>Table5[[#This Row],[Total Selling Comission/Sales (Weekly)]]/Table5[[#This Row],[Total Revenue Sharing % (Weekly)]]*100%</f>
        <v>0.43782904625725538</v>
      </c>
      <c r="AW100" s="109">
        <f>Table5[[#This Row],[Total Daily Incentive (Weekly)]]/Table5[[#This Row],[Total Revenue Sharing % (Weekly)]]*100%</f>
        <v>0</v>
      </c>
      <c r="AX100" s="109">
        <f t="shared" si="13"/>
        <v>0.43782904625725538</v>
      </c>
    </row>
    <row r="101" spans="1:50" hidden="1">
      <c r="A101">
        <v>2024</v>
      </c>
      <c r="B101" t="s">
        <v>23</v>
      </c>
      <c r="C101" t="s">
        <v>23</v>
      </c>
      <c r="D101" t="s">
        <v>168</v>
      </c>
      <c r="E101" t="s">
        <v>28</v>
      </c>
      <c r="F101" t="s">
        <v>25</v>
      </c>
      <c r="G101">
        <v>42</v>
      </c>
      <c r="H101" t="s">
        <v>165</v>
      </c>
      <c r="I101" t="s">
        <v>278</v>
      </c>
      <c r="J101" t="s">
        <v>316</v>
      </c>
      <c r="K101" s="76">
        <v>199</v>
      </c>
      <c r="L101" s="76">
        <v>58648</v>
      </c>
      <c r="M101" s="76">
        <v>518067000</v>
      </c>
      <c r="N101" s="76">
        <v>58648000</v>
      </c>
      <c r="O101" s="61">
        <v>45250000</v>
      </c>
      <c r="P101" s="61">
        <v>0</v>
      </c>
      <c r="Q101" s="61"/>
      <c r="R101" s="61">
        <v>0</v>
      </c>
      <c r="S101" s="61"/>
      <c r="T101" s="61">
        <f t="shared" si="14"/>
        <v>103898000</v>
      </c>
      <c r="U101" s="61"/>
      <c r="V101" s="61">
        <v>44788500</v>
      </c>
      <c r="W101" s="61"/>
      <c r="X101" s="61"/>
      <c r="Y101" s="61">
        <f t="shared" si="15"/>
        <v>44788500</v>
      </c>
      <c r="Z101" s="1">
        <f>23%*Table5[[#This Row],[Total Selling (Clients Revenue)]]</f>
        <v>119155410</v>
      </c>
      <c r="AA101" s="61">
        <v>24210000</v>
      </c>
      <c r="AB101" s="61">
        <v>25824000</v>
      </c>
      <c r="AC101" s="61"/>
      <c r="AD101" s="61"/>
      <c r="AE101" s="61">
        <f t="shared" si="16"/>
        <v>169189410</v>
      </c>
      <c r="AF101" s="61">
        <f t="shared" si="17"/>
        <v>20502910</v>
      </c>
      <c r="AG10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15257410</v>
      </c>
      <c r="AH101" s="13">
        <f>IFERROR(AG101/(Z101+Table5[[#This Row],[Rider Penalty (Claim, Other Denda to Riders)]]),0)</f>
        <v>0.1280463052411972</v>
      </c>
      <c r="AI101" s="62">
        <f t="shared" si="18"/>
        <v>5245500</v>
      </c>
      <c r="AJ101" s="60">
        <f t="shared" si="19"/>
        <v>0.10483870967741936</v>
      </c>
      <c r="AK101" s="88" t="s">
        <v>315</v>
      </c>
      <c r="AV101" s="109">
        <f>Table5[[#This Row],[Total Selling Comission/Sales (Weekly)]]/Table5[[#This Row],[Total Revenue Sharing % (Weekly)]]*100%</f>
        <v>0.49219754268815824</v>
      </c>
      <c r="AW101" s="109">
        <f>Table5[[#This Row],[Total Daily Incentive (Weekly)]]/Table5[[#This Row],[Total Revenue Sharing % (Weekly)]]*100%</f>
        <v>0.37975615207064456</v>
      </c>
      <c r="AX101" s="109">
        <f t="shared" si="13"/>
        <v>0.8719536947588028</v>
      </c>
    </row>
    <row r="102" spans="1:50" hidden="1">
      <c r="A102">
        <v>2024</v>
      </c>
      <c r="B102" t="s">
        <v>23</v>
      </c>
      <c r="C102" t="s">
        <v>172</v>
      </c>
      <c r="D102" t="s">
        <v>168</v>
      </c>
      <c r="E102" t="s">
        <v>28</v>
      </c>
      <c r="F102" t="s">
        <v>31</v>
      </c>
      <c r="G102">
        <v>42</v>
      </c>
      <c r="H102" t="s">
        <v>165</v>
      </c>
      <c r="I102" t="s">
        <v>278</v>
      </c>
      <c r="J102" t="s">
        <v>316</v>
      </c>
      <c r="K102" s="55">
        <v>11</v>
      </c>
      <c r="L102" s="55">
        <v>3428</v>
      </c>
      <c r="M102" s="55">
        <v>30804000</v>
      </c>
      <c r="N102" s="55">
        <v>3428000</v>
      </c>
      <c r="O102" s="55">
        <v>2475000</v>
      </c>
      <c r="P102" s="55"/>
      <c r="Q102" s="55"/>
      <c r="R102" s="55"/>
      <c r="S102" s="55"/>
      <c r="T102" s="55">
        <f t="shared" si="14"/>
        <v>5903000</v>
      </c>
      <c r="U102" s="55"/>
      <c r="V102" s="55">
        <v>2131200</v>
      </c>
      <c r="W102" s="61"/>
      <c r="X102" s="55"/>
      <c r="Y102" s="55">
        <f t="shared" si="15"/>
        <v>2131200</v>
      </c>
      <c r="Z102" s="55">
        <f>23%*M102</f>
        <v>7084920</v>
      </c>
      <c r="AA102" s="55">
        <v>1152000</v>
      </c>
      <c r="AB102" s="55">
        <v>1344000</v>
      </c>
      <c r="AC102" s="55"/>
      <c r="AD102" s="55"/>
      <c r="AE102" s="55">
        <f t="shared" si="16"/>
        <v>9580920</v>
      </c>
      <c r="AF102" s="55">
        <f t="shared" si="17"/>
        <v>1546720</v>
      </c>
      <c r="AG10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1181920</v>
      </c>
      <c r="AH102" s="59">
        <f>IFERROR(AG102/(Z102+Table5[[#This Row],[Rider Penalty (Claim, Other Denda to Riders)]]),0)</f>
        <v>0.16682192600622167</v>
      </c>
      <c r="AI102" s="56">
        <f t="shared" si="18"/>
        <v>364800</v>
      </c>
      <c r="AJ102" s="60">
        <f t="shared" si="19"/>
        <v>0.14615384615384616</v>
      </c>
      <c r="AK102" s="88" t="s">
        <v>315</v>
      </c>
      <c r="AV102" s="109">
        <f>Table5[[#This Row],[Total Selling Comission/Sales (Weekly)]]/Table5[[#This Row],[Total Revenue Sharing % (Weekly)]]*100%</f>
        <v>0.48384455999503168</v>
      </c>
      <c r="AW102" s="109">
        <f>Table5[[#This Row],[Total Daily Incentive (Weekly)]]/Table5[[#This Row],[Total Revenue Sharing % (Weekly)]]*100%</f>
        <v>0.34933351399874663</v>
      </c>
      <c r="AX102" s="109">
        <f t="shared" si="13"/>
        <v>0.8331780739937783</v>
      </c>
    </row>
    <row r="103" spans="1:50" hidden="1">
      <c r="A103">
        <v>2024</v>
      </c>
      <c r="B103" t="s">
        <v>23</v>
      </c>
      <c r="C103" t="s">
        <v>174</v>
      </c>
      <c r="D103" t="s">
        <v>168</v>
      </c>
      <c r="E103" t="s">
        <v>24</v>
      </c>
      <c r="F103" t="s">
        <v>24</v>
      </c>
      <c r="G103">
        <v>41</v>
      </c>
      <c r="H103" t="s">
        <v>165</v>
      </c>
      <c r="I103" t="s">
        <v>256</v>
      </c>
      <c r="J103" t="s">
        <v>317</v>
      </c>
      <c r="K103" s="76">
        <v>25</v>
      </c>
      <c r="L103" s="76">
        <v>8088</v>
      </c>
      <c r="M103" s="76">
        <v>73300000</v>
      </c>
      <c r="N103" s="76">
        <v>6600000</v>
      </c>
      <c r="O103" s="61">
        <v>0</v>
      </c>
      <c r="P103" s="61">
        <v>0</v>
      </c>
      <c r="Q103" s="61"/>
      <c r="R103" s="61">
        <v>0</v>
      </c>
      <c r="S103" s="61"/>
      <c r="T103" s="61">
        <f t="shared" si="14"/>
        <v>6600000</v>
      </c>
      <c r="U103" s="61"/>
      <c r="V103" s="61">
        <v>0</v>
      </c>
      <c r="W103" s="61"/>
      <c r="X103" s="61"/>
      <c r="Y103" s="61">
        <f t="shared" si="15"/>
        <v>0</v>
      </c>
      <c r="Z103" s="76">
        <f>21%*Table5[[#This Row],[Total Selling (Clients Revenue)]]</f>
        <v>15393000</v>
      </c>
      <c r="AA103" s="61">
        <v>0</v>
      </c>
      <c r="AB103" s="61">
        <v>0</v>
      </c>
      <c r="AC103" s="61"/>
      <c r="AD103" s="61"/>
      <c r="AE103" s="61">
        <f t="shared" si="16"/>
        <v>15393000</v>
      </c>
      <c r="AF103" s="61">
        <f t="shared" si="17"/>
        <v>8793000</v>
      </c>
      <c r="AG10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8793000</v>
      </c>
      <c r="AH103" s="13">
        <f>IFERROR(AG103/(Z103+Table5[[#This Row],[Rider Penalty (Claim, Other Denda to Riders)]]),0)</f>
        <v>0.57123367764568311</v>
      </c>
      <c r="AI103" s="62">
        <f t="shared" si="18"/>
        <v>0</v>
      </c>
      <c r="AJ103" s="60">
        <f t="shared" si="19"/>
        <v>0</v>
      </c>
      <c r="AV103" s="109">
        <f>Table5[[#This Row],[Total Selling Comission/Sales (Weekly)]]/Table5[[#This Row],[Total Revenue Sharing % (Weekly)]]*100%</f>
        <v>0.42876632235431689</v>
      </c>
      <c r="AW103" s="109">
        <f>Table5[[#This Row],[Total Daily Incentive (Weekly)]]/Table5[[#This Row],[Total Revenue Sharing % (Weekly)]]*100%</f>
        <v>0</v>
      </c>
      <c r="AX103" s="109">
        <f t="shared" si="13"/>
        <v>0.42876632235431689</v>
      </c>
    </row>
    <row r="104" spans="1:50" hidden="1">
      <c r="A104">
        <v>2024</v>
      </c>
      <c r="B104" t="s">
        <v>23</v>
      </c>
      <c r="C104" t="s">
        <v>23</v>
      </c>
      <c r="D104" t="s">
        <v>168</v>
      </c>
      <c r="E104" t="s">
        <v>28</v>
      </c>
      <c r="F104" t="s">
        <v>25</v>
      </c>
      <c r="G104">
        <v>41</v>
      </c>
      <c r="H104" t="s">
        <v>165</v>
      </c>
      <c r="I104" t="s">
        <v>256</v>
      </c>
      <c r="J104" t="s">
        <v>318</v>
      </c>
      <c r="K104" s="76">
        <v>198</v>
      </c>
      <c r="L104" s="76">
        <v>59288</v>
      </c>
      <c r="M104" s="16">
        <v>526617000</v>
      </c>
      <c r="N104" s="76">
        <v>59288000</v>
      </c>
      <c r="O104" s="61">
        <v>45225000</v>
      </c>
      <c r="P104" s="61">
        <v>0</v>
      </c>
      <c r="Q104" s="61"/>
      <c r="R104" s="61">
        <v>0</v>
      </c>
      <c r="S104" s="61"/>
      <c r="T104" s="61">
        <f t="shared" si="14"/>
        <v>104513000</v>
      </c>
      <c r="U104" s="61"/>
      <c r="V104" s="61">
        <v>43656300</v>
      </c>
      <c r="W104" s="61"/>
      <c r="X104" s="61"/>
      <c r="Y104" s="61">
        <f t="shared" si="15"/>
        <v>43656300</v>
      </c>
      <c r="Z104" s="76">
        <f>23%*Table5[[#This Row],[Total Selling (Clients Revenue)]]</f>
        <v>121121910</v>
      </c>
      <c r="AA104" s="61">
        <v>23598000</v>
      </c>
      <c r="AB104" s="61">
        <v>24504000</v>
      </c>
      <c r="AC104" s="61"/>
      <c r="AD104" s="61"/>
      <c r="AE104" s="61">
        <f t="shared" si="16"/>
        <v>169223910</v>
      </c>
      <c r="AF104" s="61">
        <f t="shared" si="17"/>
        <v>21054610</v>
      </c>
      <c r="AG10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16608910</v>
      </c>
      <c r="AH104" s="13">
        <f>IFERROR(AG104/(Z104+Table5[[#This Row],[Rider Penalty (Claim, Other Denda to Riders)]]),0)</f>
        <v>0.1371255621712042</v>
      </c>
      <c r="AI104" s="62">
        <f t="shared" si="18"/>
        <v>4445700</v>
      </c>
      <c r="AJ104" s="60">
        <f t="shared" si="19"/>
        <v>9.2422352500935515E-2</v>
      </c>
      <c r="AK104" s="88" t="s">
        <v>315</v>
      </c>
      <c r="AV104" s="109">
        <f>Table5[[#This Row],[Total Selling Comission/Sales (Weekly)]]/Table5[[#This Row],[Total Revenue Sharing % (Weekly)]]*100%</f>
        <v>0.48949029948421385</v>
      </c>
      <c r="AW104" s="109">
        <f>Table5[[#This Row],[Total Daily Incentive (Weekly)]]/Table5[[#This Row],[Total Revenue Sharing % (Weekly)]]*100%</f>
        <v>0.3733841383445819</v>
      </c>
      <c r="AX104" s="109">
        <f t="shared" si="13"/>
        <v>0.8628744378287958</v>
      </c>
    </row>
    <row r="105" spans="1:50" hidden="1">
      <c r="A105">
        <v>2024</v>
      </c>
      <c r="B105" t="s">
        <v>23</v>
      </c>
      <c r="C105" t="s">
        <v>172</v>
      </c>
      <c r="D105" t="s">
        <v>168</v>
      </c>
      <c r="E105" t="s">
        <v>28</v>
      </c>
      <c r="F105" t="s">
        <v>31</v>
      </c>
      <c r="G105">
        <v>41</v>
      </c>
      <c r="H105" t="s">
        <v>165</v>
      </c>
      <c r="I105" t="s">
        <v>256</v>
      </c>
      <c r="J105" t="s">
        <v>318</v>
      </c>
      <c r="K105" s="55">
        <v>7</v>
      </c>
      <c r="L105" s="55">
        <v>532</v>
      </c>
      <c r="M105" s="54">
        <v>4918000</v>
      </c>
      <c r="N105" s="55">
        <v>532000</v>
      </c>
      <c r="O105" s="55">
        <v>650000</v>
      </c>
      <c r="P105" s="55"/>
      <c r="Q105" s="55"/>
      <c r="R105" s="55"/>
      <c r="S105" s="55"/>
      <c r="T105" s="55">
        <f t="shared" si="14"/>
        <v>1182000</v>
      </c>
      <c r="U105" s="55"/>
      <c r="V105" s="55">
        <v>432900</v>
      </c>
      <c r="W105" s="61"/>
      <c r="X105" s="55"/>
      <c r="Y105" s="55">
        <f t="shared" si="15"/>
        <v>432900</v>
      </c>
      <c r="Z105" s="55">
        <f>23%*M105</f>
        <v>1131140</v>
      </c>
      <c r="AA105" s="55">
        <v>234000</v>
      </c>
      <c r="AB105" s="55">
        <v>312000</v>
      </c>
      <c r="AC105" s="55"/>
      <c r="AD105" s="55"/>
      <c r="AE105" s="55">
        <f t="shared" si="16"/>
        <v>1677140</v>
      </c>
      <c r="AF105" s="55">
        <f t="shared" si="17"/>
        <v>62240</v>
      </c>
      <c r="AG10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-50860</v>
      </c>
      <c r="AH105" s="59">
        <f>IFERROR(AG105/(Z105+Table5[[#This Row],[Rider Penalty (Claim, Other Denda to Riders)]]),0)</f>
        <v>-4.4963488162384851E-2</v>
      </c>
      <c r="AI105" s="56">
        <f t="shared" si="18"/>
        <v>113100</v>
      </c>
      <c r="AJ105" s="60">
        <f t="shared" si="19"/>
        <v>0.20714285714285716</v>
      </c>
      <c r="AK105" s="88" t="s">
        <v>315</v>
      </c>
      <c r="AV105" s="109">
        <f>Table5[[#This Row],[Total Selling Comission/Sales (Weekly)]]/Table5[[#This Row],[Total Revenue Sharing % (Weekly)]]*100%</f>
        <v>0.47032197605955056</v>
      </c>
      <c r="AW105" s="109">
        <f>Table5[[#This Row],[Total Daily Incentive (Weekly)]]/Table5[[#This Row],[Total Revenue Sharing % (Weekly)]]*100%</f>
        <v>0.57464151210283432</v>
      </c>
      <c r="AX105" s="109">
        <f t="shared" si="13"/>
        <v>1.0449634881623848</v>
      </c>
    </row>
    <row r="106" spans="1:50" hidden="1">
      <c r="A106">
        <v>2024</v>
      </c>
      <c r="B106" t="s">
        <v>23</v>
      </c>
      <c r="C106" t="s">
        <v>174</v>
      </c>
      <c r="D106" t="s">
        <v>168</v>
      </c>
      <c r="E106" t="s">
        <v>24</v>
      </c>
      <c r="F106" t="s">
        <v>24</v>
      </c>
      <c r="G106">
        <v>40</v>
      </c>
      <c r="H106" t="s">
        <v>165</v>
      </c>
      <c r="I106" t="s">
        <v>275</v>
      </c>
      <c r="J106" t="s">
        <v>319</v>
      </c>
      <c r="K106" s="76">
        <v>25</v>
      </c>
      <c r="L106" s="76">
        <v>8057</v>
      </c>
      <c r="M106" s="76">
        <v>73340000</v>
      </c>
      <c r="N106" s="76">
        <v>6592400</v>
      </c>
      <c r="O106" s="61">
        <v>0</v>
      </c>
      <c r="P106" s="61">
        <v>0</v>
      </c>
      <c r="Q106" s="61"/>
      <c r="R106" s="61">
        <v>0</v>
      </c>
      <c r="S106" s="61"/>
      <c r="T106" s="61">
        <f t="shared" ref="T106:T107" si="20">SUM(N106:R106)</f>
        <v>6592400</v>
      </c>
      <c r="U106" s="61"/>
      <c r="V106" s="61">
        <v>0</v>
      </c>
      <c r="W106" s="61"/>
      <c r="X106" s="61"/>
      <c r="Y106" s="61">
        <f t="shared" ref="Y106:Y107" si="21">SUM(U106:X106)</f>
        <v>0</v>
      </c>
      <c r="Z106" s="76">
        <f>21%*Table5[[#This Row],[Total Selling (Clients Revenue)]]</f>
        <v>15401400</v>
      </c>
      <c r="AA106" s="61">
        <v>0</v>
      </c>
      <c r="AB106" s="61">
        <v>0</v>
      </c>
      <c r="AC106" s="61"/>
      <c r="AD106" s="61"/>
      <c r="AE106" s="61">
        <f t="shared" ref="AE106:AE107" si="22">SUM(Z106:AD106)</f>
        <v>15401400</v>
      </c>
      <c r="AF106" s="61">
        <f t="shared" ref="AF106:AF107" si="23">AE106-(T106+Y106)</f>
        <v>8809000</v>
      </c>
      <c r="AG10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8809000</v>
      </c>
      <c r="AH106" s="13">
        <f>IFERROR(AG106/(Z106+Table5[[#This Row],[Rider Penalty (Claim, Other Denda to Riders)]]),0)</f>
        <v>0.57196099055929983</v>
      </c>
      <c r="AI106" s="62">
        <f t="shared" ref="AI106:AI107" si="24">AA106+AB106-V106</f>
        <v>0</v>
      </c>
      <c r="AJ106" s="60">
        <f t="shared" ref="AJ106:AJ107" si="25">IFERROR(AI106/(AA106+AB106),0)</f>
        <v>0</v>
      </c>
      <c r="AV106" s="109">
        <f>Table5[[#This Row],[Total Selling Comission/Sales (Weekly)]]/Table5[[#This Row],[Total Revenue Sharing % (Weekly)]]*100%</f>
        <v>0.42803900944070017</v>
      </c>
      <c r="AW106" s="109">
        <f>Table5[[#This Row],[Total Daily Incentive (Weekly)]]/Table5[[#This Row],[Total Revenue Sharing % (Weekly)]]*100%</f>
        <v>0</v>
      </c>
      <c r="AX106" s="109">
        <f t="shared" si="13"/>
        <v>0.42803900944070017</v>
      </c>
    </row>
    <row r="107" spans="1:50" hidden="1">
      <c r="A107" s="23">
        <v>2024</v>
      </c>
      <c r="B107" s="41" t="s">
        <v>23</v>
      </c>
      <c r="C107" t="s">
        <v>23</v>
      </c>
      <c r="D107" t="s">
        <v>168</v>
      </c>
      <c r="E107" t="s">
        <v>28</v>
      </c>
      <c r="F107" t="s">
        <v>25</v>
      </c>
      <c r="G107">
        <v>40</v>
      </c>
      <c r="H107" s="41" t="s">
        <v>165</v>
      </c>
      <c r="I107" t="s">
        <v>275</v>
      </c>
      <c r="J107" s="58" t="s">
        <v>319</v>
      </c>
      <c r="K107" s="76">
        <v>191</v>
      </c>
      <c r="L107" s="76">
        <v>57329</v>
      </c>
      <c r="M107" s="76">
        <v>508867000</v>
      </c>
      <c r="N107" s="76">
        <v>57329000</v>
      </c>
      <c r="O107" s="61">
        <v>44225000</v>
      </c>
      <c r="P107" s="61">
        <v>0</v>
      </c>
      <c r="Q107" s="61"/>
      <c r="R107" s="61">
        <v>0</v>
      </c>
      <c r="S107" s="61"/>
      <c r="T107" s="61">
        <f t="shared" si="20"/>
        <v>101554000</v>
      </c>
      <c r="U107" s="61"/>
      <c r="V107" s="61">
        <v>42490800</v>
      </c>
      <c r="W107" s="61"/>
      <c r="X107" s="61"/>
      <c r="Y107" s="61">
        <f t="shared" si="21"/>
        <v>42490800</v>
      </c>
      <c r="Z107" s="76">
        <f>23%*Table5[[#This Row],[Total Selling (Clients Revenue)]]</f>
        <v>117039410</v>
      </c>
      <c r="AA107" s="61">
        <v>22968000</v>
      </c>
      <c r="AB107" s="61">
        <v>23928000</v>
      </c>
      <c r="AC107" s="61"/>
      <c r="AD107" s="61"/>
      <c r="AE107" s="61">
        <f t="shared" si="22"/>
        <v>163935410</v>
      </c>
      <c r="AF107" s="61">
        <f t="shared" si="23"/>
        <v>19890610</v>
      </c>
      <c r="AG10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15485410</v>
      </c>
      <c r="AH107" s="13">
        <f>IFERROR(AG107/(Z107+Table5[[#This Row],[Rider Penalty (Claim, Other Denda to Riders)]]),0)</f>
        <v>0.13230936485411196</v>
      </c>
      <c r="AI107" s="62">
        <f t="shared" si="24"/>
        <v>4405200</v>
      </c>
      <c r="AJ107" s="60">
        <f t="shared" si="25"/>
        <v>9.3935516888433976E-2</v>
      </c>
      <c r="AK107" s="88" t="s">
        <v>315</v>
      </c>
      <c r="AV107" s="109">
        <f>Table5[[#This Row],[Total Selling Comission/Sales (Weekly)]]/Table5[[#This Row],[Total Revenue Sharing % (Weekly)]]*100%</f>
        <v>0.48982646101855776</v>
      </c>
      <c r="AW107" s="109">
        <f>Table5[[#This Row],[Total Daily Incentive (Weekly)]]/Table5[[#This Row],[Total Revenue Sharing % (Weekly)]]*100%</f>
        <v>0.37786417412733025</v>
      </c>
      <c r="AX107" s="109">
        <f t="shared" si="13"/>
        <v>0.86769063514588807</v>
      </c>
    </row>
    <row r="108" spans="1:50" hidden="1">
      <c r="A108">
        <v>2025</v>
      </c>
      <c r="B108" t="s">
        <v>320</v>
      </c>
      <c r="C108" t="s">
        <v>276</v>
      </c>
      <c r="D108" t="s">
        <v>168</v>
      </c>
      <c r="E108" t="s">
        <v>24</v>
      </c>
      <c r="F108" t="s">
        <v>283</v>
      </c>
      <c r="G108">
        <v>36</v>
      </c>
      <c r="H108" t="s">
        <v>164</v>
      </c>
      <c r="I108" t="s">
        <v>275</v>
      </c>
      <c r="J108" s="185" t="s">
        <v>321</v>
      </c>
      <c r="K108">
        <v>3</v>
      </c>
      <c r="L108">
        <v>112</v>
      </c>
      <c r="M108">
        <v>486000</v>
      </c>
      <c r="N108">
        <v>97200</v>
      </c>
      <c r="O108">
        <v>450000</v>
      </c>
      <c r="P108">
        <v>0</v>
      </c>
      <c r="R108">
        <v>0</v>
      </c>
      <c r="T108">
        <f t="shared" ref="T108:T139" si="26">SUM(N108:R108)</f>
        <v>547200</v>
      </c>
      <c r="U108">
        <v>700000</v>
      </c>
      <c r="V108" s="76">
        <v>0</v>
      </c>
      <c r="W108" s="76">
        <v>0</v>
      </c>
      <c r="X108">
        <v>0</v>
      </c>
      <c r="Y108">
        <f t="shared" ref="Y108:Y139" si="27">SUM(U108:X108)</f>
        <v>700000</v>
      </c>
      <c r="Z108" s="12">
        <f>M108</f>
        <v>486000</v>
      </c>
      <c r="AA108">
        <v>0</v>
      </c>
      <c r="AB108">
        <v>0</v>
      </c>
      <c r="AD108">
        <v>0</v>
      </c>
      <c r="AE108">
        <f t="shared" ref="AE108:AE171" si="28">SUM(Z108:AD108)</f>
        <v>486000</v>
      </c>
      <c r="AF108" s="12">
        <f t="shared" ref="AF108:AF171" si="29">AE108-(T108+Y108)</f>
        <v>-761200</v>
      </c>
      <c r="AG108" s="4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-761200</v>
      </c>
      <c r="AH108">
        <f>IFERROR(AG108/(Z108+Table5[[#This Row],[Rider Penalty (Claim, Other Denda to Riders)]]),0)</f>
        <v>-1.5662551440329218</v>
      </c>
      <c r="AI108" s="12">
        <f t="shared" ref="AI108:AI148" si="30">AA108+AB108-V108</f>
        <v>0</v>
      </c>
      <c r="AJ108" s="41">
        <f t="shared" ref="AJ108:AJ171" si="31">IFERROR(AI108/(AA108+AB108),0)</f>
        <v>0</v>
      </c>
      <c r="AV108" s="109"/>
      <c r="AW108" s="109"/>
      <c r="AX108" s="109"/>
    </row>
    <row r="109" spans="1:50" hidden="1">
      <c r="A109">
        <v>2025</v>
      </c>
      <c r="B109" t="s">
        <v>320</v>
      </c>
      <c r="C109" t="s">
        <v>276</v>
      </c>
      <c r="D109" t="s">
        <v>168</v>
      </c>
      <c r="E109" t="s">
        <v>24</v>
      </c>
      <c r="F109" t="s">
        <v>283</v>
      </c>
      <c r="G109">
        <v>37</v>
      </c>
      <c r="H109" t="s">
        <v>164</v>
      </c>
      <c r="I109" t="s">
        <v>256</v>
      </c>
      <c r="J109" s="174" t="s">
        <v>322</v>
      </c>
      <c r="K109">
        <v>4</v>
      </c>
      <c r="L109">
        <v>112</v>
      </c>
      <c r="M109">
        <v>429000</v>
      </c>
      <c r="N109" s="16">
        <v>85800</v>
      </c>
      <c r="O109">
        <v>480000</v>
      </c>
      <c r="P109">
        <v>0</v>
      </c>
      <c r="R109">
        <v>0</v>
      </c>
      <c r="T109">
        <f t="shared" si="26"/>
        <v>565800</v>
      </c>
      <c r="U109">
        <v>740000</v>
      </c>
      <c r="V109" s="1">
        <v>0</v>
      </c>
      <c r="W109" s="1">
        <v>0</v>
      </c>
      <c r="X109">
        <v>0</v>
      </c>
      <c r="Y109">
        <f t="shared" si="27"/>
        <v>740000</v>
      </c>
      <c r="Z109" s="12">
        <f>Table5[[#This Row],[Total Selling (Clients Revenue)]]</f>
        <v>429000</v>
      </c>
      <c r="AA109">
        <v>0</v>
      </c>
      <c r="AB109">
        <v>0</v>
      </c>
      <c r="AC109">
        <v>0</v>
      </c>
      <c r="AD109">
        <v>0</v>
      </c>
      <c r="AE109">
        <f t="shared" si="28"/>
        <v>429000</v>
      </c>
      <c r="AF109" s="12">
        <f t="shared" si="29"/>
        <v>-876800</v>
      </c>
      <c r="AG109" s="4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-876800</v>
      </c>
      <c r="AH109">
        <f>IFERROR(AG109/(Z109+Table5[[#This Row],[Rider Penalty (Claim, Other Denda to Riders)]]),0)</f>
        <v>-2.0438228438228436</v>
      </c>
      <c r="AI109" s="12">
        <f t="shared" si="30"/>
        <v>0</v>
      </c>
      <c r="AJ109" s="41">
        <f t="shared" si="31"/>
        <v>0</v>
      </c>
      <c r="AV109" s="109"/>
      <c r="AW109" s="109"/>
      <c r="AX109" s="109"/>
    </row>
    <row r="110" spans="1:50" hidden="1">
      <c r="A110">
        <v>2024</v>
      </c>
      <c r="B110" t="s">
        <v>23</v>
      </c>
      <c r="C110" t="s">
        <v>174</v>
      </c>
      <c r="D110" t="s">
        <v>168</v>
      </c>
      <c r="E110" t="s">
        <v>24</v>
      </c>
      <c r="F110" t="s">
        <v>24</v>
      </c>
      <c r="G110">
        <v>39</v>
      </c>
      <c r="H110" t="s">
        <v>164</v>
      </c>
      <c r="I110" t="s">
        <v>279</v>
      </c>
      <c r="J110" t="s">
        <v>323</v>
      </c>
      <c r="K110" s="76">
        <v>23</v>
      </c>
      <c r="L110" s="76">
        <v>6005</v>
      </c>
      <c r="M110" s="76">
        <v>54370000</v>
      </c>
      <c r="N110" s="76">
        <v>3573600</v>
      </c>
      <c r="O110" s="61">
        <v>20600000</v>
      </c>
      <c r="P110" s="61">
        <v>1971155</v>
      </c>
      <c r="Q110" s="61"/>
      <c r="R110" s="61">
        <v>600000</v>
      </c>
      <c r="S110" s="61"/>
      <c r="T110" s="61">
        <f t="shared" si="26"/>
        <v>26744755</v>
      </c>
      <c r="U110" s="61"/>
      <c r="V110" s="61">
        <v>13719600</v>
      </c>
      <c r="W110" s="61"/>
      <c r="X110" s="61"/>
      <c r="Y110" s="61">
        <f t="shared" si="27"/>
        <v>13719600</v>
      </c>
      <c r="Z110" s="76">
        <f>21%*Table5[[#This Row],[Total Selling (Clients Revenue)]]</f>
        <v>11417700</v>
      </c>
      <c r="AA110" s="61">
        <v>7416000</v>
      </c>
      <c r="AB110" s="61">
        <v>7142400</v>
      </c>
      <c r="AC110" s="61"/>
      <c r="AD110" s="61"/>
      <c r="AE110" s="61">
        <f t="shared" si="28"/>
        <v>25976100</v>
      </c>
      <c r="AF110" s="61">
        <f t="shared" si="29"/>
        <v>-14488255</v>
      </c>
      <c r="AG11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-15327055</v>
      </c>
      <c r="AH110" s="13">
        <f>IFERROR(AG110/(Z110+Table5[[#This Row],[Rider Penalty (Claim, Other Denda to Riders)]]),0)</f>
        <v>-1.3423942650446237</v>
      </c>
      <c r="AI110" s="62">
        <f t="shared" si="30"/>
        <v>838800</v>
      </c>
      <c r="AJ110" s="60">
        <f t="shared" si="31"/>
        <v>5.76162215628091E-2</v>
      </c>
      <c r="AV110" s="109">
        <f>Table5[[#This Row],[Total Selling Comission/Sales (Weekly)]]/Table5[[#This Row],[Total Revenue Sharing % (Weekly)]]*100%</f>
        <v>0.31298772957776083</v>
      </c>
      <c r="AW110" s="109">
        <f>Table5[[#This Row],[Total Daily Incentive (Weekly)]]/Table5[[#This Row],[Total Revenue Sharing % (Weekly)]]*100%</f>
        <v>1.8042162607180081</v>
      </c>
      <c r="AX110" s="109">
        <f t="shared" ref="AX110:AX127" si="32">(N110+O110)/Z110*100%</f>
        <v>2.1172039902957689</v>
      </c>
    </row>
    <row r="111" spans="1:50" hidden="1">
      <c r="A111">
        <v>2024</v>
      </c>
      <c r="B111" t="s">
        <v>23</v>
      </c>
      <c r="C111" t="s">
        <v>23</v>
      </c>
      <c r="D111" t="s">
        <v>168</v>
      </c>
      <c r="E111" t="s">
        <v>28</v>
      </c>
      <c r="F111" t="s">
        <v>25</v>
      </c>
      <c r="G111">
        <v>39</v>
      </c>
      <c r="H111" t="s">
        <v>164</v>
      </c>
      <c r="I111" t="s">
        <v>279</v>
      </c>
      <c r="J111" t="s">
        <v>324</v>
      </c>
      <c r="K111" s="76">
        <v>181</v>
      </c>
      <c r="L111" s="76">
        <v>47491</v>
      </c>
      <c r="M111" s="76">
        <v>418715000</v>
      </c>
      <c r="N111" s="76">
        <v>47491000</v>
      </c>
      <c r="O111" s="61">
        <v>38100000</v>
      </c>
      <c r="P111" s="61">
        <v>23250000</v>
      </c>
      <c r="Q111" s="61"/>
      <c r="R111" s="61">
        <v>4100000</v>
      </c>
      <c r="S111" s="61"/>
      <c r="T111" s="61">
        <f t="shared" si="26"/>
        <v>112941000</v>
      </c>
      <c r="U111" s="61"/>
      <c r="V111" s="61">
        <v>38594700</v>
      </c>
      <c r="W111" s="61"/>
      <c r="X111" s="61"/>
      <c r="Y111" s="61">
        <f t="shared" si="27"/>
        <v>38594700</v>
      </c>
      <c r="Z111" s="76">
        <f>23%*Table5[[#This Row],[Total Selling (Clients Revenue)]]</f>
        <v>96304450</v>
      </c>
      <c r="AA111" s="61">
        <v>20862000</v>
      </c>
      <c r="AB111" s="61">
        <v>22536000</v>
      </c>
      <c r="AC111" s="61"/>
      <c r="AD111" s="61"/>
      <c r="AE111" s="61">
        <f t="shared" si="28"/>
        <v>139702450</v>
      </c>
      <c r="AF111" s="61">
        <f t="shared" si="29"/>
        <v>-11833250</v>
      </c>
      <c r="AG11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-16636550</v>
      </c>
      <c r="AH111" s="13">
        <f>IFERROR(AG111/(Z111+Table5[[#This Row],[Rider Penalty (Claim, Other Denda to Riders)]]),0)</f>
        <v>-0.17274954584133961</v>
      </c>
      <c r="AI111" s="62">
        <f t="shared" si="30"/>
        <v>4803300</v>
      </c>
      <c r="AJ111" s="60">
        <f t="shared" si="31"/>
        <v>0.11068021567814185</v>
      </c>
      <c r="AK111" s="105" t="s">
        <v>325</v>
      </c>
      <c r="AV111" s="109">
        <f>Table5[[#This Row],[Total Selling Comission/Sales (Weekly)]]/Table5[[#This Row],[Total Revenue Sharing % (Weekly)]]*100%</f>
        <v>0.49313401405646362</v>
      </c>
      <c r="AW111" s="109">
        <f>Table5[[#This Row],[Total Daily Incentive (Weekly)]]/Table5[[#This Row],[Total Revenue Sharing % (Weekly)]]*100%</f>
        <v>0.39562034776170779</v>
      </c>
      <c r="AX111" s="109">
        <f t="shared" si="32"/>
        <v>0.88875436181817147</v>
      </c>
    </row>
    <row r="112" spans="1:50" hidden="1">
      <c r="A112" s="23">
        <v>2024</v>
      </c>
      <c r="B112" s="41" t="s">
        <v>23</v>
      </c>
      <c r="C112" s="41" t="s">
        <v>174</v>
      </c>
      <c r="D112" t="s">
        <v>168</v>
      </c>
      <c r="E112" t="s">
        <v>24</v>
      </c>
      <c r="F112" t="s">
        <v>24</v>
      </c>
      <c r="G112">
        <v>38</v>
      </c>
      <c r="H112" s="41" t="s">
        <v>164</v>
      </c>
      <c r="I112" t="s">
        <v>278</v>
      </c>
      <c r="J112" s="41" t="s">
        <v>326</v>
      </c>
      <c r="K112" s="76">
        <v>22</v>
      </c>
      <c r="L112" s="76">
        <v>5401</v>
      </c>
      <c r="M112" s="76">
        <v>49098000</v>
      </c>
      <c r="N112" s="76">
        <v>2212000</v>
      </c>
      <c r="O112" s="61">
        <v>0</v>
      </c>
      <c r="P112" s="61">
        <v>0</v>
      </c>
      <c r="Q112" s="61"/>
      <c r="R112" s="61">
        <v>0</v>
      </c>
      <c r="S112" s="61"/>
      <c r="T112" s="61">
        <f t="shared" si="26"/>
        <v>2212000</v>
      </c>
      <c r="U112" s="61"/>
      <c r="V112" s="61">
        <v>0</v>
      </c>
      <c r="W112" s="61"/>
      <c r="X112" s="61"/>
      <c r="Y112" s="61">
        <f t="shared" si="27"/>
        <v>0</v>
      </c>
      <c r="Z112" s="76">
        <f>21%*Table5[[#This Row],[Total Selling (Clients Revenue)]]</f>
        <v>10310580</v>
      </c>
      <c r="AA112" s="61">
        <v>0</v>
      </c>
      <c r="AB112" s="61">
        <v>0</v>
      </c>
      <c r="AC112" s="61"/>
      <c r="AD112" s="61"/>
      <c r="AE112" s="61">
        <f t="shared" si="28"/>
        <v>10310580</v>
      </c>
      <c r="AF112" s="61">
        <f t="shared" si="29"/>
        <v>8098580</v>
      </c>
      <c r="AG11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8098580</v>
      </c>
      <c r="AH112" s="13">
        <f>IFERROR(AG112/(Z112+Table5[[#This Row],[Rider Penalty (Claim, Other Denda to Riders)]]),0)</f>
        <v>0.78546308743058102</v>
      </c>
      <c r="AI112" s="62">
        <f t="shared" si="30"/>
        <v>0</v>
      </c>
      <c r="AJ112" s="60">
        <f t="shared" si="31"/>
        <v>0</v>
      </c>
      <c r="AV112" s="109">
        <f>Table5[[#This Row],[Total Selling Comission/Sales (Weekly)]]/Table5[[#This Row],[Total Revenue Sharing % (Weekly)]]*100%</f>
        <v>0.21453691256941898</v>
      </c>
      <c r="AW112" s="109">
        <f>Table5[[#This Row],[Total Daily Incentive (Weekly)]]/Table5[[#This Row],[Total Revenue Sharing % (Weekly)]]*100%</f>
        <v>0</v>
      </c>
      <c r="AX112" s="109">
        <f t="shared" si="32"/>
        <v>0.21453691256941898</v>
      </c>
    </row>
    <row r="113" spans="1:50" hidden="1">
      <c r="A113" s="23">
        <v>2024</v>
      </c>
      <c r="B113" s="41" t="s">
        <v>23</v>
      </c>
      <c r="C113" t="s">
        <v>23</v>
      </c>
      <c r="D113" t="s">
        <v>168</v>
      </c>
      <c r="E113" t="s">
        <v>28</v>
      </c>
      <c r="F113" t="s">
        <v>25</v>
      </c>
      <c r="G113">
        <v>38</v>
      </c>
      <c r="H113" s="41" t="s">
        <v>164</v>
      </c>
      <c r="I113" t="s">
        <v>278</v>
      </c>
      <c r="J113" s="41" t="s">
        <v>327</v>
      </c>
      <c r="K113" s="76">
        <v>168</v>
      </c>
      <c r="L113" s="76">
        <v>48461</v>
      </c>
      <c r="M113" s="76">
        <v>430340000</v>
      </c>
      <c r="N113" s="76">
        <v>48461000</v>
      </c>
      <c r="O113" s="61">
        <v>37800000</v>
      </c>
      <c r="P113" s="61">
        <v>0</v>
      </c>
      <c r="Q113" s="61"/>
      <c r="R113" s="61">
        <v>0</v>
      </c>
      <c r="S113" s="61"/>
      <c r="T113" s="61">
        <f t="shared" si="26"/>
        <v>86261000</v>
      </c>
      <c r="U113" s="61"/>
      <c r="V113" s="61">
        <v>39160800</v>
      </c>
      <c r="W113" s="61"/>
      <c r="X113" s="61"/>
      <c r="Y113" s="61">
        <f t="shared" si="27"/>
        <v>39160800</v>
      </c>
      <c r="Z113" s="76">
        <f>23%*Table5[[#This Row],[Total Selling (Clients Revenue)]]</f>
        <v>98978200</v>
      </c>
      <c r="AA113" s="61">
        <v>18900000</v>
      </c>
      <c r="AB113" s="61">
        <v>25200000</v>
      </c>
      <c r="AC113" s="61"/>
      <c r="AD113" s="61"/>
      <c r="AE113" s="61">
        <f t="shared" si="28"/>
        <v>143078200</v>
      </c>
      <c r="AF113" s="61">
        <f t="shared" si="29"/>
        <v>17656400</v>
      </c>
      <c r="AG11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12717200</v>
      </c>
      <c r="AH113" s="13">
        <f>IFERROR(AG113/(Z113+Table5[[#This Row],[Rider Penalty (Claim, Other Denda to Riders)]]),0)</f>
        <v>0.12848485828192471</v>
      </c>
      <c r="AI113" s="62">
        <f t="shared" si="30"/>
        <v>4939200</v>
      </c>
      <c r="AJ113" s="60">
        <f t="shared" si="31"/>
        <v>0.112</v>
      </c>
      <c r="AK113" s="88" t="s">
        <v>325</v>
      </c>
      <c r="AV113" s="109">
        <f>Table5[[#This Row],[Total Selling Comission/Sales (Weekly)]]/Table5[[#This Row],[Total Revenue Sharing % (Weekly)]]*100%</f>
        <v>0.48961286424687456</v>
      </c>
      <c r="AW113" s="109">
        <f>Table5[[#This Row],[Total Daily Incentive (Weekly)]]/Table5[[#This Row],[Total Revenue Sharing % (Weekly)]]*100%</f>
        <v>0.3819022774712007</v>
      </c>
      <c r="AX113" s="109">
        <f t="shared" si="32"/>
        <v>0.87151514171807531</v>
      </c>
    </row>
    <row r="114" spans="1:50" hidden="1">
      <c r="A114" s="23">
        <v>2024</v>
      </c>
      <c r="B114" s="41" t="s">
        <v>23</v>
      </c>
      <c r="C114" t="s">
        <v>174</v>
      </c>
      <c r="D114" t="s">
        <v>168</v>
      </c>
      <c r="E114" t="s">
        <v>24</v>
      </c>
      <c r="F114" t="s">
        <v>24</v>
      </c>
      <c r="G114">
        <v>37</v>
      </c>
      <c r="H114" s="41" t="s">
        <v>164</v>
      </c>
      <c r="I114" t="s">
        <v>256</v>
      </c>
      <c r="J114" s="41" t="s">
        <v>322</v>
      </c>
      <c r="K114" s="76">
        <v>21</v>
      </c>
      <c r="L114" s="76">
        <v>5613</v>
      </c>
      <c r="M114" s="76">
        <v>51126000</v>
      </c>
      <c r="N114" s="76">
        <v>2327100</v>
      </c>
      <c r="O114" s="61">
        <v>0</v>
      </c>
      <c r="P114" s="61">
        <v>0</v>
      </c>
      <c r="Q114" s="61"/>
      <c r="R114" s="61">
        <v>0</v>
      </c>
      <c r="S114" s="61"/>
      <c r="T114" s="61">
        <f t="shared" si="26"/>
        <v>2327100</v>
      </c>
      <c r="U114" s="61"/>
      <c r="V114" s="61">
        <v>0</v>
      </c>
      <c r="W114" s="61"/>
      <c r="X114" s="61"/>
      <c r="Y114" s="61">
        <f t="shared" si="27"/>
        <v>0</v>
      </c>
      <c r="Z114" s="76">
        <f>21%*Table5[[#This Row],[Total Selling (Clients Revenue)]]</f>
        <v>10736460</v>
      </c>
      <c r="AA114" s="61">
        <v>0</v>
      </c>
      <c r="AB114" s="61">
        <v>0</v>
      </c>
      <c r="AC114" s="61"/>
      <c r="AD114" s="61"/>
      <c r="AE114" s="61">
        <f t="shared" si="28"/>
        <v>10736460</v>
      </c>
      <c r="AF114" s="61">
        <f t="shared" si="29"/>
        <v>8409360</v>
      </c>
      <c r="AG11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8409360</v>
      </c>
      <c r="AH114" s="13">
        <f>IFERROR(AG114/(Z114+Table5[[#This Row],[Rider Penalty (Claim, Other Denda to Riders)]]),0)</f>
        <v>0.7832525804594811</v>
      </c>
      <c r="AI114" s="62">
        <f t="shared" si="30"/>
        <v>0</v>
      </c>
      <c r="AJ114" s="60">
        <f t="shared" si="31"/>
        <v>0</v>
      </c>
      <c r="AV114" s="109">
        <f>Table5[[#This Row],[Total Selling Comission/Sales (Weekly)]]/Table5[[#This Row],[Total Revenue Sharing % (Weekly)]]*100%</f>
        <v>0.21674741954051893</v>
      </c>
      <c r="AW114" s="109">
        <f>Table5[[#This Row],[Total Daily Incentive (Weekly)]]/Table5[[#This Row],[Total Revenue Sharing % (Weekly)]]*100%</f>
        <v>0</v>
      </c>
      <c r="AX114" s="109">
        <f t="shared" si="32"/>
        <v>0.21674741954051893</v>
      </c>
    </row>
    <row r="115" spans="1:50" hidden="1">
      <c r="A115" s="23">
        <v>2024</v>
      </c>
      <c r="B115" s="41" t="s">
        <v>23</v>
      </c>
      <c r="C115" t="s">
        <v>23</v>
      </c>
      <c r="D115" t="s">
        <v>168</v>
      </c>
      <c r="E115" t="s">
        <v>28</v>
      </c>
      <c r="F115" t="s">
        <v>25</v>
      </c>
      <c r="G115">
        <v>37</v>
      </c>
      <c r="H115" s="41" t="s">
        <v>164</v>
      </c>
      <c r="I115" t="s">
        <v>256</v>
      </c>
      <c r="J115" s="41" t="s">
        <v>328</v>
      </c>
      <c r="K115" s="76">
        <v>139</v>
      </c>
      <c r="L115" s="76">
        <v>41766</v>
      </c>
      <c r="M115" s="76">
        <v>370126000</v>
      </c>
      <c r="N115" s="76">
        <v>41766000</v>
      </c>
      <c r="O115" s="61">
        <v>32775000</v>
      </c>
      <c r="P115" s="61">
        <v>0</v>
      </c>
      <c r="Q115" s="61"/>
      <c r="R115" s="61">
        <v>0</v>
      </c>
      <c r="S115" s="61"/>
      <c r="T115" s="61">
        <f t="shared" si="26"/>
        <v>74541000</v>
      </c>
      <c r="U115" s="61"/>
      <c r="V115" s="61">
        <v>31235400</v>
      </c>
      <c r="W115" s="61"/>
      <c r="X115" s="61"/>
      <c r="Y115" s="61">
        <f t="shared" si="27"/>
        <v>31235400</v>
      </c>
      <c r="Z115" s="76">
        <f>23%*Table5[[#This Row],[Total Selling (Clients Revenue)]]</f>
        <v>85128980</v>
      </c>
      <c r="AA115" s="61">
        <v>16884000</v>
      </c>
      <c r="AB115" s="61">
        <v>22512000</v>
      </c>
      <c r="AC115" s="61"/>
      <c r="AD115" s="61"/>
      <c r="AE115" s="61">
        <f t="shared" si="28"/>
        <v>124524980</v>
      </c>
      <c r="AF115" s="61">
        <f t="shared" si="29"/>
        <v>18748580</v>
      </c>
      <c r="AG11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10587980</v>
      </c>
      <c r="AH115" s="13">
        <f>IFERROR(AG115/(Z115+Table5[[#This Row],[Rider Penalty (Claim, Other Denda to Riders)]]),0)</f>
        <v>0.12437574137502881</v>
      </c>
      <c r="AI115" s="62">
        <f t="shared" si="30"/>
        <v>8160600</v>
      </c>
      <c r="AJ115" s="60">
        <f t="shared" si="31"/>
        <v>0.20714285714285716</v>
      </c>
      <c r="AK115" s="88" t="s">
        <v>325</v>
      </c>
      <c r="AV115" s="109">
        <f>Table5[[#This Row],[Total Selling Comission/Sales (Weekly)]]/Table5[[#This Row],[Total Revenue Sharing % (Weekly)]]*100%</f>
        <v>0.49062023296884327</v>
      </c>
      <c r="AW115" s="109">
        <f>Table5[[#This Row],[Total Daily Incentive (Weekly)]]/Table5[[#This Row],[Total Revenue Sharing % (Weekly)]]*100%</f>
        <v>0.3850040256561279</v>
      </c>
      <c r="AX115" s="109">
        <f t="shared" si="32"/>
        <v>0.87562425862497117</v>
      </c>
    </row>
    <row r="116" spans="1:50" hidden="1">
      <c r="A116" s="23">
        <v>2024</v>
      </c>
      <c r="B116" s="41" t="s">
        <v>23</v>
      </c>
      <c r="C116" t="s">
        <v>174</v>
      </c>
      <c r="D116" t="s">
        <v>168</v>
      </c>
      <c r="E116" t="s">
        <v>24</v>
      </c>
      <c r="F116" t="s">
        <v>24</v>
      </c>
      <c r="G116">
        <v>35</v>
      </c>
      <c r="H116" s="41" t="s">
        <v>163</v>
      </c>
      <c r="I116" t="s">
        <v>280</v>
      </c>
      <c r="J116" s="41" t="s">
        <v>329</v>
      </c>
      <c r="K116" s="76">
        <v>15</v>
      </c>
      <c r="L116" s="76">
        <v>3136</v>
      </c>
      <c r="M116" s="76">
        <v>34818000</v>
      </c>
      <c r="N116" s="76">
        <v>1254400</v>
      </c>
      <c r="O116" s="61">
        <v>0</v>
      </c>
      <c r="P116" s="61">
        <v>0</v>
      </c>
      <c r="Q116" s="61"/>
      <c r="R116" s="61">
        <v>0</v>
      </c>
      <c r="S116" s="61"/>
      <c r="T116" s="61">
        <f t="shared" si="26"/>
        <v>1254400</v>
      </c>
      <c r="U116" s="61"/>
      <c r="V116" s="61">
        <v>2530800</v>
      </c>
      <c r="W116" s="61"/>
      <c r="X116" s="61"/>
      <c r="Y116" s="61">
        <f t="shared" si="27"/>
        <v>2530800</v>
      </c>
      <c r="Z116" s="76">
        <f>21%*Table5[[#This Row],[Total Selling (Clients Revenue)]]</f>
        <v>7311780</v>
      </c>
      <c r="AA116" s="61">
        <v>1674000</v>
      </c>
      <c r="AB116" s="61">
        <v>1824000</v>
      </c>
      <c r="AC116" s="61"/>
      <c r="AD116" s="61"/>
      <c r="AE116" s="61">
        <f t="shared" si="28"/>
        <v>10809780</v>
      </c>
      <c r="AF116" s="61">
        <f t="shared" si="29"/>
        <v>7024580</v>
      </c>
      <c r="AG11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6057380</v>
      </c>
      <c r="AH116" s="13">
        <f>IFERROR(AG116/(Z116+Table5[[#This Row],[Rider Penalty (Claim, Other Denda to Riders)]]),0)</f>
        <v>0.8284412277174642</v>
      </c>
      <c r="AI116" s="62">
        <f t="shared" si="30"/>
        <v>967200</v>
      </c>
      <c r="AJ116" s="60">
        <f t="shared" si="31"/>
        <v>0.27650085763293308</v>
      </c>
      <c r="AV116" s="109">
        <f>Table5[[#This Row],[Total Selling Comission/Sales (Weekly)]]/Table5[[#This Row],[Total Revenue Sharing % (Weekly)]]*100%</f>
        <v>0.17155877228253585</v>
      </c>
      <c r="AW116" s="109">
        <f>Table5[[#This Row],[Total Daily Incentive (Weekly)]]/Table5[[#This Row],[Total Revenue Sharing % (Weekly)]]*100%</f>
        <v>0</v>
      </c>
      <c r="AX116" s="109">
        <f t="shared" si="32"/>
        <v>0.17155877228253585</v>
      </c>
    </row>
    <row r="117" spans="1:50" hidden="1">
      <c r="A117" s="23">
        <v>2024</v>
      </c>
      <c r="B117" s="41" t="s">
        <v>23</v>
      </c>
      <c r="C117" t="s">
        <v>174</v>
      </c>
      <c r="D117" t="s">
        <v>168</v>
      </c>
      <c r="E117" t="s">
        <v>24</v>
      </c>
      <c r="F117" t="s">
        <v>24</v>
      </c>
      <c r="G117">
        <v>34</v>
      </c>
      <c r="H117" s="41" t="s">
        <v>163</v>
      </c>
      <c r="I117" t="s">
        <v>279</v>
      </c>
      <c r="J117" s="41" t="s">
        <v>330</v>
      </c>
      <c r="K117" s="76">
        <v>13</v>
      </c>
      <c r="L117" s="76">
        <v>2686</v>
      </c>
      <c r="M117" s="76">
        <v>24508000</v>
      </c>
      <c r="N117" s="76">
        <v>2148800</v>
      </c>
      <c r="O117" s="61">
        <v>2275000</v>
      </c>
      <c r="P117" s="61">
        <v>0</v>
      </c>
      <c r="Q117" s="61"/>
      <c r="R117" s="61">
        <v>0</v>
      </c>
      <c r="S117" s="61"/>
      <c r="T117" s="61">
        <f t="shared" si="26"/>
        <v>4423800</v>
      </c>
      <c r="U117" s="61"/>
      <c r="V117" s="61">
        <v>2031300</v>
      </c>
      <c r="W117" s="61"/>
      <c r="X117" s="61"/>
      <c r="Y117" s="61">
        <f t="shared" si="27"/>
        <v>2031300</v>
      </c>
      <c r="Z117" s="76">
        <f>21%*Table5[[#This Row],[Total Selling (Clients Revenue)]]</f>
        <v>5146680</v>
      </c>
      <c r="AA117" s="61">
        <v>520000</v>
      </c>
      <c r="AB117" s="61">
        <v>805200</v>
      </c>
      <c r="AC117" s="61"/>
      <c r="AD117" s="61"/>
      <c r="AE117" s="61">
        <f t="shared" si="28"/>
        <v>6471880</v>
      </c>
      <c r="AF117" s="61">
        <f t="shared" si="29"/>
        <v>16780</v>
      </c>
      <c r="AG11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722880</v>
      </c>
      <c r="AH117" s="13">
        <f>IFERROR(AG117/(Z117+Table5[[#This Row],[Rider Penalty (Claim, Other Denda to Riders)]]),0)</f>
        <v>0.14045559467462521</v>
      </c>
      <c r="AI117" s="62">
        <f t="shared" si="30"/>
        <v>-706100</v>
      </c>
      <c r="AJ117" s="60">
        <f t="shared" si="31"/>
        <v>-0.53282523392695447</v>
      </c>
      <c r="AV117" s="109">
        <f>Table5[[#This Row],[Total Selling Comission/Sales (Weekly)]]/Table5[[#This Row],[Total Revenue Sharing % (Weekly)]]*100%</f>
        <v>0.41751187173090226</v>
      </c>
      <c r="AW117" s="109">
        <f>Table5[[#This Row],[Total Daily Incentive (Weekly)]]/Table5[[#This Row],[Total Revenue Sharing % (Weekly)]]*100%</f>
        <v>0.44203253359447253</v>
      </c>
      <c r="AX117" s="109">
        <f t="shared" si="32"/>
        <v>0.85954440532537479</v>
      </c>
    </row>
    <row r="118" spans="1:50" hidden="1">
      <c r="A118" s="23">
        <v>2024</v>
      </c>
      <c r="B118" s="41" t="s">
        <v>23</v>
      </c>
      <c r="C118" t="s">
        <v>23</v>
      </c>
      <c r="D118" t="s">
        <v>168</v>
      </c>
      <c r="E118" t="s">
        <v>28</v>
      </c>
      <c r="F118" t="s">
        <v>25</v>
      </c>
      <c r="G118">
        <v>34</v>
      </c>
      <c r="H118" s="41" t="s">
        <v>163</v>
      </c>
      <c r="I118" t="s">
        <v>279</v>
      </c>
      <c r="J118" s="41" t="s">
        <v>330</v>
      </c>
      <c r="K118" s="76">
        <v>129</v>
      </c>
      <c r="L118" s="76">
        <v>41485</v>
      </c>
      <c r="M118" s="76">
        <v>369048000</v>
      </c>
      <c r="N118" s="76">
        <v>41485000</v>
      </c>
      <c r="O118" s="61">
        <v>30975000</v>
      </c>
      <c r="P118" s="61">
        <v>350000</v>
      </c>
      <c r="Q118" s="61"/>
      <c r="R118" s="61">
        <v>0</v>
      </c>
      <c r="S118" s="61"/>
      <c r="T118" s="61">
        <f t="shared" si="26"/>
        <v>72810000</v>
      </c>
      <c r="U118" s="61"/>
      <c r="V118" s="61">
        <v>28671300</v>
      </c>
      <c r="W118" s="61"/>
      <c r="X118" s="61"/>
      <c r="Y118" s="61">
        <f t="shared" si="27"/>
        <v>28671300</v>
      </c>
      <c r="Z118" s="1">
        <f>23%*Table5[[#This Row],[Total Selling (Clients Revenue)]]</f>
        <v>84881040</v>
      </c>
      <c r="AA118" s="61">
        <v>15534000</v>
      </c>
      <c r="AB118" s="61">
        <v>9216000</v>
      </c>
      <c r="AC118" s="61"/>
      <c r="AD118" s="61"/>
      <c r="AE118" s="61">
        <f t="shared" si="28"/>
        <v>109631040</v>
      </c>
      <c r="AF118" s="61">
        <f t="shared" si="29"/>
        <v>8149740</v>
      </c>
      <c r="AG11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12071040</v>
      </c>
      <c r="AH118" s="13">
        <f>IFERROR(AG118/(Z118+Table5[[#This Row],[Rider Penalty (Claim, Other Denda to Riders)]]),0)</f>
        <v>0.14221126414096716</v>
      </c>
      <c r="AI118" s="62">
        <f t="shared" si="30"/>
        <v>-3921300</v>
      </c>
      <c r="AJ118" s="60">
        <f t="shared" si="31"/>
        <v>-0.15843636363636363</v>
      </c>
      <c r="AV118" s="109">
        <f>Table5[[#This Row],[Total Selling Comission/Sales (Weekly)]]/Table5[[#This Row],[Total Revenue Sharing % (Weekly)]]*100%</f>
        <v>0.48874283349968378</v>
      </c>
      <c r="AW118" s="109">
        <f>Table5[[#This Row],[Total Daily Incentive (Weekly)]]/Table5[[#This Row],[Total Revenue Sharing % (Weekly)]]*100%</f>
        <v>0.36492248445589265</v>
      </c>
      <c r="AX118" s="109">
        <f t="shared" si="32"/>
        <v>0.85366531795557643</v>
      </c>
    </row>
    <row r="119" spans="1:50" hidden="1">
      <c r="A119" s="23">
        <v>2024</v>
      </c>
      <c r="B119" s="41" t="s">
        <v>23</v>
      </c>
      <c r="C119" t="s">
        <v>23</v>
      </c>
      <c r="D119" t="s">
        <v>168</v>
      </c>
      <c r="E119" t="s">
        <v>28</v>
      </c>
      <c r="F119" t="s">
        <v>25</v>
      </c>
      <c r="G119">
        <v>35</v>
      </c>
      <c r="H119" s="41" t="s">
        <v>163</v>
      </c>
      <c r="I119" t="s">
        <v>279</v>
      </c>
      <c r="J119" s="41" t="s">
        <v>331</v>
      </c>
      <c r="K119" s="76">
        <v>126</v>
      </c>
      <c r="L119" s="76">
        <v>39758</v>
      </c>
      <c r="M119" s="76">
        <v>352342000</v>
      </c>
      <c r="N119" s="76">
        <v>39758000</v>
      </c>
      <c r="O119" s="61">
        <v>28975000</v>
      </c>
      <c r="P119" s="61">
        <v>26250000</v>
      </c>
      <c r="Q119" s="61"/>
      <c r="R119" s="61">
        <v>3700000</v>
      </c>
      <c r="S119" s="61"/>
      <c r="T119" s="61">
        <f t="shared" si="26"/>
        <v>98683000</v>
      </c>
      <c r="U119" s="61"/>
      <c r="V119" s="61"/>
      <c r="W119" s="61"/>
      <c r="X119" s="61"/>
      <c r="Y119" s="61">
        <f t="shared" si="27"/>
        <v>0</v>
      </c>
      <c r="Z119" s="76">
        <f>23%*Table5[[#This Row],[Total Selling (Clients Revenue)]]</f>
        <v>81038660</v>
      </c>
      <c r="AA119" s="61">
        <v>14238000</v>
      </c>
      <c r="AB119" s="61">
        <v>15936000</v>
      </c>
      <c r="AC119" s="61"/>
      <c r="AD119" s="61"/>
      <c r="AE119" s="61">
        <f t="shared" si="28"/>
        <v>111212660</v>
      </c>
      <c r="AF119" s="61">
        <f t="shared" si="29"/>
        <v>12529660</v>
      </c>
      <c r="AG11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-17644340</v>
      </c>
      <c r="AH119" s="13">
        <f>IFERROR(AG119/(Z119+Table5[[#This Row],[Rider Penalty (Claim, Other Denda to Riders)]]),0)</f>
        <v>-0.21772744021186924</v>
      </c>
      <c r="AI119" s="62">
        <f t="shared" si="30"/>
        <v>30174000</v>
      </c>
      <c r="AJ119" s="60">
        <f t="shared" si="31"/>
        <v>1</v>
      </c>
      <c r="AV119" s="109">
        <f>Table5[[#This Row],[Total Selling Comission/Sales (Weekly)]]/Table5[[#This Row],[Total Revenue Sharing % (Weekly)]]*100%</f>
        <v>0.49060534811409762</v>
      </c>
      <c r="AW119" s="109">
        <f>Table5[[#This Row],[Total Daily Incentive (Weekly)]]/Table5[[#This Row],[Total Revenue Sharing % (Weekly)]]*100%</f>
        <v>0.3575453987022984</v>
      </c>
      <c r="AX119" s="109">
        <f t="shared" si="32"/>
        <v>0.84815074681639602</v>
      </c>
    </row>
    <row r="120" spans="1:50" hidden="1">
      <c r="A120">
        <v>2024</v>
      </c>
      <c r="B120" t="s">
        <v>23</v>
      </c>
      <c r="C120" s="41" t="s">
        <v>174</v>
      </c>
      <c r="D120" t="s">
        <v>168</v>
      </c>
      <c r="E120" t="s">
        <v>24</v>
      </c>
      <c r="F120" t="s">
        <v>24</v>
      </c>
      <c r="G120">
        <v>33</v>
      </c>
      <c r="H120" t="s">
        <v>163</v>
      </c>
      <c r="I120" t="s">
        <v>278</v>
      </c>
      <c r="J120" s="41" t="s">
        <v>332</v>
      </c>
      <c r="K120" s="76">
        <v>13</v>
      </c>
      <c r="L120" s="76">
        <v>2107</v>
      </c>
      <c r="M120" s="76">
        <v>19250000</v>
      </c>
      <c r="N120" s="76">
        <v>1365600</v>
      </c>
      <c r="O120" s="61">
        <v>1645200</v>
      </c>
      <c r="P120" s="61">
        <v>0</v>
      </c>
      <c r="Q120" s="61"/>
      <c r="R120" s="61">
        <v>0</v>
      </c>
      <c r="S120" s="61"/>
      <c r="T120" s="61">
        <f t="shared" si="26"/>
        <v>3010800</v>
      </c>
      <c r="U120" s="61"/>
      <c r="V120" s="61">
        <v>1498500</v>
      </c>
      <c r="W120" s="61"/>
      <c r="X120" s="61"/>
      <c r="Y120" s="61">
        <f t="shared" si="27"/>
        <v>1498500</v>
      </c>
      <c r="Z120" s="76">
        <f>21%*Table5[[#This Row],[Total Selling (Clients Revenue)]]</f>
        <v>4042500</v>
      </c>
      <c r="AA120" s="61">
        <v>360000</v>
      </c>
      <c r="AB120" s="61">
        <v>540000</v>
      </c>
      <c r="AC120" s="61"/>
      <c r="AD120" s="61"/>
      <c r="AE120" s="61">
        <f t="shared" si="28"/>
        <v>4942500</v>
      </c>
      <c r="AF120" s="61">
        <f t="shared" si="29"/>
        <v>433200</v>
      </c>
      <c r="AG12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1031700</v>
      </c>
      <c r="AH120" s="13">
        <f>IFERROR(AG120/(Z120+Table5[[#This Row],[Rider Penalty (Claim, Other Denda to Riders)]]),0)</f>
        <v>0.25521335807050094</v>
      </c>
      <c r="AI120" s="62">
        <f t="shared" si="30"/>
        <v>-598500</v>
      </c>
      <c r="AJ120" s="60">
        <f t="shared" si="31"/>
        <v>-0.66500000000000004</v>
      </c>
      <c r="AV120" s="109">
        <f>Table5[[#This Row],[Total Selling Comission/Sales (Weekly)]]/Table5[[#This Row],[Total Revenue Sharing % (Weekly)]]*100%</f>
        <v>0.3378107606679035</v>
      </c>
      <c r="AW120" s="109">
        <f>Table5[[#This Row],[Total Daily Incentive (Weekly)]]/Table5[[#This Row],[Total Revenue Sharing % (Weekly)]]*100%</f>
        <v>0.40697588126159556</v>
      </c>
      <c r="AX120" s="109">
        <f t="shared" si="32"/>
        <v>0.74478664192949906</v>
      </c>
    </row>
    <row r="121" spans="1:50" hidden="1">
      <c r="A121">
        <v>2024</v>
      </c>
      <c r="B121" t="s">
        <v>23</v>
      </c>
      <c r="C121" s="41" t="s">
        <v>23</v>
      </c>
      <c r="D121" t="s">
        <v>168</v>
      </c>
      <c r="E121" t="s">
        <v>28</v>
      </c>
      <c r="F121" t="s">
        <v>25</v>
      </c>
      <c r="G121">
        <v>33</v>
      </c>
      <c r="H121" t="s">
        <v>163</v>
      </c>
      <c r="I121" t="s">
        <v>278</v>
      </c>
      <c r="J121" s="41" t="s">
        <v>332</v>
      </c>
      <c r="K121" s="76">
        <v>126</v>
      </c>
      <c r="L121" s="76">
        <v>41759</v>
      </c>
      <c r="M121" s="76">
        <v>367992000</v>
      </c>
      <c r="N121" s="76">
        <v>42292000</v>
      </c>
      <c r="O121" s="55">
        <v>31350000</v>
      </c>
      <c r="P121" s="55">
        <v>0</v>
      </c>
      <c r="Q121" s="55"/>
      <c r="R121" s="55">
        <v>0</v>
      </c>
      <c r="S121" s="55"/>
      <c r="T121" s="55">
        <f t="shared" si="26"/>
        <v>73642000</v>
      </c>
      <c r="U121" s="55">
        <v>0</v>
      </c>
      <c r="V121" s="55">
        <v>27472500</v>
      </c>
      <c r="W121" s="55">
        <v>0</v>
      </c>
      <c r="X121" s="55"/>
      <c r="Y121" s="55">
        <f t="shared" si="27"/>
        <v>27472500</v>
      </c>
      <c r="Z121" s="76">
        <f>23%*Table5[[#This Row],[Total Selling (Clients Revenue)]]</f>
        <v>84638160</v>
      </c>
      <c r="AA121" s="55">
        <v>14850000</v>
      </c>
      <c r="AB121" s="55">
        <v>19800000</v>
      </c>
      <c r="AC121" s="55"/>
      <c r="AD121" s="55">
        <v>0</v>
      </c>
      <c r="AE121" s="55">
        <f t="shared" si="28"/>
        <v>119288160</v>
      </c>
      <c r="AF121" s="55">
        <f t="shared" si="29"/>
        <v>18173660</v>
      </c>
      <c r="AG12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10996160</v>
      </c>
      <c r="AH121" s="59">
        <f>IFERROR(AG121/(Z121+Table5[[#This Row],[Rider Penalty (Claim, Other Denda to Riders)]]),0)</f>
        <v>0.12991964853678292</v>
      </c>
      <c r="AI121" s="56">
        <f t="shared" si="30"/>
        <v>7177500</v>
      </c>
      <c r="AJ121" s="60">
        <f t="shared" si="31"/>
        <v>0.20714285714285716</v>
      </c>
      <c r="AV121" s="109">
        <f>Table5[[#This Row],[Total Selling Comission/Sales (Weekly)]]/Table5[[#This Row],[Total Revenue Sharing % (Weekly)]]*100%</f>
        <v>0.49968004975533492</v>
      </c>
      <c r="AW121" s="109">
        <f>Table5[[#This Row],[Total Daily Incentive (Weekly)]]/Table5[[#This Row],[Total Revenue Sharing % (Weekly)]]*100%</f>
        <v>0.37040030170788213</v>
      </c>
      <c r="AX121" s="109">
        <f t="shared" si="32"/>
        <v>0.87008035146321705</v>
      </c>
    </row>
    <row r="122" spans="1:50" hidden="1">
      <c r="A122">
        <v>2024</v>
      </c>
      <c r="B122" t="s">
        <v>23</v>
      </c>
      <c r="C122" t="s">
        <v>174</v>
      </c>
      <c r="D122" t="s">
        <v>168</v>
      </c>
      <c r="E122" t="s">
        <v>24</v>
      </c>
      <c r="F122" t="s">
        <v>24</v>
      </c>
      <c r="G122">
        <v>32</v>
      </c>
      <c r="H122" t="s">
        <v>163</v>
      </c>
      <c r="I122" t="s">
        <v>256</v>
      </c>
      <c r="J122" t="s">
        <v>333</v>
      </c>
      <c r="K122" s="76">
        <v>9</v>
      </c>
      <c r="L122" s="76">
        <v>1054</v>
      </c>
      <c r="M122" s="76">
        <v>9014000</v>
      </c>
      <c r="N122" s="76">
        <v>739200</v>
      </c>
      <c r="O122" s="61">
        <v>840000</v>
      </c>
      <c r="P122" s="61">
        <v>0</v>
      </c>
      <c r="Q122" s="61"/>
      <c r="R122" s="61">
        <v>0</v>
      </c>
      <c r="S122" s="61"/>
      <c r="T122" s="61">
        <f t="shared" si="26"/>
        <v>1579200</v>
      </c>
      <c r="U122" s="61"/>
      <c r="V122" s="61">
        <v>600000</v>
      </c>
      <c r="W122" s="61"/>
      <c r="X122" s="61"/>
      <c r="Y122" s="61">
        <f t="shared" si="27"/>
        <v>600000</v>
      </c>
      <c r="Z122" s="76">
        <f>21%*Table5[[#This Row],[Total Selling (Clients Revenue)]]</f>
        <v>1892940</v>
      </c>
      <c r="AA122" s="61">
        <v>192000</v>
      </c>
      <c r="AB122" s="61">
        <v>120000</v>
      </c>
      <c r="AC122" s="61"/>
      <c r="AD122" s="61"/>
      <c r="AE122" s="61">
        <f t="shared" si="28"/>
        <v>2204940</v>
      </c>
      <c r="AF122" s="61">
        <f t="shared" si="29"/>
        <v>25740</v>
      </c>
      <c r="AG12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313740</v>
      </c>
      <c r="AH122" s="13">
        <f>IFERROR(AG122/(Z122+Table5[[#This Row],[Rider Penalty (Claim, Other Denda to Riders)]]),0)</f>
        <v>0.16574217883292655</v>
      </c>
      <c r="AI122" s="62">
        <f t="shared" si="30"/>
        <v>-288000</v>
      </c>
      <c r="AJ122" s="60">
        <f t="shared" si="31"/>
        <v>-0.92307692307692313</v>
      </c>
      <c r="AV122" s="109">
        <f>Table5[[#This Row],[Total Selling Comission/Sales (Weekly)]]/Table5[[#This Row],[Total Revenue Sharing % (Weekly)]]*100%</f>
        <v>0.3905036609718216</v>
      </c>
      <c r="AW122" s="109">
        <f>Table5[[#This Row],[Total Daily Incentive (Weekly)]]/Table5[[#This Row],[Total Revenue Sharing % (Weekly)]]*100%</f>
        <v>0.44375416019525182</v>
      </c>
      <c r="AX122" s="109">
        <f t="shared" si="32"/>
        <v>0.83425782116707348</v>
      </c>
    </row>
    <row r="123" spans="1:50" hidden="1">
      <c r="A123">
        <v>2024</v>
      </c>
      <c r="B123" t="s">
        <v>23</v>
      </c>
      <c r="C123" t="s">
        <v>23</v>
      </c>
      <c r="D123" t="s">
        <v>168</v>
      </c>
      <c r="E123" t="s">
        <v>28</v>
      </c>
      <c r="F123" t="s">
        <v>25</v>
      </c>
      <c r="G123">
        <v>32</v>
      </c>
      <c r="H123" t="s">
        <v>163</v>
      </c>
      <c r="I123" t="s">
        <v>256</v>
      </c>
      <c r="J123" t="s">
        <v>333</v>
      </c>
      <c r="K123" s="1">
        <v>120</v>
      </c>
      <c r="L123" s="1">
        <v>39961</v>
      </c>
      <c r="M123" s="1">
        <v>347666000</v>
      </c>
      <c r="N123" s="1">
        <v>39961000</v>
      </c>
      <c r="O123" s="61">
        <v>29525000</v>
      </c>
      <c r="P123" s="61">
        <v>0</v>
      </c>
      <c r="Q123" s="61"/>
      <c r="R123" s="61">
        <v>0</v>
      </c>
      <c r="S123" s="61"/>
      <c r="T123" s="61">
        <f t="shared" si="26"/>
        <v>69486000</v>
      </c>
      <c r="U123" s="61"/>
      <c r="V123" s="61">
        <v>26540100</v>
      </c>
      <c r="W123" s="61"/>
      <c r="X123" s="61"/>
      <c r="Y123" s="61">
        <f t="shared" si="27"/>
        <v>26540100</v>
      </c>
      <c r="Z123" s="1">
        <f>23%*Table5[[#This Row],[Total Selling (Clients Revenue)]]</f>
        <v>79963180</v>
      </c>
      <c r="AA123" s="61">
        <v>14346000</v>
      </c>
      <c r="AB123" s="61">
        <v>19128000</v>
      </c>
      <c r="AC123" s="61"/>
      <c r="AD123" s="61"/>
      <c r="AE123" s="61">
        <f t="shared" si="28"/>
        <v>113437180</v>
      </c>
      <c r="AF123" s="61">
        <f t="shared" si="29"/>
        <v>17411080</v>
      </c>
      <c r="AG12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10477180</v>
      </c>
      <c r="AH123" s="13">
        <f>IFERROR(AG123/(Z123+Table5[[#This Row],[Rider Penalty (Claim, Other Denda to Riders)]]),0)</f>
        <v>0.13102505428123293</v>
      </c>
      <c r="AI123" s="62">
        <f t="shared" si="30"/>
        <v>6933900</v>
      </c>
      <c r="AJ123" s="60">
        <f t="shared" si="31"/>
        <v>0.20714285714285716</v>
      </c>
      <c r="AV123" s="109">
        <f>Table5[[#This Row],[Total Selling Comission/Sales (Weekly)]]/Table5[[#This Row],[Total Revenue Sharing % (Weekly)]]*100%</f>
        <v>0.4997425064886114</v>
      </c>
      <c r="AW123" s="109">
        <f>Table5[[#This Row],[Total Daily Incentive (Weekly)]]/Table5[[#This Row],[Total Revenue Sharing % (Weekly)]]*100%</f>
        <v>0.3692324392301557</v>
      </c>
      <c r="AX123" s="109">
        <f t="shared" si="32"/>
        <v>0.8689749457187671</v>
      </c>
    </row>
    <row r="124" spans="1:50" hidden="1">
      <c r="A124">
        <v>2025</v>
      </c>
      <c r="B124" t="s">
        <v>23</v>
      </c>
      <c r="C124" t="s">
        <v>174</v>
      </c>
      <c r="D124" t="s">
        <v>168</v>
      </c>
      <c r="E124" t="s">
        <v>24</v>
      </c>
      <c r="F124" t="s">
        <v>24</v>
      </c>
      <c r="G124">
        <v>8</v>
      </c>
      <c r="H124" t="s">
        <v>158</v>
      </c>
      <c r="I124" t="s">
        <v>279</v>
      </c>
      <c r="J124" s="18" t="s">
        <v>334</v>
      </c>
      <c r="K124" s="1">
        <v>61</v>
      </c>
      <c r="L124" s="1">
        <v>11022</v>
      </c>
      <c r="M124" s="1">
        <v>99493000</v>
      </c>
      <c r="N124" s="48">
        <v>8814300</v>
      </c>
      <c r="O124" s="48">
        <v>15950000</v>
      </c>
      <c r="P124" s="41">
        <v>6105767</v>
      </c>
      <c r="Q124" s="41"/>
      <c r="R124" s="41">
        <v>0</v>
      </c>
      <c r="T124" s="1">
        <f t="shared" si="26"/>
        <v>30870067</v>
      </c>
      <c r="U124" s="1">
        <v>840000</v>
      </c>
      <c r="V124" s="1">
        <f>322*35000</f>
        <v>11270000</v>
      </c>
      <c r="W124" s="1">
        <v>0</v>
      </c>
      <c r="X124" s="1">
        <v>0</v>
      </c>
      <c r="Y124" s="1">
        <f t="shared" si="27"/>
        <v>12110000</v>
      </c>
      <c r="Z124" s="76">
        <f>21%*Table5[[#This Row],[Total Selling (Clients Revenue)]]</f>
        <v>20893530</v>
      </c>
      <c r="AA124" s="1">
        <v>8050000</v>
      </c>
      <c r="AB124" s="61">
        <f>7/28*17211301</f>
        <v>4302825.25</v>
      </c>
      <c r="AC124" s="61"/>
      <c r="AD124" s="55">
        <v>1500000</v>
      </c>
      <c r="AE124" s="55">
        <f t="shared" si="28"/>
        <v>34746355.25</v>
      </c>
      <c r="AF124" s="55">
        <f t="shared" si="29"/>
        <v>-8233711.75</v>
      </c>
      <c r="AG12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-9316537</v>
      </c>
      <c r="AH124" s="59">
        <f>IFERROR(AG124/(Z124+Table5[[#This Row],[Rider Penalty (Claim, Other Denda to Riders)]]),0)</f>
        <v>-0.41603699818652978</v>
      </c>
      <c r="AI124" s="56">
        <f t="shared" si="30"/>
        <v>1082825.25</v>
      </c>
      <c r="AJ124" s="60">
        <f t="shared" si="31"/>
        <v>8.7658104772428483E-2</v>
      </c>
      <c r="AV124" s="109">
        <f>Table5[[#This Row],[Total Selling Comission/Sales (Weekly)]]/Table5[[#This Row],[Total Revenue Sharing % (Weekly)]]*100%</f>
        <v>0.42186743934605592</v>
      </c>
      <c r="AW124" s="109">
        <f>Table5[[#This Row],[Total Daily Incentive (Weekly)]]/Table5[[#This Row],[Total Revenue Sharing % (Weekly)]]*100%</f>
        <v>0.76339421821013487</v>
      </c>
      <c r="AX124" s="109">
        <f t="shared" si="32"/>
        <v>1.185261657556191</v>
      </c>
    </row>
    <row r="125" spans="1:50" hidden="1">
      <c r="A125">
        <v>2025</v>
      </c>
      <c r="B125" t="s">
        <v>23</v>
      </c>
      <c r="C125" t="s">
        <v>173</v>
      </c>
      <c r="D125" t="s">
        <v>168</v>
      </c>
      <c r="E125" t="s">
        <v>24</v>
      </c>
      <c r="F125" s="1" t="s">
        <v>282</v>
      </c>
      <c r="G125">
        <v>8</v>
      </c>
      <c r="H125" t="s">
        <v>158</v>
      </c>
      <c r="I125" t="s">
        <v>279</v>
      </c>
      <c r="J125" s="18" t="s">
        <v>334</v>
      </c>
      <c r="K125" s="55">
        <v>15</v>
      </c>
      <c r="L125" s="55">
        <v>335</v>
      </c>
      <c r="M125" s="55">
        <v>44522000</v>
      </c>
      <c r="N125" s="55">
        <v>3913600</v>
      </c>
      <c r="O125" s="55">
        <v>4250000</v>
      </c>
      <c r="P125">
        <v>2057691</v>
      </c>
      <c r="R125">
        <v>200000</v>
      </c>
      <c r="T125" s="55">
        <f t="shared" si="26"/>
        <v>10421291</v>
      </c>
      <c r="U125" s="55"/>
      <c r="V125" s="55">
        <f>85*35000</f>
        <v>2975000</v>
      </c>
      <c r="W125" s="61">
        <v>0</v>
      </c>
      <c r="X125" s="55">
        <v>125000</v>
      </c>
      <c r="Y125" s="55">
        <f t="shared" si="27"/>
        <v>3100000</v>
      </c>
      <c r="Z125" s="76">
        <f>21%*Table5[[#This Row],[Total Selling (Clients Revenue)]]</f>
        <v>9349620</v>
      </c>
      <c r="AA125" s="55">
        <v>2125000</v>
      </c>
      <c r="AB125" s="61">
        <f>7/28*4551412</f>
        <v>1137853</v>
      </c>
      <c r="AC125" s="61"/>
      <c r="AD125" s="55">
        <v>50000</v>
      </c>
      <c r="AE125" s="55">
        <f t="shared" si="28"/>
        <v>12662473</v>
      </c>
      <c r="AF125" s="55">
        <f t="shared" si="29"/>
        <v>-858818</v>
      </c>
      <c r="AG12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-1146671</v>
      </c>
      <c r="AH125" s="59">
        <f>IFERROR(AG125/(Z125+Table5[[#This Row],[Rider Penalty (Claim, Other Denda to Riders)]]),0)</f>
        <v>-0.1219912081552233</v>
      </c>
      <c r="AI125" s="56">
        <f t="shared" si="30"/>
        <v>287853</v>
      </c>
      <c r="AJ125" s="60">
        <f t="shared" si="31"/>
        <v>8.8221259125066315E-2</v>
      </c>
      <c r="AV125" s="109">
        <f>Table5[[#This Row],[Total Selling Comission/Sales (Weekly)]]/Table5[[#This Row],[Total Revenue Sharing % (Weekly)]]*100%</f>
        <v>0.41858385688402311</v>
      </c>
      <c r="AW125" s="109">
        <f>Table5[[#This Row],[Total Daily Incentive (Weekly)]]/Table5[[#This Row],[Total Revenue Sharing % (Weekly)]]*100%</f>
        <v>0.45456392880138446</v>
      </c>
      <c r="AX125" s="109">
        <f t="shared" si="32"/>
        <v>0.87314778568540752</v>
      </c>
    </row>
    <row r="126" spans="1:50" hidden="1">
      <c r="A126">
        <v>2025</v>
      </c>
      <c r="B126" t="s">
        <v>23</v>
      </c>
      <c r="C126" t="s">
        <v>23</v>
      </c>
      <c r="D126" t="s">
        <v>168</v>
      </c>
      <c r="E126" t="s">
        <v>28</v>
      </c>
      <c r="F126" t="s">
        <v>25</v>
      </c>
      <c r="G126">
        <v>8</v>
      </c>
      <c r="H126" t="s">
        <v>158</v>
      </c>
      <c r="I126" t="s">
        <v>279</v>
      </c>
      <c r="J126" s="18" t="s">
        <v>334</v>
      </c>
      <c r="K126" s="1">
        <v>275</v>
      </c>
      <c r="L126" s="1">
        <v>77850</v>
      </c>
      <c r="M126" s="1">
        <v>682147000</v>
      </c>
      <c r="N126" s="1">
        <v>77764500</v>
      </c>
      <c r="O126" s="1">
        <v>60350000</v>
      </c>
      <c r="P126" s="1">
        <v>54000000</v>
      </c>
      <c r="Q126" s="1"/>
      <c r="R126" s="1">
        <v>5700000</v>
      </c>
      <c r="S126" s="1"/>
      <c r="T126" s="48">
        <f t="shared" si="26"/>
        <v>197814500</v>
      </c>
      <c r="U126" s="1">
        <v>700000</v>
      </c>
      <c r="V126" s="1">
        <v>65520000</v>
      </c>
      <c r="X126" s="1">
        <v>327500</v>
      </c>
      <c r="Y126" s="48">
        <f t="shared" si="27"/>
        <v>66547500</v>
      </c>
      <c r="Z126" s="1">
        <f>23%*Table5[[#This Row],[Total Selling (Clients Revenue)]]</f>
        <v>156893810</v>
      </c>
      <c r="AA126" s="48">
        <v>33696000</v>
      </c>
      <c r="AB126" s="61">
        <f>7/28*134738682</f>
        <v>33684670.5</v>
      </c>
      <c r="AC126" s="61"/>
      <c r="AD126" s="55"/>
      <c r="AE126" s="55">
        <f t="shared" si="28"/>
        <v>224274480.5</v>
      </c>
      <c r="AF126" s="55">
        <f t="shared" si="29"/>
        <v>-40087519.5</v>
      </c>
      <c r="AG12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-41948190</v>
      </c>
      <c r="AH126" s="59">
        <f>IFERROR(AG126/(Z126+Table5[[#This Row],[Rider Penalty (Claim, Other Denda to Riders)]]),0)</f>
        <v>-0.2673667622706084</v>
      </c>
      <c r="AI126" s="56">
        <f t="shared" si="30"/>
        <v>1860670.5</v>
      </c>
      <c r="AJ126" s="60">
        <f t="shared" si="31"/>
        <v>2.7614306687553665E-2</v>
      </c>
      <c r="AK126" s="88" t="s">
        <v>335</v>
      </c>
      <c r="AV126" s="109">
        <f>Table5[[#This Row],[Total Selling Comission/Sales (Weekly)]]/Table5[[#This Row],[Total Revenue Sharing % (Weekly)]]*100%</f>
        <v>0.4956505294887032</v>
      </c>
      <c r="AW126" s="109">
        <f>Table5[[#This Row],[Total Daily Incentive (Weekly)]]/Table5[[#This Row],[Total Revenue Sharing % (Weekly)]]*100%</f>
        <v>0.38465507339008465</v>
      </c>
      <c r="AX126" s="109">
        <f t="shared" si="32"/>
        <v>0.8803056028787879</v>
      </c>
    </row>
    <row r="127" spans="1:50" hidden="1">
      <c r="A127" s="23">
        <v>2025</v>
      </c>
      <c r="B127" s="41" t="s">
        <v>23</v>
      </c>
      <c r="C127" s="41" t="s">
        <v>172</v>
      </c>
      <c r="D127" s="41" t="s">
        <v>168</v>
      </c>
      <c r="E127" s="41" t="s">
        <v>28</v>
      </c>
      <c r="F127" s="41" t="s">
        <v>31</v>
      </c>
      <c r="G127" s="41">
        <v>8</v>
      </c>
      <c r="H127" s="41" t="s">
        <v>158</v>
      </c>
      <c r="I127" s="41" t="s">
        <v>279</v>
      </c>
      <c r="J127" s="47" t="s">
        <v>334</v>
      </c>
      <c r="K127" s="48">
        <v>34</v>
      </c>
      <c r="L127" s="48">
        <v>9954</v>
      </c>
      <c r="M127" s="48">
        <v>87608000</v>
      </c>
      <c r="N127" s="48">
        <v>9952000</v>
      </c>
      <c r="O127" s="48">
        <v>7575000</v>
      </c>
      <c r="P127" s="55">
        <v>7125000</v>
      </c>
      <c r="Q127" s="55"/>
      <c r="R127" s="55">
        <v>900000</v>
      </c>
      <c r="S127" s="55"/>
      <c r="T127" s="55">
        <f t="shared" si="26"/>
        <v>25552000</v>
      </c>
      <c r="U127" s="55"/>
      <c r="V127" s="48">
        <v>7805000</v>
      </c>
      <c r="W127" s="61">
        <v>0</v>
      </c>
      <c r="X127" s="55">
        <v>456000</v>
      </c>
      <c r="Y127" s="55">
        <f t="shared" si="27"/>
        <v>8261000</v>
      </c>
      <c r="Z127" s="55">
        <f>23%*M127</f>
        <v>20149840</v>
      </c>
      <c r="AA127" s="48">
        <v>4014000</v>
      </c>
      <c r="AB127" s="61">
        <f>7/28*15850839</f>
        <v>3962709.75</v>
      </c>
      <c r="AC127" s="61"/>
      <c r="AD127" s="55"/>
      <c r="AE127" s="55">
        <f t="shared" si="28"/>
        <v>28126549.75</v>
      </c>
      <c r="AF127" s="55">
        <f t="shared" si="29"/>
        <v>-5686450.25</v>
      </c>
      <c r="AG12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-5858160</v>
      </c>
      <c r="AH127" s="59">
        <f>IFERROR(AG127/(Z127+Table5[[#This Row],[Rider Penalty (Claim, Other Denda to Riders)]]),0)</f>
        <v>-0.29072985194919659</v>
      </c>
      <c r="AI127" s="56">
        <f t="shared" si="30"/>
        <v>171709.75</v>
      </c>
      <c r="AJ127" s="60">
        <f t="shared" si="31"/>
        <v>2.1526388120114311E-2</v>
      </c>
      <c r="AK127" s="88" t="s">
        <v>335</v>
      </c>
      <c r="AV127" s="109">
        <f>Table5[[#This Row],[Total Selling Comission/Sales (Weekly)]]/Table5[[#This Row],[Total Revenue Sharing % (Weekly)]]*100%</f>
        <v>0.49389970342196265</v>
      </c>
      <c r="AW127" s="109">
        <f>Table5[[#This Row],[Total Daily Incentive (Weekly)]]/Table5[[#This Row],[Total Revenue Sharing % (Weekly)]]*100%</f>
        <v>0.37593350617176119</v>
      </c>
      <c r="AX127" s="109">
        <f t="shared" si="32"/>
        <v>0.86983320959372379</v>
      </c>
    </row>
    <row r="128" spans="1:50" hidden="1">
      <c r="A128" s="23">
        <v>2025</v>
      </c>
      <c r="B128" s="41" t="s">
        <v>27</v>
      </c>
      <c r="C128" s="41" t="s">
        <v>27</v>
      </c>
      <c r="D128" s="41" t="s">
        <v>169</v>
      </c>
      <c r="E128" s="41" t="s">
        <v>28</v>
      </c>
      <c r="F128" s="48" t="s">
        <v>28</v>
      </c>
      <c r="G128" s="41">
        <v>8</v>
      </c>
      <c r="H128" s="41" t="s">
        <v>158</v>
      </c>
      <c r="I128" s="41" t="s">
        <v>279</v>
      </c>
      <c r="J128" s="47" t="s">
        <v>334</v>
      </c>
      <c r="K128" s="48">
        <v>5</v>
      </c>
      <c r="L128" s="48">
        <v>686</v>
      </c>
      <c r="M128" s="48">
        <v>6473000</v>
      </c>
      <c r="N128" s="48">
        <v>686000</v>
      </c>
      <c r="O128" s="48">
        <v>675000</v>
      </c>
      <c r="P128" s="55">
        <v>0</v>
      </c>
      <c r="Q128" s="55"/>
      <c r="R128" s="55"/>
      <c r="S128" s="55"/>
      <c r="T128" s="55">
        <f t="shared" si="26"/>
        <v>1361000</v>
      </c>
      <c r="U128" s="55"/>
      <c r="V128" s="48">
        <v>1225000</v>
      </c>
      <c r="W128" s="61">
        <v>0</v>
      </c>
      <c r="X128" s="55">
        <v>0</v>
      </c>
      <c r="Y128" s="55">
        <f t="shared" si="27"/>
        <v>1225000</v>
      </c>
      <c r="Z128" s="55">
        <f>30%*M128</f>
        <v>1941900</v>
      </c>
      <c r="AA128" s="48">
        <v>350000</v>
      </c>
      <c r="AB128" s="55">
        <v>0</v>
      </c>
      <c r="AC128" s="55"/>
      <c r="AD128" s="55"/>
      <c r="AE128" s="55">
        <f t="shared" si="28"/>
        <v>2291900</v>
      </c>
      <c r="AF128" s="55">
        <f t="shared" si="29"/>
        <v>-294100</v>
      </c>
      <c r="AG12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580900</v>
      </c>
      <c r="AH128" s="59">
        <f>IFERROR(AG128/(Z128+Table5[[#This Row],[Rider Penalty (Claim, Other Denda to Riders)]]),0)</f>
        <v>0.29914001750862557</v>
      </c>
      <c r="AI128" s="56">
        <f t="shared" si="30"/>
        <v>-875000</v>
      </c>
      <c r="AJ128" s="60">
        <f t="shared" si="31"/>
        <v>-2.5</v>
      </c>
      <c r="AK128" s="88" t="s">
        <v>335</v>
      </c>
      <c r="AV128" s="109"/>
      <c r="AW128" s="109"/>
      <c r="AX128" s="109"/>
    </row>
    <row r="129" spans="1:50" hidden="1">
      <c r="A129" s="23">
        <v>2025</v>
      </c>
      <c r="B129" s="41" t="s">
        <v>29</v>
      </c>
      <c r="C129" s="41" t="s">
        <v>29</v>
      </c>
      <c r="D129" s="41" t="s">
        <v>169</v>
      </c>
      <c r="E129" s="41" t="s">
        <v>28</v>
      </c>
      <c r="F129" s="41" t="s">
        <v>28</v>
      </c>
      <c r="G129" s="41">
        <v>8</v>
      </c>
      <c r="H129" s="41" t="s">
        <v>158</v>
      </c>
      <c r="I129" s="41" t="s">
        <v>279</v>
      </c>
      <c r="J129" s="47" t="s">
        <v>334</v>
      </c>
      <c r="K129" s="48">
        <v>4</v>
      </c>
      <c r="L129" s="48">
        <v>344</v>
      </c>
      <c r="M129" s="48">
        <v>3742000</v>
      </c>
      <c r="N129" s="48">
        <v>344000</v>
      </c>
      <c r="O129" s="48">
        <v>500000</v>
      </c>
      <c r="P129" s="55">
        <v>0</v>
      </c>
      <c r="Q129" s="55"/>
      <c r="R129" s="55"/>
      <c r="S129" s="55"/>
      <c r="T129" s="55">
        <f t="shared" si="26"/>
        <v>844000</v>
      </c>
      <c r="U129" s="55"/>
      <c r="V129" s="48">
        <v>840000</v>
      </c>
      <c r="W129" s="61">
        <v>0</v>
      </c>
      <c r="X129" s="55">
        <v>0</v>
      </c>
      <c r="Y129" s="55">
        <f t="shared" si="27"/>
        <v>840000</v>
      </c>
      <c r="Z129" s="55">
        <f>30%*M129</f>
        <v>1122600</v>
      </c>
      <c r="AA129" s="48">
        <v>240000</v>
      </c>
      <c r="AB129" s="55">
        <v>0</v>
      </c>
      <c r="AC129" s="55"/>
      <c r="AD129" s="55"/>
      <c r="AE129" s="55">
        <f t="shared" si="28"/>
        <v>1362600</v>
      </c>
      <c r="AF129" s="55">
        <f t="shared" si="29"/>
        <v>-321400</v>
      </c>
      <c r="AG12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278600</v>
      </c>
      <c r="AH129" s="59">
        <f>IFERROR(AG129/(Z129+Table5[[#This Row],[Rider Penalty (Claim, Other Denda to Riders)]]),0)</f>
        <v>0.24817388205950472</v>
      </c>
      <c r="AI129" s="56">
        <f t="shared" si="30"/>
        <v>-600000</v>
      </c>
      <c r="AJ129" s="60">
        <f t="shared" si="31"/>
        <v>-2.5</v>
      </c>
      <c r="AK129" s="88" t="s">
        <v>335</v>
      </c>
      <c r="AV129" s="109"/>
      <c r="AW129" s="109"/>
      <c r="AX129" s="109"/>
    </row>
    <row r="130" spans="1:50" hidden="1">
      <c r="A130" s="23">
        <v>2025</v>
      </c>
      <c r="B130" s="41" t="s">
        <v>34</v>
      </c>
      <c r="C130" s="41" t="s">
        <v>34</v>
      </c>
      <c r="D130" s="41" t="s">
        <v>169</v>
      </c>
      <c r="E130" s="41" t="s">
        <v>28</v>
      </c>
      <c r="F130" s="41" t="s">
        <v>28</v>
      </c>
      <c r="G130" s="41">
        <v>8</v>
      </c>
      <c r="H130" s="41" t="s">
        <v>158</v>
      </c>
      <c r="I130" s="41" t="s">
        <v>279</v>
      </c>
      <c r="J130" s="47" t="s">
        <v>334</v>
      </c>
      <c r="K130" s="48">
        <v>2</v>
      </c>
      <c r="L130" s="48">
        <v>52</v>
      </c>
      <c r="M130" s="48">
        <v>352000</v>
      </c>
      <c r="N130" s="48">
        <v>52000</v>
      </c>
      <c r="O130" s="48">
        <v>125000</v>
      </c>
      <c r="P130" s="61"/>
      <c r="Q130" s="61"/>
      <c r="R130" s="61"/>
      <c r="S130" s="61"/>
      <c r="T130" s="61">
        <f t="shared" si="26"/>
        <v>177000</v>
      </c>
      <c r="U130" s="61"/>
      <c r="V130" s="1">
        <v>490000</v>
      </c>
      <c r="W130" s="61">
        <v>0</v>
      </c>
      <c r="X130" s="61">
        <v>0</v>
      </c>
      <c r="Y130" s="48">
        <f t="shared" si="27"/>
        <v>490000</v>
      </c>
      <c r="Z130" s="61">
        <f>35%*M130</f>
        <v>123199.99999999999</v>
      </c>
      <c r="AA130" s="48">
        <v>90000</v>
      </c>
      <c r="AB130" s="61">
        <v>0</v>
      </c>
      <c r="AC130" s="61"/>
      <c r="AD130" s="61"/>
      <c r="AE130" s="61">
        <f t="shared" si="28"/>
        <v>213200</v>
      </c>
      <c r="AF130" s="61">
        <f t="shared" si="29"/>
        <v>-453800</v>
      </c>
      <c r="AG13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-53800.000000000015</v>
      </c>
      <c r="AH130" s="13">
        <f>IFERROR(AG130/(Z130+Table5[[#This Row],[Rider Penalty (Claim, Other Denda to Riders)]]),0)</f>
        <v>-0.43668831168831185</v>
      </c>
      <c r="AI130" s="62">
        <f t="shared" si="30"/>
        <v>-400000</v>
      </c>
      <c r="AJ130" s="60">
        <f t="shared" si="31"/>
        <v>-4.4444444444444446</v>
      </c>
      <c r="AK130" s="88" t="s">
        <v>335</v>
      </c>
      <c r="AV130" s="109"/>
      <c r="AW130" s="109"/>
      <c r="AX130" s="109"/>
    </row>
    <row r="131" spans="1:50" hidden="1">
      <c r="A131" s="23">
        <v>2025</v>
      </c>
      <c r="B131" s="41" t="s">
        <v>201</v>
      </c>
      <c r="C131" s="41" t="s">
        <v>201</v>
      </c>
      <c r="D131" s="41" t="s">
        <v>169</v>
      </c>
      <c r="E131" s="41" t="s">
        <v>28</v>
      </c>
      <c r="F131" s="41" t="s">
        <v>28</v>
      </c>
      <c r="G131" s="41">
        <v>8</v>
      </c>
      <c r="H131" s="41" t="s">
        <v>158</v>
      </c>
      <c r="I131" s="41" t="s">
        <v>279</v>
      </c>
      <c r="J131" s="47" t="s">
        <v>334</v>
      </c>
      <c r="K131" s="48">
        <v>4</v>
      </c>
      <c r="L131" s="48">
        <v>389</v>
      </c>
      <c r="M131" s="48">
        <v>4370000</v>
      </c>
      <c r="N131" s="48">
        <v>389000</v>
      </c>
      <c r="O131" s="48">
        <v>525000</v>
      </c>
      <c r="P131" s="41"/>
      <c r="Q131" s="41"/>
      <c r="R131" s="41"/>
      <c r="S131" s="41"/>
      <c r="T131" s="57">
        <f t="shared" si="26"/>
        <v>914000</v>
      </c>
      <c r="U131" s="41"/>
      <c r="V131" s="1">
        <v>980000</v>
      </c>
      <c r="W131" s="86">
        <v>0</v>
      </c>
      <c r="X131" s="1">
        <v>0</v>
      </c>
      <c r="Y131" s="48">
        <f t="shared" si="27"/>
        <v>980000</v>
      </c>
      <c r="Z131" s="57">
        <f>30%*M131</f>
        <v>1311000</v>
      </c>
      <c r="AA131" s="48">
        <v>280000</v>
      </c>
      <c r="AB131" s="1">
        <v>0</v>
      </c>
      <c r="AC131" s="1"/>
      <c r="AD131" s="41"/>
      <c r="AE131" s="41">
        <f t="shared" si="28"/>
        <v>1591000</v>
      </c>
      <c r="AF131" s="57">
        <f t="shared" si="29"/>
        <v>-303000</v>
      </c>
      <c r="AG13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397000</v>
      </c>
      <c r="AH131" s="59">
        <f>IFERROR(AG131/(Z131+Table5[[#This Row],[Rider Penalty (Claim, Other Denda to Riders)]]),0)</f>
        <v>0.30282227307398935</v>
      </c>
      <c r="AI131" s="57">
        <f t="shared" si="30"/>
        <v>-700000</v>
      </c>
      <c r="AJ131" s="60">
        <f t="shared" si="31"/>
        <v>-2.5</v>
      </c>
      <c r="AK131" s="88" t="s">
        <v>335</v>
      </c>
      <c r="AV131" s="109"/>
      <c r="AW131" s="109"/>
      <c r="AX131" s="109"/>
    </row>
    <row r="132" spans="1:50" hidden="1">
      <c r="A132" s="23">
        <v>2025</v>
      </c>
      <c r="B132" s="41" t="s">
        <v>171</v>
      </c>
      <c r="C132" s="41" t="s">
        <v>171</v>
      </c>
      <c r="D132" s="41" t="s">
        <v>168</v>
      </c>
      <c r="E132" s="41" t="s">
        <v>28</v>
      </c>
      <c r="F132" s="41" t="s">
        <v>28</v>
      </c>
      <c r="G132" s="41">
        <v>8</v>
      </c>
      <c r="H132" s="41" t="s">
        <v>158</v>
      </c>
      <c r="I132" s="41" t="s">
        <v>279</v>
      </c>
      <c r="J132" s="47" t="s">
        <v>334</v>
      </c>
      <c r="K132" s="48">
        <v>5</v>
      </c>
      <c r="L132" s="48">
        <v>640</v>
      </c>
      <c r="M132" s="48">
        <v>1806000</v>
      </c>
      <c r="N132" s="48">
        <v>138500</v>
      </c>
      <c r="O132" s="48">
        <v>575000</v>
      </c>
      <c r="T132" s="57">
        <f t="shared" si="26"/>
        <v>713500</v>
      </c>
      <c r="V132" s="1">
        <v>805000</v>
      </c>
      <c r="W132" s="86">
        <v>0</v>
      </c>
      <c r="X132" s="1">
        <v>0</v>
      </c>
      <c r="Y132" s="48">
        <f t="shared" si="27"/>
        <v>805000</v>
      </c>
      <c r="Z132" s="12">
        <f>30%*M132</f>
        <v>541800</v>
      </c>
      <c r="AA132" s="48">
        <v>230000</v>
      </c>
      <c r="AB132" s="1">
        <v>0</v>
      </c>
      <c r="AC132" s="1"/>
      <c r="AE132">
        <f t="shared" si="28"/>
        <v>771800</v>
      </c>
      <c r="AF132" s="12">
        <f t="shared" si="29"/>
        <v>-746700</v>
      </c>
      <c r="AG13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-171700</v>
      </c>
      <c r="AH132" s="13">
        <f>IFERROR(AG132/(Z132+Table5[[#This Row],[Rider Penalty (Claim, Other Denda to Riders)]]),0)</f>
        <v>-0.31690660760428202</v>
      </c>
      <c r="AI132" s="12">
        <f t="shared" si="30"/>
        <v>-575000</v>
      </c>
      <c r="AJ132" s="60">
        <f t="shared" si="31"/>
        <v>-2.5</v>
      </c>
      <c r="AK132" s="88" t="s">
        <v>335</v>
      </c>
      <c r="AV132" s="109"/>
      <c r="AW132" s="109"/>
      <c r="AX132" s="109"/>
    </row>
    <row r="133" spans="1:50" hidden="1">
      <c r="A133" s="41">
        <v>2025</v>
      </c>
      <c r="B133" s="41" t="s">
        <v>33</v>
      </c>
      <c r="C133" s="41" t="s">
        <v>33</v>
      </c>
      <c r="D133" s="41" t="s">
        <v>169</v>
      </c>
      <c r="E133" s="41" t="s">
        <v>28</v>
      </c>
      <c r="F133" s="41" t="s">
        <v>28</v>
      </c>
      <c r="G133" s="41">
        <v>8</v>
      </c>
      <c r="H133" s="41" t="s">
        <v>158</v>
      </c>
      <c r="I133" s="41" t="s">
        <v>279</v>
      </c>
      <c r="J133" s="47" t="s">
        <v>334</v>
      </c>
      <c r="K133" s="55">
        <v>1</v>
      </c>
      <c r="L133" s="55">
        <v>27</v>
      </c>
      <c r="M133" s="48">
        <v>258000</v>
      </c>
      <c r="N133" s="48">
        <v>27000</v>
      </c>
      <c r="O133" s="48">
        <v>100000</v>
      </c>
      <c r="P133" s="41"/>
      <c r="Q133" s="41"/>
      <c r="R133" s="41"/>
      <c r="S133" s="41"/>
      <c r="T133" s="57">
        <f t="shared" si="26"/>
        <v>127000</v>
      </c>
      <c r="U133" s="41"/>
      <c r="V133" s="1">
        <v>245000</v>
      </c>
      <c r="W133" s="86">
        <v>0</v>
      </c>
      <c r="X133" s="1">
        <v>0</v>
      </c>
      <c r="Y133" s="57">
        <f t="shared" si="27"/>
        <v>245000</v>
      </c>
      <c r="Z133" s="57">
        <f>25%*M133</f>
        <v>64500</v>
      </c>
      <c r="AA133" s="48">
        <v>70000</v>
      </c>
      <c r="AB133" s="1">
        <v>0</v>
      </c>
      <c r="AC133" s="1"/>
      <c r="AD133" s="41"/>
      <c r="AE133" s="41">
        <f t="shared" si="28"/>
        <v>134500</v>
      </c>
      <c r="AF133" s="57">
        <f t="shared" si="29"/>
        <v>-237500</v>
      </c>
      <c r="AG13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-62500</v>
      </c>
      <c r="AH133" s="59">
        <f>IFERROR(AG133/(Z133+Table5[[#This Row],[Rider Penalty (Claim, Other Denda to Riders)]]),0)</f>
        <v>-0.96899224806201545</v>
      </c>
      <c r="AI133" s="57">
        <f t="shared" si="30"/>
        <v>-175000</v>
      </c>
      <c r="AJ133" s="60">
        <f t="shared" si="31"/>
        <v>-2.5</v>
      </c>
      <c r="AK133" s="88" t="s">
        <v>335</v>
      </c>
      <c r="AV133" s="109"/>
      <c r="AW133" s="109"/>
      <c r="AX133" s="109"/>
    </row>
    <row r="134" spans="1:50" hidden="1">
      <c r="A134" s="41">
        <v>2025</v>
      </c>
      <c r="B134" s="41" t="s">
        <v>200</v>
      </c>
      <c r="C134" s="41" t="s">
        <v>200</v>
      </c>
      <c r="D134" s="41" t="s">
        <v>169</v>
      </c>
      <c r="E134" s="41" t="s">
        <v>28</v>
      </c>
      <c r="F134" s="41" t="s">
        <v>28</v>
      </c>
      <c r="G134" s="41">
        <v>8</v>
      </c>
      <c r="H134" s="41" t="s">
        <v>158</v>
      </c>
      <c r="I134" s="41" t="s">
        <v>279</v>
      </c>
      <c r="J134" s="47" t="s">
        <v>334</v>
      </c>
      <c r="K134" s="55">
        <v>1</v>
      </c>
      <c r="L134" s="55">
        <v>46</v>
      </c>
      <c r="M134" s="48">
        <v>479000</v>
      </c>
      <c r="N134" s="48">
        <v>46000</v>
      </c>
      <c r="O134" s="48">
        <v>75000</v>
      </c>
      <c r="T134" s="57">
        <f t="shared" si="26"/>
        <v>121000</v>
      </c>
      <c r="V134" s="76">
        <v>245000</v>
      </c>
      <c r="W134" s="86">
        <v>0</v>
      </c>
      <c r="X134" s="76">
        <v>0</v>
      </c>
      <c r="Y134" s="12">
        <f t="shared" si="27"/>
        <v>245000</v>
      </c>
      <c r="Z134" s="12">
        <f>35%*M134</f>
        <v>167650</v>
      </c>
      <c r="AA134" s="48">
        <v>70000</v>
      </c>
      <c r="AE134">
        <f t="shared" si="28"/>
        <v>237650</v>
      </c>
      <c r="AF134" s="12">
        <f t="shared" si="29"/>
        <v>-128350</v>
      </c>
      <c r="AG13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46650</v>
      </c>
      <c r="AH134" s="13">
        <f>IFERROR(AG134/(Z134+Table5[[#This Row],[Rider Penalty (Claim, Other Denda to Riders)]]),0)</f>
        <v>0.27825827617059351</v>
      </c>
      <c r="AI134" s="12">
        <f t="shared" si="30"/>
        <v>-175000</v>
      </c>
      <c r="AJ134" s="60">
        <f t="shared" si="31"/>
        <v>-2.5</v>
      </c>
      <c r="AK134" s="88" t="s">
        <v>335</v>
      </c>
      <c r="AV134" s="109"/>
      <c r="AW134" s="109"/>
      <c r="AX134" s="109"/>
    </row>
    <row r="135" spans="1:50" hidden="1">
      <c r="A135" s="23">
        <v>2025</v>
      </c>
      <c r="B135" s="41" t="s">
        <v>171</v>
      </c>
      <c r="C135" s="41" t="s">
        <v>171</v>
      </c>
      <c r="D135" s="41" t="s">
        <v>168</v>
      </c>
      <c r="E135" s="41" t="s">
        <v>28</v>
      </c>
      <c r="F135" s="41" t="s">
        <v>28</v>
      </c>
      <c r="G135">
        <v>5</v>
      </c>
      <c r="H135" t="s">
        <v>158</v>
      </c>
      <c r="I135" t="s">
        <v>275</v>
      </c>
      <c r="J135" s="47" t="s">
        <v>336</v>
      </c>
      <c r="K135" s="55">
        <v>1</v>
      </c>
      <c r="L135" s="55">
        <v>52</v>
      </c>
      <c r="M135" s="95">
        <f>SUM(M134:M134)</f>
        <v>479000</v>
      </c>
      <c r="N135" s="48">
        <v>17100</v>
      </c>
      <c r="O135" s="55">
        <v>50000</v>
      </c>
      <c r="P135" s="41"/>
      <c r="Q135" s="41"/>
      <c r="R135" s="41"/>
      <c r="S135" s="41"/>
      <c r="T135" s="57">
        <f t="shared" si="26"/>
        <v>67100</v>
      </c>
      <c r="U135" s="41"/>
      <c r="V135" s="55">
        <f>7*33300</f>
        <v>233100</v>
      </c>
      <c r="W135" s="86"/>
      <c r="X135" s="55"/>
      <c r="Y135" s="57">
        <f t="shared" si="27"/>
        <v>233100</v>
      </c>
      <c r="Z135" s="57">
        <f>30%*M135</f>
        <v>143700</v>
      </c>
      <c r="AA135" s="55">
        <v>0</v>
      </c>
      <c r="AB135" s="41">
        <v>0</v>
      </c>
      <c r="AC135" s="41"/>
      <c r="AD135" s="41"/>
      <c r="AE135" s="41">
        <f t="shared" si="28"/>
        <v>143700</v>
      </c>
      <c r="AF135" s="57">
        <f t="shared" si="29"/>
        <v>-156500</v>
      </c>
      <c r="AG13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76600</v>
      </c>
      <c r="AH135" s="59">
        <f>IFERROR(AG135/(Z135+Table5[[#This Row],[Rider Penalty (Claim, Other Denda to Riders)]]),0)</f>
        <v>0.53305497564370219</v>
      </c>
      <c r="AI135" s="57">
        <f t="shared" si="30"/>
        <v>-233100</v>
      </c>
      <c r="AJ135" s="60">
        <f t="shared" si="31"/>
        <v>0</v>
      </c>
      <c r="AK135" s="88" t="s">
        <v>296</v>
      </c>
      <c r="AV135" s="109"/>
      <c r="AW135" s="109"/>
      <c r="AX135" s="109"/>
    </row>
    <row r="136" spans="1:50" hidden="1">
      <c r="A136" s="41">
        <v>2025</v>
      </c>
      <c r="B136" s="41" t="s">
        <v>23</v>
      </c>
      <c r="C136" s="41" t="s">
        <v>174</v>
      </c>
      <c r="D136" s="41" t="s">
        <v>168</v>
      </c>
      <c r="E136" s="41" t="s">
        <v>24</v>
      </c>
      <c r="F136" s="41" t="s">
        <v>24</v>
      </c>
      <c r="G136" s="41">
        <v>9</v>
      </c>
      <c r="H136" s="41" t="s">
        <v>158</v>
      </c>
      <c r="I136" s="41" t="s">
        <v>280</v>
      </c>
      <c r="J136" s="47" t="s">
        <v>337</v>
      </c>
      <c r="K136" s="55">
        <v>63</v>
      </c>
      <c r="L136" s="55">
        <v>9138</v>
      </c>
      <c r="M136" s="55">
        <v>83148000</v>
      </c>
      <c r="N136" s="55">
        <f>6/7*8202600</f>
        <v>7030800</v>
      </c>
      <c r="O136" s="55">
        <f>6/7*16000000</f>
        <v>13714285.714285713</v>
      </c>
      <c r="P136" s="41">
        <v>0</v>
      </c>
      <c r="Q136" s="41"/>
      <c r="R136" s="41">
        <v>0</v>
      </c>
      <c r="S136" s="41"/>
      <c r="T136" s="57">
        <f t="shared" si="26"/>
        <v>20745085.714285713</v>
      </c>
      <c r="U136" s="41">
        <f>6/7*840000</f>
        <v>720000</v>
      </c>
      <c r="V136" s="55">
        <f>6/7*11200000</f>
        <v>9600000</v>
      </c>
      <c r="W136" s="61">
        <v>0</v>
      </c>
      <c r="X136" s="55">
        <v>0</v>
      </c>
      <c r="Y136" s="57">
        <f t="shared" si="27"/>
        <v>10320000</v>
      </c>
      <c r="Z136" s="76">
        <f>21%*Table5[[#This Row],[Total Selling (Clients Revenue)]]</f>
        <v>17461080</v>
      </c>
      <c r="AA136" s="55">
        <f>6/7*7775000</f>
        <v>6664285.7142857136</v>
      </c>
      <c r="AB136" s="61">
        <f>6/28*17211301</f>
        <v>3688135.9285714282</v>
      </c>
      <c r="AC136" s="61"/>
      <c r="AD136" s="41">
        <v>1600000</v>
      </c>
      <c r="AE136" s="41">
        <f t="shared" si="28"/>
        <v>29413501.642857142</v>
      </c>
      <c r="AF136" s="57">
        <f t="shared" si="29"/>
        <v>-1651584.0714285709</v>
      </c>
      <c r="AG13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-2404005.7142857127</v>
      </c>
      <c r="AH136" s="59">
        <f>IFERROR(AG136/(Z136+Table5[[#This Row],[Rider Penalty (Claim, Other Denda to Riders)]]),0)</f>
        <v>-0.12612117016904145</v>
      </c>
      <c r="AI136" s="57">
        <f t="shared" si="30"/>
        <v>752421.64285714179</v>
      </c>
      <c r="AJ136" s="60">
        <f t="shared" si="31"/>
        <v>7.2680737784312527E-2</v>
      </c>
      <c r="AV136" s="109">
        <f>Table5[[#This Row],[Total Selling Comission/Sales (Weekly)]]/Table5[[#This Row],[Total Revenue Sharing % (Weekly)]]*100%</f>
        <v>0.40265550584499926</v>
      </c>
      <c r="AW136" s="109">
        <f>Table5[[#This Row],[Total Daily Incentive (Weekly)]]/Table5[[#This Row],[Total Revenue Sharing % (Weekly)]]*100%</f>
        <v>0.7854202440104342</v>
      </c>
      <c r="AX136" s="109">
        <f t="shared" ref="AX136:AX143" si="33">(N136+O136)/Z136*100%</f>
        <v>1.1880757498554335</v>
      </c>
    </row>
    <row r="137" spans="1:50" hidden="1">
      <c r="A137" s="41">
        <v>2025</v>
      </c>
      <c r="B137" s="41" t="s">
        <v>23</v>
      </c>
      <c r="C137" s="41" t="s">
        <v>174</v>
      </c>
      <c r="D137" s="41" t="s">
        <v>168</v>
      </c>
      <c r="E137" s="41" t="s">
        <v>24</v>
      </c>
      <c r="F137" s="41" t="s">
        <v>24</v>
      </c>
      <c r="G137" s="41">
        <v>9</v>
      </c>
      <c r="H137" s="41" t="s">
        <v>159</v>
      </c>
      <c r="I137" s="41" t="s">
        <v>275</v>
      </c>
      <c r="J137" s="58">
        <v>45717</v>
      </c>
      <c r="K137" s="55">
        <v>51</v>
      </c>
      <c r="L137" s="55">
        <v>1116</v>
      </c>
      <c r="M137" s="55">
        <v>10336000</v>
      </c>
      <c r="N137" s="55">
        <f>1/7*8202600</f>
        <v>1171800</v>
      </c>
      <c r="O137" s="55">
        <f>1/7*16000000</f>
        <v>2285714.2857142854</v>
      </c>
      <c r="P137" s="41">
        <v>0</v>
      </c>
      <c r="Q137" s="41"/>
      <c r="R137" s="41">
        <v>0</v>
      </c>
      <c r="S137" s="41"/>
      <c r="T137" s="57">
        <f t="shared" si="26"/>
        <v>3457514.2857142854</v>
      </c>
      <c r="U137" s="41">
        <f>1/7*840000</f>
        <v>120000</v>
      </c>
      <c r="V137" s="55">
        <f>1/7*11200000</f>
        <v>1600000</v>
      </c>
      <c r="W137" s="61"/>
      <c r="X137" s="55"/>
      <c r="Y137" s="57">
        <f t="shared" si="27"/>
        <v>1720000</v>
      </c>
      <c r="Z137" s="55">
        <f>21%*M137</f>
        <v>2170560</v>
      </c>
      <c r="AA137" s="139">
        <f>1/7*7775000</f>
        <v>1110714.2857142857</v>
      </c>
      <c r="AB137" s="138">
        <f>1/31*20882737</f>
        <v>673636.67741935479</v>
      </c>
      <c r="AC137" s="138"/>
      <c r="AD137" s="41">
        <v>0</v>
      </c>
      <c r="AE137" s="41">
        <f t="shared" si="28"/>
        <v>3954910.9631336401</v>
      </c>
      <c r="AF137" s="57">
        <f t="shared" si="29"/>
        <v>-1222603.3225806453</v>
      </c>
      <c r="AG13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-1406954.2857142854</v>
      </c>
      <c r="AH137" s="59">
        <f>IFERROR(AG137/(Z137+Table5[[#This Row],[Rider Penalty (Claim, Other Denda to Riders)]]),0)</f>
        <v>-0.64819875318548459</v>
      </c>
      <c r="AI137" s="57">
        <f t="shared" si="30"/>
        <v>184350.96313364059</v>
      </c>
      <c r="AJ137" s="60">
        <f t="shared" si="31"/>
        <v>0.10331541660945849</v>
      </c>
      <c r="AV137" s="109">
        <f>Table5[[#This Row],[Total Selling Comission/Sales (Weekly)]]/Table5[[#This Row],[Total Revenue Sharing % (Weekly)]]*100%</f>
        <v>0.5398606811145511</v>
      </c>
      <c r="AW137" s="109">
        <f>Table5[[#This Row],[Total Daily Incentive (Weekly)]]/Table5[[#This Row],[Total Revenue Sharing % (Weekly)]]*100%</f>
        <v>1.0530528000673953</v>
      </c>
      <c r="AX137" s="109">
        <f t="shared" si="33"/>
        <v>1.5929134811819463</v>
      </c>
    </row>
    <row r="138" spans="1:50" hidden="1">
      <c r="A138">
        <v>2025</v>
      </c>
      <c r="B138" t="s">
        <v>23</v>
      </c>
      <c r="C138" t="s">
        <v>173</v>
      </c>
      <c r="D138" t="s">
        <v>168</v>
      </c>
      <c r="E138" t="s">
        <v>24</v>
      </c>
      <c r="F138" s="76" t="s">
        <v>282</v>
      </c>
      <c r="G138">
        <v>9</v>
      </c>
      <c r="H138" s="41" t="s">
        <v>158</v>
      </c>
      <c r="I138" s="41" t="s">
        <v>280</v>
      </c>
      <c r="J138" s="47" t="s">
        <v>337</v>
      </c>
      <c r="K138" s="61">
        <v>13</v>
      </c>
      <c r="L138" s="61">
        <v>3861</v>
      </c>
      <c r="M138" s="61">
        <v>35064000</v>
      </c>
      <c r="N138" s="61">
        <f>6/7*3352000</f>
        <v>2873142.8571428568</v>
      </c>
      <c r="O138" s="61">
        <f>6/7*3500000</f>
        <v>3000000</v>
      </c>
      <c r="P138">
        <v>0</v>
      </c>
      <c r="R138">
        <v>0</v>
      </c>
      <c r="T138" s="12">
        <f t="shared" si="26"/>
        <v>5873142.8571428563</v>
      </c>
      <c r="U138">
        <v>0</v>
      </c>
      <c r="V138" s="61">
        <f>6/7*2450000</f>
        <v>2100000</v>
      </c>
      <c r="W138" s="86">
        <v>0</v>
      </c>
      <c r="X138" s="61">
        <f>6/7*125000</f>
        <v>107142.85714285713</v>
      </c>
      <c r="Y138" s="12">
        <f t="shared" si="27"/>
        <v>2207142.8571428573</v>
      </c>
      <c r="Z138" s="76">
        <f>21%*Table5[[#This Row],[Total Selling (Clients Revenue)]]</f>
        <v>7363440</v>
      </c>
      <c r="AA138" s="61">
        <f>6/7*1725000</f>
        <v>1478571.4285714284</v>
      </c>
      <c r="AB138" s="61">
        <f>6/28*4551412</f>
        <v>975302.57142857136</v>
      </c>
      <c r="AC138" s="61"/>
      <c r="AD138">
        <v>250000</v>
      </c>
      <c r="AE138">
        <f t="shared" si="28"/>
        <v>10067314</v>
      </c>
      <c r="AF138" s="12">
        <f t="shared" si="29"/>
        <v>1987028.2857142864</v>
      </c>
      <c r="AG13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1633154.2857142866</v>
      </c>
      <c r="AH138" s="13">
        <f>IFERROR(AG138/(Z138+Table5[[#This Row],[Rider Penalty (Claim, Other Denda to Riders)]]),0)</f>
        <v>0.21450937890287264</v>
      </c>
      <c r="AI138" s="12">
        <f t="shared" si="30"/>
        <v>353874</v>
      </c>
      <c r="AJ138" s="92">
        <f t="shared" si="31"/>
        <v>0.14421033842813444</v>
      </c>
      <c r="AV138" s="109">
        <f>Table5[[#This Row],[Total Selling Comission/Sales (Weekly)]]/Table5[[#This Row],[Total Revenue Sharing % (Weekly)]]*100%</f>
        <v>0.39019029925454091</v>
      </c>
      <c r="AW138" s="109">
        <f>Table5[[#This Row],[Total Daily Incentive (Weekly)]]/Table5[[#This Row],[Total Revenue Sharing % (Weekly)]]*100%</f>
        <v>0.40741827189465796</v>
      </c>
      <c r="AX138" s="109">
        <f t="shared" si="33"/>
        <v>0.79760857114919881</v>
      </c>
    </row>
    <row r="139" spans="1:50" hidden="1">
      <c r="A139">
        <v>2025</v>
      </c>
      <c r="B139" t="s">
        <v>23</v>
      </c>
      <c r="C139" t="s">
        <v>173</v>
      </c>
      <c r="D139" t="s">
        <v>168</v>
      </c>
      <c r="E139" t="s">
        <v>24</v>
      </c>
      <c r="F139" s="76" t="s">
        <v>282</v>
      </c>
      <c r="G139">
        <v>9</v>
      </c>
      <c r="H139" s="41" t="s">
        <v>159</v>
      </c>
      <c r="I139" s="41" t="s">
        <v>275</v>
      </c>
      <c r="J139" s="58">
        <v>45717</v>
      </c>
      <c r="K139" s="55">
        <v>7</v>
      </c>
      <c r="L139" s="55">
        <v>329</v>
      </c>
      <c r="M139" s="55">
        <v>2948000</v>
      </c>
      <c r="N139" s="61">
        <f>1/7*3352000</f>
        <v>478857.14285714284</v>
      </c>
      <c r="O139" s="61">
        <f>1/7*3500000</f>
        <v>500000</v>
      </c>
      <c r="P139" s="41">
        <v>0</v>
      </c>
      <c r="Q139" s="41"/>
      <c r="R139" s="41">
        <v>0</v>
      </c>
      <c r="S139" s="41"/>
      <c r="T139" s="57">
        <f t="shared" si="26"/>
        <v>978857.14285714284</v>
      </c>
      <c r="U139" s="41">
        <v>0</v>
      </c>
      <c r="V139" s="61">
        <f>1/7*2450000</f>
        <v>350000</v>
      </c>
      <c r="W139" s="86"/>
      <c r="X139" s="61">
        <f>1/7*125000</f>
        <v>17857.142857142855</v>
      </c>
      <c r="Y139" s="57">
        <f t="shared" si="27"/>
        <v>367857.14285714284</v>
      </c>
      <c r="Z139" s="55">
        <f>21%*M139</f>
        <v>619080</v>
      </c>
      <c r="AA139" s="140">
        <f>1/7*1725000</f>
        <v>246428.57142857142</v>
      </c>
      <c r="AB139">
        <f>1/31*4745414</f>
        <v>153077.87096774194</v>
      </c>
      <c r="AD139" s="41">
        <v>0</v>
      </c>
      <c r="AE139" s="41">
        <f t="shared" si="28"/>
        <v>1018586.4423963133</v>
      </c>
      <c r="AF139" s="57">
        <f t="shared" si="29"/>
        <v>-328127.84331797238</v>
      </c>
      <c r="AG13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-377634.28571428568</v>
      </c>
      <c r="AH139" s="59">
        <f>IFERROR(AG139/(Z139+Table5[[#This Row],[Rider Penalty (Claim, Other Denda to Riders)]]),0)</f>
        <v>-0.60999270807373152</v>
      </c>
      <c r="AI139" s="57">
        <f t="shared" si="30"/>
        <v>49506.442396313359</v>
      </c>
      <c r="AJ139" s="60">
        <f t="shared" si="31"/>
        <v>0.12391900891350983</v>
      </c>
      <c r="AV139" s="109">
        <f>Table5[[#This Row],[Total Selling Comission/Sales (Weekly)]]/Table5[[#This Row],[Total Revenue Sharing % (Weekly)]]*100%</f>
        <v>0.77349800164299098</v>
      </c>
      <c r="AW139" s="109">
        <f>Table5[[#This Row],[Total Daily Incentive (Weekly)]]/Table5[[#This Row],[Total Revenue Sharing % (Weekly)]]*100%</f>
        <v>0.80765006138140472</v>
      </c>
      <c r="AX139" s="109">
        <f t="shared" si="33"/>
        <v>1.5811480630243957</v>
      </c>
    </row>
    <row r="140" spans="1:50" hidden="1">
      <c r="A140">
        <v>2025</v>
      </c>
      <c r="B140" t="s">
        <v>23</v>
      </c>
      <c r="C140" t="s">
        <v>172</v>
      </c>
      <c r="D140" t="s">
        <v>168</v>
      </c>
      <c r="E140" s="41" t="s">
        <v>28</v>
      </c>
      <c r="F140" s="41" t="s">
        <v>31</v>
      </c>
      <c r="G140">
        <v>9</v>
      </c>
      <c r="H140" s="41" t="s">
        <v>158</v>
      </c>
      <c r="I140" s="41" t="s">
        <v>280</v>
      </c>
      <c r="J140" s="47" t="s">
        <v>337</v>
      </c>
      <c r="K140" s="55">
        <v>33</v>
      </c>
      <c r="L140" s="55">
        <v>7648</v>
      </c>
      <c r="M140" s="55">
        <v>67515000</v>
      </c>
      <c r="N140" s="55">
        <f>6/7*8575500</f>
        <v>7350428.5714285709</v>
      </c>
      <c r="O140" s="55">
        <f>6/7*6600000</f>
        <v>5657142.8571428573</v>
      </c>
      <c r="P140" s="41">
        <v>0</v>
      </c>
      <c r="Q140" s="41"/>
      <c r="R140" s="41">
        <v>0</v>
      </c>
      <c r="S140" s="41"/>
      <c r="T140" s="57">
        <f t="shared" ref="T140:T171" si="34">SUM(N140:R140)</f>
        <v>13007571.428571429</v>
      </c>
      <c r="U140" s="41">
        <v>0</v>
      </c>
      <c r="V140" s="55">
        <f>6/7*4752000</f>
        <v>4073142.8571428568</v>
      </c>
      <c r="W140" s="86"/>
      <c r="X140" s="55">
        <f>6/7*456000</f>
        <v>390857.14285714284</v>
      </c>
      <c r="Y140" s="57">
        <f t="shared" ref="Y140:Y171" si="35">SUM(U140:X140)</f>
        <v>4464000</v>
      </c>
      <c r="Z140" s="57">
        <f>23%*M140</f>
        <v>15528450</v>
      </c>
      <c r="AA140" s="55">
        <f>6/7*4158000</f>
        <v>3564000</v>
      </c>
      <c r="AB140" s="61">
        <f>6/28*15850839</f>
        <v>3396608.3571428568</v>
      </c>
      <c r="AC140" s="61"/>
      <c r="AD140" s="41">
        <v>0</v>
      </c>
      <c r="AE140" s="41">
        <f t="shared" si="28"/>
        <v>22489058.357142858</v>
      </c>
      <c r="AF140" s="57">
        <f t="shared" si="29"/>
        <v>5017486.9285714291</v>
      </c>
      <c r="AG14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2130021.4285714282</v>
      </c>
      <c r="AH140" s="59">
        <f>IFERROR(AG140/(Z140+Table5[[#This Row],[Rider Penalty (Claim, Other Denda to Riders)]]),0)</f>
        <v>0.13716896590267721</v>
      </c>
      <c r="AI140" s="57">
        <f t="shared" si="30"/>
        <v>2887465.4999999995</v>
      </c>
      <c r="AJ140" s="60">
        <f t="shared" si="31"/>
        <v>0.41482947349522004</v>
      </c>
      <c r="AV140" s="109">
        <f>Table5[[#This Row],[Total Selling Comission/Sales (Weekly)]]/Table5[[#This Row],[Total Revenue Sharing % (Weekly)]]*100%</f>
        <v>0.47335236752081317</v>
      </c>
      <c r="AW140" s="109">
        <f>Table5[[#This Row],[Total Daily Incentive (Weekly)]]/Table5[[#This Row],[Total Revenue Sharing % (Weekly)]]*100%</f>
        <v>0.3643082765596603</v>
      </c>
      <c r="AX140" s="109">
        <f t="shared" si="33"/>
        <v>0.83766064408047347</v>
      </c>
    </row>
    <row r="141" spans="1:50" hidden="1">
      <c r="A141">
        <v>2025</v>
      </c>
      <c r="B141" t="s">
        <v>23</v>
      </c>
      <c r="C141" t="s">
        <v>172</v>
      </c>
      <c r="D141" t="s">
        <v>168</v>
      </c>
      <c r="E141" s="41" t="s">
        <v>28</v>
      </c>
      <c r="F141" s="41" t="s">
        <v>31</v>
      </c>
      <c r="G141">
        <v>9</v>
      </c>
      <c r="H141" s="41" t="s">
        <v>159</v>
      </c>
      <c r="I141" s="41" t="s">
        <v>275</v>
      </c>
      <c r="J141" s="58">
        <v>45717</v>
      </c>
      <c r="K141" s="55">
        <v>25</v>
      </c>
      <c r="L141" s="55">
        <v>928</v>
      </c>
      <c r="M141" s="55">
        <v>8198000</v>
      </c>
      <c r="N141" s="55">
        <f>1/7*8575500</f>
        <v>1225071.4285714284</v>
      </c>
      <c r="O141" s="55">
        <f>1/7*6600000</f>
        <v>942857.14285714284</v>
      </c>
      <c r="P141" s="41">
        <v>0</v>
      </c>
      <c r="Q141" s="41"/>
      <c r="R141" s="41">
        <v>0</v>
      </c>
      <c r="S141" s="41"/>
      <c r="T141" s="57">
        <f t="shared" si="34"/>
        <v>2167928.5714285714</v>
      </c>
      <c r="U141" s="41">
        <v>0</v>
      </c>
      <c r="V141" s="55">
        <f>1/7*4752000</f>
        <v>678857.14285714284</v>
      </c>
      <c r="W141" s="86"/>
      <c r="X141" s="55">
        <f>1/7*456000</f>
        <v>65142.857142857138</v>
      </c>
      <c r="Y141" s="57">
        <f t="shared" si="35"/>
        <v>744000</v>
      </c>
      <c r="Z141" s="57">
        <f>23%*M141</f>
        <v>1885540</v>
      </c>
      <c r="AA141" s="139">
        <f>1/7*4158000</f>
        <v>594000</v>
      </c>
      <c r="AB141" s="48">
        <f>1/31*12978581</f>
        <v>418663.90322580643</v>
      </c>
      <c r="AC141" s="48"/>
      <c r="AD141" s="41">
        <v>0</v>
      </c>
      <c r="AE141" s="41">
        <f t="shared" si="28"/>
        <v>2898203.9032258065</v>
      </c>
      <c r="AF141" s="57">
        <f t="shared" si="29"/>
        <v>-13724.66820276482</v>
      </c>
      <c r="AG14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-347531.42857142852</v>
      </c>
      <c r="AH141" s="59">
        <f>IFERROR(AG141/(Z141+Table5[[#This Row],[Rider Penalty (Claim, Other Denda to Riders)]]),0)</f>
        <v>-0.18431400477922957</v>
      </c>
      <c r="AI141" s="57">
        <f t="shared" si="30"/>
        <v>333806.76036866358</v>
      </c>
      <c r="AJ141" s="60">
        <f t="shared" si="31"/>
        <v>0.32963232846093704</v>
      </c>
      <c r="AV141" s="109">
        <f>Table5[[#This Row],[Total Selling Comission/Sales (Weekly)]]/Table5[[#This Row],[Total Revenue Sharing % (Weekly)]]*100%</f>
        <v>0.64971914070845938</v>
      </c>
      <c r="AW141" s="109">
        <f>Table5[[#This Row],[Total Daily Incentive (Weekly)]]/Table5[[#This Row],[Total Revenue Sharing % (Weekly)]]*100%</f>
        <v>0.50004621639272717</v>
      </c>
      <c r="AX141" s="109">
        <f t="shared" si="33"/>
        <v>1.1497653571011865</v>
      </c>
    </row>
    <row r="142" spans="1:50" hidden="1">
      <c r="A142">
        <v>2025</v>
      </c>
      <c r="B142" t="s">
        <v>23</v>
      </c>
      <c r="C142" t="s">
        <v>23</v>
      </c>
      <c r="D142" t="s">
        <v>168</v>
      </c>
      <c r="E142" s="41" t="s">
        <v>28</v>
      </c>
      <c r="F142" t="s">
        <v>25</v>
      </c>
      <c r="G142">
        <v>9</v>
      </c>
      <c r="H142" s="41" t="s">
        <v>158</v>
      </c>
      <c r="I142" s="41" t="s">
        <v>280</v>
      </c>
      <c r="J142" s="47" t="s">
        <v>337</v>
      </c>
      <c r="K142" s="61">
        <v>265</v>
      </c>
      <c r="L142" s="61">
        <v>64196</v>
      </c>
      <c r="M142" s="61">
        <v>562101000</v>
      </c>
      <c r="N142" s="61">
        <f>6/7*72349500</f>
        <v>62013857.142857142</v>
      </c>
      <c r="O142" s="61">
        <f>6/7*56075000</f>
        <v>48064285.714285709</v>
      </c>
      <c r="P142">
        <v>0</v>
      </c>
      <c r="R142">
        <v>0</v>
      </c>
      <c r="T142" s="12">
        <f t="shared" si="34"/>
        <v>110078142.85714285</v>
      </c>
      <c r="U142">
        <f>6/7*700000</f>
        <v>600000</v>
      </c>
      <c r="V142" s="61">
        <f>6/7*64750000</f>
        <v>55500000</v>
      </c>
      <c r="W142" s="86"/>
      <c r="X142" s="61">
        <f>6/7*327500</f>
        <v>280714.28571428568</v>
      </c>
      <c r="Y142" s="12">
        <f t="shared" si="35"/>
        <v>56380714.285714284</v>
      </c>
      <c r="Z142" s="12">
        <f>23%*M142</f>
        <v>129283230</v>
      </c>
      <c r="AA142" s="61">
        <f>6/7*33300000</f>
        <v>28542857.142857142</v>
      </c>
      <c r="AB142" s="61">
        <f>6/28*134738682</f>
        <v>28872574.714285713</v>
      </c>
      <c r="AC142" s="61"/>
      <c r="AD142">
        <v>0</v>
      </c>
      <c r="AE142">
        <f t="shared" si="28"/>
        <v>186698661.85714284</v>
      </c>
      <c r="AF142" s="12">
        <f t="shared" si="29"/>
        <v>20239804.714285702</v>
      </c>
      <c r="AG14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18324372.857142862</v>
      </c>
      <c r="AH142" s="13">
        <f>IFERROR(AG142/(Z142+Table5[[#This Row],[Rider Penalty (Claim, Other Denda to Riders)]]),0)</f>
        <v>0.14173820422913985</v>
      </c>
      <c r="AI142" s="12">
        <f t="shared" si="30"/>
        <v>1915431.8571428508</v>
      </c>
      <c r="AJ142" s="92">
        <f t="shared" si="31"/>
        <v>3.3360923974388931E-2</v>
      </c>
      <c r="AV142" s="109">
        <f>Table5[[#This Row],[Total Selling Comission/Sales (Weekly)]]/Table5[[#This Row],[Total Revenue Sharing % (Weekly)]]*100%</f>
        <v>0.47967441053922572</v>
      </c>
      <c r="AW142" s="109">
        <f>Table5[[#This Row],[Total Daily Incentive (Weekly)]]/Table5[[#This Row],[Total Revenue Sharing % (Weekly)]]*100%</f>
        <v>0.37177509963423494</v>
      </c>
      <c r="AX142" s="109">
        <f t="shared" si="33"/>
        <v>0.8514495101734606</v>
      </c>
    </row>
    <row r="143" spans="1:50" hidden="1">
      <c r="A143">
        <v>2025</v>
      </c>
      <c r="B143" t="s">
        <v>23</v>
      </c>
      <c r="C143" t="s">
        <v>23</v>
      </c>
      <c r="D143" t="s">
        <v>168</v>
      </c>
      <c r="E143" s="41" t="s">
        <v>28</v>
      </c>
      <c r="F143" t="s">
        <v>25</v>
      </c>
      <c r="G143">
        <v>9</v>
      </c>
      <c r="H143" s="41" t="s">
        <v>159</v>
      </c>
      <c r="I143" s="41" t="s">
        <v>275</v>
      </c>
      <c r="J143" s="58">
        <v>45717</v>
      </c>
      <c r="K143" s="55">
        <v>239</v>
      </c>
      <c r="L143" s="55">
        <v>8226</v>
      </c>
      <c r="M143" s="55">
        <v>73138000</v>
      </c>
      <c r="N143" s="61">
        <f>1/7*72349500</f>
        <v>10335642.857142856</v>
      </c>
      <c r="O143" s="61">
        <f>1/7*56075000</f>
        <v>8010714.2857142854</v>
      </c>
      <c r="P143" s="41">
        <v>0</v>
      </c>
      <c r="Q143" s="41"/>
      <c r="R143" s="41">
        <v>0</v>
      </c>
      <c r="S143" s="41"/>
      <c r="T143" s="57">
        <f t="shared" si="34"/>
        <v>18346357.142857142</v>
      </c>
      <c r="U143">
        <f>1/7*700000</f>
        <v>100000</v>
      </c>
      <c r="V143" s="61">
        <f>1/7*64750000</f>
        <v>9250000</v>
      </c>
      <c r="W143" s="86"/>
      <c r="X143" s="61">
        <f>1/7*327500</f>
        <v>46785.714285714283</v>
      </c>
      <c r="Y143" s="57">
        <f t="shared" si="35"/>
        <v>9396785.7142857146</v>
      </c>
      <c r="Z143" s="57">
        <f>23%*M143</f>
        <v>16821740</v>
      </c>
      <c r="AA143" s="140">
        <f>1/7*33300000</f>
        <v>4757142.8571428573</v>
      </c>
      <c r="AB143" s="61">
        <f>1/31*156456415</f>
        <v>5046981.1290322579</v>
      </c>
      <c r="AC143" s="61"/>
      <c r="AD143" s="41">
        <v>0</v>
      </c>
      <c r="AE143" s="41">
        <f t="shared" si="28"/>
        <v>26625863.986175116</v>
      </c>
      <c r="AF143" s="57">
        <f t="shared" si="29"/>
        <v>-1117278.8709677421</v>
      </c>
      <c r="AG14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-1671402.8571428561</v>
      </c>
      <c r="AH143" s="59">
        <f>IFERROR(AG143/(Z143+Table5[[#This Row],[Rider Penalty (Claim, Other Denda to Riders)]]),0)</f>
        <v>-9.9359689136965385E-2</v>
      </c>
      <c r="AI143" s="57">
        <f t="shared" si="30"/>
        <v>554123.98617511615</v>
      </c>
      <c r="AJ143" s="60">
        <f t="shared" si="31"/>
        <v>5.6519479655346198E-2</v>
      </c>
      <c r="AV143" s="109">
        <f>Table5[[#This Row],[Total Selling Comission/Sales (Weekly)]]/Table5[[#This Row],[Total Revenue Sharing % (Weekly)]]*100%</f>
        <v>0.61442174573753106</v>
      </c>
      <c r="AW143" s="109">
        <f>Table5[[#This Row],[Total Daily Incentive (Weekly)]]/Table5[[#This Row],[Total Revenue Sharing % (Weekly)]]*100%</f>
        <v>0.47621199030030698</v>
      </c>
      <c r="AX143" s="109">
        <f t="shared" si="33"/>
        <v>1.090633736037838</v>
      </c>
    </row>
    <row r="144" spans="1:50" hidden="1">
      <c r="A144" s="23">
        <v>2025</v>
      </c>
      <c r="B144" s="41" t="s">
        <v>27</v>
      </c>
      <c r="C144" s="41" t="s">
        <v>27</v>
      </c>
      <c r="D144" s="41" t="s">
        <v>169</v>
      </c>
      <c r="E144" s="41" t="s">
        <v>28</v>
      </c>
      <c r="F144" s="48" t="s">
        <v>28</v>
      </c>
      <c r="G144">
        <v>9</v>
      </c>
      <c r="H144" s="41" t="s">
        <v>159</v>
      </c>
      <c r="I144" s="41" t="s">
        <v>275</v>
      </c>
      <c r="J144" s="47" t="s">
        <v>338</v>
      </c>
      <c r="K144" s="61">
        <v>6</v>
      </c>
      <c r="L144" s="61">
        <v>487</v>
      </c>
      <c r="M144" s="107">
        <v>4324000</v>
      </c>
      <c r="N144" s="61">
        <v>487000</v>
      </c>
      <c r="O144" s="61">
        <v>825000</v>
      </c>
      <c r="P144">
        <v>0</v>
      </c>
      <c r="R144">
        <v>0</v>
      </c>
      <c r="T144" s="12">
        <f t="shared" si="34"/>
        <v>1312000</v>
      </c>
      <c r="V144" s="61">
        <v>1470000</v>
      </c>
      <c r="W144" s="86"/>
      <c r="X144" s="61"/>
      <c r="Y144" s="12">
        <f t="shared" si="35"/>
        <v>1470000</v>
      </c>
      <c r="Z144" s="12">
        <f>30%*M144</f>
        <v>1297200</v>
      </c>
      <c r="AA144" s="61">
        <v>330000</v>
      </c>
      <c r="AB144">
        <v>0</v>
      </c>
      <c r="AE144">
        <f t="shared" si="28"/>
        <v>1627200</v>
      </c>
      <c r="AF144" s="12">
        <f t="shared" si="29"/>
        <v>-1154800</v>
      </c>
      <c r="AG14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-14800</v>
      </c>
      <c r="AH144" s="13">
        <f>IFERROR(AG144/(Z144+Table5[[#This Row],[Rider Penalty (Claim, Other Denda to Riders)]]),0)</f>
        <v>-1.1409189022510022E-2</v>
      </c>
      <c r="AI144" s="12">
        <f t="shared" si="30"/>
        <v>-1140000</v>
      </c>
      <c r="AJ144" s="92">
        <f t="shared" si="31"/>
        <v>-3.4545454545454546</v>
      </c>
      <c r="AK144" s="105" t="s">
        <v>339</v>
      </c>
      <c r="AV144" s="109"/>
      <c r="AW144" s="109"/>
      <c r="AX144" s="109"/>
    </row>
    <row r="145" spans="1:50" hidden="1">
      <c r="A145" s="23">
        <v>2025</v>
      </c>
      <c r="B145" s="41" t="s">
        <v>29</v>
      </c>
      <c r="C145" s="41" t="s">
        <v>29</v>
      </c>
      <c r="D145" s="41" t="s">
        <v>169</v>
      </c>
      <c r="E145" s="41" t="s">
        <v>28</v>
      </c>
      <c r="F145" s="41" t="s">
        <v>28</v>
      </c>
      <c r="G145">
        <v>9</v>
      </c>
      <c r="H145" s="41" t="s">
        <v>159</v>
      </c>
      <c r="I145" s="41" t="s">
        <v>275</v>
      </c>
      <c r="J145" s="47" t="s">
        <v>338</v>
      </c>
      <c r="K145" s="55">
        <v>7</v>
      </c>
      <c r="L145" s="55">
        <v>527</v>
      </c>
      <c r="M145" s="55">
        <v>4872000</v>
      </c>
      <c r="N145" s="55">
        <v>527000</v>
      </c>
      <c r="O145" s="55">
        <v>750000</v>
      </c>
      <c r="P145" s="41">
        <v>0</v>
      </c>
      <c r="Q145" s="41"/>
      <c r="R145" s="41">
        <v>0</v>
      </c>
      <c r="S145" s="41"/>
      <c r="T145" s="57">
        <f t="shared" si="34"/>
        <v>1277000</v>
      </c>
      <c r="U145" s="41">
        <v>0</v>
      </c>
      <c r="V145" s="55">
        <v>1575000</v>
      </c>
      <c r="W145" s="86">
        <v>0</v>
      </c>
      <c r="X145" s="55">
        <v>0</v>
      </c>
      <c r="Y145" s="57">
        <f t="shared" si="35"/>
        <v>1575000</v>
      </c>
      <c r="Z145" s="57">
        <f>30%*M145</f>
        <v>1461600</v>
      </c>
      <c r="AA145" s="55">
        <v>450000</v>
      </c>
      <c r="AB145" s="41">
        <v>0</v>
      </c>
      <c r="AC145" s="41"/>
      <c r="AD145" s="41"/>
      <c r="AE145" s="41">
        <f t="shared" si="28"/>
        <v>1911600</v>
      </c>
      <c r="AF145" s="57">
        <f t="shared" si="29"/>
        <v>-940400</v>
      </c>
      <c r="AG14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184600</v>
      </c>
      <c r="AH145" s="59">
        <f>IFERROR(AG145/(Z145+Table5[[#This Row],[Rider Penalty (Claim, Other Denda to Riders)]]),0)</f>
        <v>0.12629994526546251</v>
      </c>
      <c r="AI145" s="57">
        <f t="shared" si="30"/>
        <v>-1125000</v>
      </c>
      <c r="AJ145" s="60">
        <f t="shared" si="31"/>
        <v>-2.5</v>
      </c>
      <c r="AV145" s="109"/>
      <c r="AW145" s="109"/>
      <c r="AX145" s="109"/>
    </row>
    <row r="146" spans="1:50" hidden="1">
      <c r="A146" s="23">
        <v>2025</v>
      </c>
      <c r="B146" s="41" t="s">
        <v>201</v>
      </c>
      <c r="C146" s="41" t="s">
        <v>201</v>
      </c>
      <c r="D146" s="41" t="s">
        <v>169</v>
      </c>
      <c r="E146" s="41" t="s">
        <v>28</v>
      </c>
      <c r="F146" s="41" t="s">
        <v>28</v>
      </c>
      <c r="G146">
        <v>9</v>
      </c>
      <c r="H146" s="41" t="s">
        <v>159</v>
      </c>
      <c r="I146" s="41" t="s">
        <v>275</v>
      </c>
      <c r="J146" s="47" t="s">
        <v>338</v>
      </c>
      <c r="K146" s="61">
        <v>5</v>
      </c>
      <c r="L146" s="61">
        <v>352</v>
      </c>
      <c r="M146" s="61">
        <v>4994000</v>
      </c>
      <c r="N146" s="61">
        <v>352000</v>
      </c>
      <c r="O146" s="61">
        <v>450000</v>
      </c>
      <c r="P146">
        <v>0</v>
      </c>
      <c r="R146">
        <v>0</v>
      </c>
      <c r="T146" s="12">
        <f t="shared" si="34"/>
        <v>802000</v>
      </c>
      <c r="U146">
        <v>0</v>
      </c>
      <c r="V146" s="108">
        <v>1015000</v>
      </c>
      <c r="W146" s="86">
        <v>0</v>
      </c>
      <c r="X146" s="61">
        <v>0</v>
      </c>
      <c r="Y146" s="12">
        <f t="shared" si="35"/>
        <v>1015000</v>
      </c>
      <c r="Z146" s="12">
        <f>30%*M146</f>
        <v>1498200</v>
      </c>
      <c r="AA146" s="55">
        <v>350000</v>
      </c>
      <c r="AB146">
        <v>0</v>
      </c>
      <c r="AE146">
        <f t="shared" si="28"/>
        <v>1848200</v>
      </c>
      <c r="AF146" s="12">
        <f t="shared" si="29"/>
        <v>31200</v>
      </c>
      <c r="AG14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696200</v>
      </c>
      <c r="AH146" s="13">
        <f>IFERROR(AG146/(Z146+Table5[[#This Row],[Rider Penalty (Claim, Other Denda to Riders)]]),0)</f>
        <v>0.46469096248831931</v>
      </c>
      <c r="AI146" s="12">
        <f t="shared" si="30"/>
        <v>-665000</v>
      </c>
      <c r="AJ146" s="92">
        <f t="shared" si="31"/>
        <v>-1.9</v>
      </c>
      <c r="AV146" s="109"/>
      <c r="AW146" s="109"/>
      <c r="AX146" s="109"/>
    </row>
    <row r="147" spans="1:50" hidden="1">
      <c r="A147" s="23">
        <v>2025</v>
      </c>
      <c r="B147" s="41" t="s">
        <v>171</v>
      </c>
      <c r="C147" s="41" t="s">
        <v>171</v>
      </c>
      <c r="D147" s="41" t="s">
        <v>168</v>
      </c>
      <c r="E147" s="41" t="s">
        <v>28</v>
      </c>
      <c r="F147" s="41" t="s">
        <v>28</v>
      </c>
      <c r="G147">
        <v>9</v>
      </c>
      <c r="H147" s="41" t="s">
        <v>159</v>
      </c>
      <c r="I147" s="41" t="s">
        <v>275</v>
      </c>
      <c r="J147" s="47" t="s">
        <v>338</v>
      </c>
      <c r="K147" s="55">
        <v>5</v>
      </c>
      <c r="L147" s="107">
        <v>517</v>
      </c>
      <c r="M147" s="55">
        <v>1633000</v>
      </c>
      <c r="N147" s="55">
        <v>154400</v>
      </c>
      <c r="O147" s="55">
        <v>825000</v>
      </c>
      <c r="P147" s="41">
        <v>0</v>
      </c>
      <c r="Q147" s="41"/>
      <c r="R147" s="41">
        <v>0</v>
      </c>
      <c r="S147" s="41"/>
      <c r="T147" s="57">
        <f t="shared" si="34"/>
        <v>979400</v>
      </c>
      <c r="U147" s="41">
        <v>0</v>
      </c>
      <c r="V147" s="108">
        <v>1225000</v>
      </c>
      <c r="W147" s="86">
        <v>0</v>
      </c>
      <c r="X147" s="55">
        <v>0</v>
      </c>
      <c r="Y147" s="57">
        <f t="shared" si="35"/>
        <v>1225000</v>
      </c>
      <c r="Z147" s="57">
        <f>30%*M147</f>
        <v>489900</v>
      </c>
      <c r="AA147" s="55">
        <v>350000</v>
      </c>
      <c r="AB147" s="41">
        <v>0</v>
      </c>
      <c r="AC147" s="41"/>
      <c r="AD147" s="41"/>
      <c r="AE147" s="41">
        <f t="shared" si="28"/>
        <v>839900</v>
      </c>
      <c r="AF147" s="57">
        <f t="shared" si="29"/>
        <v>-1364500</v>
      </c>
      <c r="AG14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-489500</v>
      </c>
      <c r="AH147" s="59">
        <f>IFERROR(AG147/(Z147+Table5[[#This Row],[Rider Penalty (Claim, Other Denda to Riders)]]),0)</f>
        <v>-0.99918350683813018</v>
      </c>
      <c r="AI147" s="57">
        <f t="shared" si="30"/>
        <v>-875000</v>
      </c>
      <c r="AJ147" s="60">
        <f t="shared" si="31"/>
        <v>-2.5</v>
      </c>
      <c r="AV147" s="109"/>
      <c r="AW147" s="109"/>
      <c r="AX147" s="109"/>
    </row>
    <row r="148" spans="1:50" hidden="1">
      <c r="A148" s="41">
        <v>2025</v>
      </c>
      <c r="B148" s="41" t="s">
        <v>200</v>
      </c>
      <c r="C148" s="41" t="s">
        <v>200</v>
      </c>
      <c r="D148" s="41" t="s">
        <v>169</v>
      </c>
      <c r="E148" s="41" t="s">
        <v>28</v>
      </c>
      <c r="F148" s="41" t="s">
        <v>28</v>
      </c>
      <c r="G148">
        <v>9</v>
      </c>
      <c r="H148" s="41" t="s">
        <v>159</v>
      </c>
      <c r="I148" s="41" t="s">
        <v>275</v>
      </c>
      <c r="J148" s="47" t="s">
        <v>338</v>
      </c>
      <c r="K148" s="55">
        <v>1</v>
      </c>
      <c r="L148" s="41">
        <v>108</v>
      </c>
      <c r="M148" s="55">
        <v>1130000</v>
      </c>
      <c r="N148" s="55">
        <v>108000</v>
      </c>
      <c r="O148" s="55">
        <v>175000</v>
      </c>
      <c r="P148" s="41">
        <v>0</v>
      </c>
      <c r="Q148" s="41"/>
      <c r="R148" s="41">
        <v>0</v>
      </c>
      <c r="S148" s="41"/>
      <c r="T148" s="57">
        <f t="shared" si="34"/>
        <v>283000</v>
      </c>
      <c r="U148" s="41">
        <v>0</v>
      </c>
      <c r="V148" s="57">
        <f>35000*7</f>
        <v>245000</v>
      </c>
      <c r="W148" s="86">
        <v>0</v>
      </c>
      <c r="X148" s="55">
        <v>0</v>
      </c>
      <c r="Y148" s="57">
        <f t="shared" si="35"/>
        <v>245000</v>
      </c>
      <c r="Z148" s="57">
        <f>35%*M148</f>
        <v>395500</v>
      </c>
      <c r="AA148" s="55">
        <v>70000</v>
      </c>
      <c r="AB148" s="41">
        <v>0</v>
      </c>
      <c r="AC148" s="41"/>
      <c r="AD148" s="41"/>
      <c r="AE148" s="41">
        <f t="shared" si="28"/>
        <v>465500</v>
      </c>
      <c r="AF148" s="57">
        <f t="shared" si="29"/>
        <v>-62500</v>
      </c>
      <c r="AG14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112500</v>
      </c>
      <c r="AH148" s="59">
        <f>IFERROR(AG148/(Z148+Table5[[#This Row],[Rider Penalty (Claim, Other Denda to Riders)]]),0)</f>
        <v>0.28445006321112515</v>
      </c>
      <c r="AI148" s="57">
        <f t="shared" si="30"/>
        <v>-175000</v>
      </c>
      <c r="AJ148" s="60">
        <f t="shared" si="31"/>
        <v>-2.5</v>
      </c>
      <c r="AV148" s="109"/>
      <c r="AW148" s="109"/>
      <c r="AX148" s="109"/>
    </row>
    <row r="149" spans="1:50" hidden="1">
      <c r="A149">
        <v>2025</v>
      </c>
      <c r="B149" t="s">
        <v>23</v>
      </c>
      <c r="C149" t="s">
        <v>23</v>
      </c>
      <c r="D149" t="s">
        <v>168</v>
      </c>
      <c r="E149" s="41" t="s">
        <v>28</v>
      </c>
      <c r="F149" t="s">
        <v>25</v>
      </c>
      <c r="G149" s="41">
        <v>10</v>
      </c>
      <c r="H149" s="41" t="s">
        <v>159</v>
      </c>
      <c r="I149" s="41" t="s">
        <v>256</v>
      </c>
      <c r="J149" s="47" t="s">
        <v>340</v>
      </c>
      <c r="K149" s="55">
        <v>293</v>
      </c>
      <c r="L149" s="41">
        <v>46482</v>
      </c>
      <c r="M149" s="55">
        <v>411218000</v>
      </c>
      <c r="N149" s="55">
        <v>46462000</v>
      </c>
      <c r="O149" s="55">
        <v>43400000</v>
      </c>
      <c r="P149" s="41">
        <v>0</v>
      </c>
      <c r="Q149" s="41"/>
      <c r="R149" s="41">
        <v>0</v>
      </c>
      <c r="S149" s="41"/>
      <c r="T149" s="57">
        <f t="shared" si="34"/>
        <v>89862000</v>
      </c>
      <c r="U149" s="41">
        <v>0</v>
      </c>
      <c r="V149" s="55">
        <v>69930000</v>
      </c>
      <c r="W149" s="86">
        <v>0</v>
      </c>
      <c r="X149" s="55">
        <v>295806</v>
      </c>
      <c r="Y149" s="57">
        <f t="shared" si="35"/>
        <v>70225806</v>
      </c>
      <c r="Z149" s="57">
        <f>23%*M149</f>
        <v>94580140</v>
      </c>
      <c r="AA149" s="139">
        <v>35334000</v>
      </c>
      <c r="AB149" s="61">
        <f>7/31*156456415</f>
        <v>35328867.903225802</v>
      </c>
      <c r="AC149" s="61"/>
      <c r="AD149" s="41"/>
      <c r="AE149" s="57">
        <f t="shared" si="28"/>
        <v>165243007.90322581</v>
      </c>
      <c r="AF149" s="57">
        <f t="shared" si="29"/>
        <v>5155201.9032258093</v>
      </c>
      <c r="AG14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4422334</v>
      </c>
      <c r="AH149" s="59">
        <f>IFERROR(AG149/(Z149+Table5[[#This Row],[Rider Penalty (Claim, Other Denda to Riders)]]),0)</f>
        <v>4.6757532818200526E-2</v>
      </c>
      <c r="AI149" s="57">
        <f>AA149+AB149-V150</f>
        <v>59252867.903225809</v>
      </c>
      <c r="AJ149" s="60">
        <f t="shared" si="31"/>
        <v>0.83852905580302484</v>
      </c>
      <c r="AK149" s="88" t="s">
        <v>341</v>
      </c>
      <c r="AV149" s="109">
        <f>Table5[[#This Row],[Total Selling Comission/Sales (Weekly)]]/Table5[[#This Row],[Total Revenue Sharing % (Weekly)]]*100%</f>
        <v>0.49124477929510363</v>
      </c>
      <c r="AW149" s="109">
        <f>Table5[[#This Row],[Total Daily Incentive (Weekly)]]/Table5[[#This Row],[Total Revenue Sharing % (Weekly)]]*100%</f>
        <v>0.45887011797614169</v>
      </c>
      <c r="AX149" s="109">
        <f>(N149+O149)/Z149*100%</f>
        <v>0.95011489727124532</v>
      </c>
    </row>
    <row r="150" spans="1:50" hidden="1">
      <c r="A150" s="41">
        <v>2025</v>
      </c>
      <c r="B150" s="41" t="s">
        <v>23</v>
      </c>
      <c r="C150" s="41" t="s">
        <v>174</v>
      </c>
      <c r="D150" s="41" t="s">
        <v>168</v>
      </c>
      <c r="E150" s="41" t="s">
        <v>24</v>
      </c>
      <c r="F150" s="41" t="s">
        <v>24</v>
      </c>
      <c r="G150" s="41">
        <v>10</v>
      </c>
      <c r="H150" s="41" t="s">
        <v>159</v>
      </c>
      <c r="I150" s="41" t="s">
        <v>256</v>
      </c>
      <c r="J150" s="47" t="s">
        <v>340</v>
      </c>
      <c r="K150" s="61">
        <v>63</v>
      </c>
      <c r="L150">
        <v>6621</v>
      </c>
      <c r="M150" s="61">
        <v>60837000</v>
      </c>
      <c r="N150" s="61">
        <v>5296500</v>
      </c>
      <c r="O150" s="61">
        <v>16300000</v>
      </c>
      <c r="P150">
        <v>0</v>
      </c>
      <c r="R150">
        <v>0</v>
      </c>
      <c r="T150" s="57">
        <f t="shared" si="34"/>
        <v>21596500</v>
      </c>
      <c r="U150">
        <v>0</v>
      </c>
      <c r="V150" s="57">
        <v>11410000</v>
      </c>
      <c r="W150" s="86">
        <v>0</v>
      </c>
      <c r="X150" s="61">
        <v>112903</v>
      </c>
      <c r="Y150" s="12">
        <f t="shared" si="35"/>
        <v>11522903</v>
      </c>
      <c r="Z150" s="76">
        <f>21%*Table5[[#This Row],[Total Selling (Clients Revenue)]]</f>
        <v>12775770</v>
      </c>
      <c r="AA150" s="140">
        <v>7775000</v>
      </c>
      <c r="AB150" s="138">
        <f>7/31*20882737</f>
        <v>4715456.7419354841</v>
      </c>
      <c r="AC150" s="123"/>
      <c r="AD150">
        <v>1350000</v>
      </c>
      <c r="AE150" s="57">
        <f t="shared" si="28"/>
        <v>26616226.741935484</v>
      </c>
      <c r="AF150" s="57">
        <f t="shared" si="29"/>
        <v>-6503176.2580645159</v>
      </c>
      <c r="AG15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-7583633</v>
      </c>
      <c r="AH150" s="13">
        <f>IFERROR(AG150/(Z150+Table5[[#This Row],[Rider Penalty (Claim, Other Denda to Riders)]]),0)</f>
        <v>-0.53686510540664334</v>
      </c>
      <c r="AI150" s="57">
        <f>AA150+AB150-V151</f>
        <v>10040456.741935484</v>
      </c>
      <c r="AJ150" s="92">
        <f t="shared" si="31"/>
        <v>0.80385024738331901</v>
      </c>
      <c r="AV150" s="109">
        <f>Table5[[#This Row],[Total Selling Comission/Sales (Weekly)]]/Table5[[#This Row],[Total Revenue Sharing % (Weekly)]]*100%</f>
        <v>0.41457383781955998</v>
      </c>
      <c r="AW150" s="109">
        <f>Table5[[#This Row],[Total Daily Incentive (Weekly)]]/Table5[[#This Row],[Total Revenue Sharing % (Weekly)]]*100%</f>
        <v>1.2758526491945299</v>
      </c>
      <c r="AX150" s="109">
        <f>(N150+O150)/Z150*100%</f>
        <v>1.6904264870140899</v>
      </c>
    </row>
    <row r="151" spans="1:50" hidden="1">
      <c r="A151">
        <v>2025</v>
      </c>
      <c r="B151" t="s">
        <v>23</v>
      </c>
      <c r="C151" t="s">
        <v>173</v>
      </c>
      <c r="D151" t="s">
        <v>168</v>
      </c>
      <c r="E151" t="s">
        <v>24</v>
      </c>
      <c r="F151" s="1" t="s">
        <v>282</v>
      </c>
      <c r="G151">
        <v>10</v>
      </c>
      <c r="H151" s="41" t="s">
        <v>159</v>
      </c>
      <c r="I151" s="41" t="s">
        <v>256</v>
      </c>
      <c r="J151" s="47" t="s">
        <v>340</v>
      </c>
      <c r="K151" s="55">
        <v>12</v>
      </c>
      <c r="L151" s="41">
        <v>2589</v>
      </c>
      <c r="M151" s="55">
        <v>23428000</v>
      </c>
      <c r="N151" s="55">
        <v>2071200</v>
      </c>
      <c r="O151" s="55">
        <v>3500000</v>
      </c>
      <c r="P151" s="41">
        <v>0</v>
      </c>
      <c r="Q151" s="41"/>
      <c r="R151" s="41">
        <v>0</v>
      </c>
      <c r="S151" s="41"/>
      <c r="T151" s="57">
        <f t="shared" si="34"/>
        <v>5571200</v>
      </c>
      <c r="U151" s="41">
        <v>0</v>
      </c>
      <c r="V151" s="57">
        <v>2450000</v>
      </c>
      <c r="W151" s="86">
        <v>0</v>
      </c>
      <c r="X151" s="55">
        <v>0</v>
      </c>
      <c r="Y151" s="57">
        <f t="shared" si="35"/>
        <v>2450000</v>
      </c>
      <c r="Z151" s="76">
        <f>21%*Table5[[#This Row],[Total Selling (Clients Revenue)]]</f>
        <v>4919880</v>
      </c>
      <c r="AA151" s="139">
        <v>1725000</v>
      </c>
      <c r="AB151">
        <f>7/31*4745414</f>
        <v>1071545.0967741935</v>
      </c>
      <c r="AD151" s="41">
        <v>100000</v>
      </c>
      <c r="AE151" s="57">
        <f t="shared" si="28"/>
        <v>7816425.0967741935</v>
      </c>
      <c r="AF151" s="57">
        <f t="shared" si="29"/>
        <v>-204774.90322580654</v>
      </c>
      <c r="AG15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-551320</v>
      </c>
      <c r="AH151" s="59">
        <f>IFERROR(AG151/(Z151+Table5[[#This Row],[Rider Penalty (Claim, Other Denda to Riders)]]),0)</f>
        <v>-0.10982732654963864</v>
      </c>
      <c r="AI151" s="57">
        <f>AA151+AB151-V168</f>
        <v>-11623454.903225806</v>
      </c>
      <c r="AJ151" s="60">
        <f t="shared" si="31"/>
        <v>-4.1563624046804843</v>
      </c>
      <c r="AV151" s="109">
        <f>Table5[[#This Row],[Total Selling Comission/Sales (Weekly)]]/Table5[[#This Row],[Total Revenue Sharing % (Weekly)]]*100%</f>
        <v>0.42098587770433427</v>
      </c>
      <c r="AW151" s="109">
        <f>Table5[[#This Row],[Total Daily Incentive (Weekly)]]/Table5[[#This Row],[Total Revenue Sharing % (Weekly)]]*100%</f>
        <v>0.71139946502760232</v>
      </c>
      <c r="AX151" s="109">
        <f>(N151+O151)/Z151*100%</f>
        <v>1.1323853427319366</v>
      </c>
    </row>
    <row r="152" spans="1:50" hidden="1">
      <c r="A152">
        <v>2025</v>
      </c>
      <c r="B152" t="s">
        <v>23</v>
      </c>
      <c r="C152" t="s">
        <v>172</v>
      </c>
      <c r="D152" t="s">
        <v>168</v>
      </c>
      <c r="E152" s="41" t="s">
        <v>28</v>
      </c>
      <c r="F152" s="41" t="s">
        <v>31</v>
      </c>
      <c r="G152" s="41">
        <v>10</v>
      </c>
      <c r="H152" s="41" t="s">
        <v>159</v>
      </c>
      <c r="I152" s="41" t="s">
        <v>256</v>
      </c>
      <c r="J152" s="47" t="s">
        <v>340</v>
      </c>
      <c r="K152" s="55">
        <v>29</v>
      </c>
      <c r="L152" s="41">
        <v>3550</v>
      </c>
      <c r="M152" s="55">
        <v>31404000</v>
      </c>
      <c r="N152" s="55">
        <v>3550000</v>
      </c>
      <c r="O152" s="55">
        <v>3650000</v>
      </c>
      <c r="P152" s="41">
        <v>0</v>
      </c>
      <c r="Q152" s="41"/>
      <c r="R152" s="41">
        <v>0</v>
      </c>
      <c r="S152" s="41"/>
      <c r="T152" s="57">
        <f t="shared" si="34"/>
        <v>7200000</v>
      </c>
      <c r="U152" s="41">
        <v>0</v>
      </c>
      <c r="V152" s="57">
        <v>6440000</v>
      </c>
      <c r="W152" s="86"/>
      <c r="X152" s="55">
        <v>411871</v>
      </c>
      <c r="Y152" s="57">
        <f t="shared" si="35"/>
        <v>6851871</v>
      </c>
      <c r="Z152" s="57">
        <f>23%*M152</f>
        <v>7222920</v>
      </c>
      <c r="AA152" s="139">
        <v>3312000</v>
      </c>
      <c r="AB152" s="48">
        <f>7/31*12978581</f>
        <v>2930647.3225806449</v>
      </c>
      <c r="AC152" s="48"/>
      <c r="AD152" s="41"/>
      <c r="AE152" s="57">
        <f t="shared" si="28"/>
        <v>13465567.322580645</v>
      </c>
      <c r="AF152" s="57">
        <f t="shared" si="29"/>
        <v>-586303.67741935514</v>
      </c>
      <c r="AG15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-388951</v>
      </c>
      <c r="AH152" s="59">
        <f>IFERROR(AG152/(Z152+Table5[[#This Row],[Rider Penalty (Claim, Other Denda to Riders)]]),0)</f>
        <v>-5.3849551151058023E-2</v>
      </c>
      <c r="AI152" s="57">
        <f t="shared" ref="AI152:AI172" si="36">AA152+AB152-V152</f>
        <v>-197352.67741935514</v>
      </c>
      <c r="AJ152" s="60">
        <f t="shared" si="31"/>
        <v>-3.1613619546550266E-2</v>
      </c>
      <c r="AK152" s="88" t="s">
        <v>341</v>
      </c>
      <c r="AV152" s="109">
        <f>Table5[[#This Row],[Total Selling Comission/Sales (Weekly)]]/Table5[[#This Row],[Total Revenue Sharing % (Weekly)]]*100%</f>
        <v>0.49149097594878527</v>
      </c>
      <c r="AW152" s="109">
        <f>Table5[[#This Row],[Total Daily Incentive (Weekly)]]/Table5[[#This Row],[Total Revenue Sharing % (Weekly)]]*100%</f>
        <v>0.50533579217269475</v>
      </c>
      <c r="AX152" s="109">
        <f>(N152+O152)/Z152*100%</f>
        <v>0.99682676812147997</v>
      </c>
    </row>
    <row r="153" spans="1:50" hidden="1">
      <c r="A153" s="23">
        <v>2025</v>
      </c>
      <c r="B153" s="41" t="s">
        <v>27</v>
      </c>
      <c r="C153" s="41" t="s">
        <v>27</v>
      </c>
      <c r="D153" s="41" t="s">
        <v>169</v>
      </c>
      <c r="E153" s="41" t="s">
        <v>28</v>
      </c>
      <c r="F153" s="48" t="s">
        <v>28</v>
      </c>
      <c r="G153" s="41">
        <v>10</v>
      </c>
      <c r="H153" s="41" t="s">
        <v>159</v>
      </c>
      <c r="I153" s="41" t="s">
        <v>256</v>
      </c>
      <c r="J153" s="47" t="s">
        <v>340</v>
      </c>
      <c r="K153" s="55">
        <v>6</v>
      </c>
      <c r="L153" s="41">
        <v>488</v>
      </c>
      <c r="M153" s="55">
        <v>4147000</v>
      </c>
      <c r="N153" s="55">
        <v>488000</v>
      </c>
      <c r="O153" s="55">
        <v>825000</v>
      </c>
      <c r="P153" s="41">
        <v>0</v>
      </c>
      <c r="Q153" s="41"/>
      <c r="R153" s="41">
        <v>0</v>
      </c>
      <c r="S153" s="41"/>
      <c r="T153" s="57">
        <f t="shared" si="34"/>
        <v>1313000</v>
      </c>
      <c r="U153" s="41">
        <v>0</v>
      </c>
      <c r="V153" s="57">
        <v>1470000</v>
      </c>
      <c r="W153" s="86">
        <v>0</v>
      </c>
      <c r="X153" s="55">
        <v>0</v>
      </c>
      <c r="Y153" s="57">
        <f t="shared" si="35"/>
        <v>1470000</v>
      </c>
      <c r="Z153" s="57">
        <f>30%*M153</f>
        <v>1244100</v>
      </c>
      <c r="AA153" s="55">
        <v>480000</v>
      </c>
      <c r="AB153" s="41">
        <v>0</v>
      </c>
      <c r="AC153" s="41"/>
      <c r="AD153" s="41"/>
      <c r="AE153" s="57">
        <f t="shared" si="28"/>
        <v>1724100</v>
      </c>
      <c r="AF153" s="57">
        <f t="shared" si="29"/>
        <v>-1058900</v>
      </c>
      <c r="AG15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-68900</v>
      </c>
      <c r="AH153" s="59">
        <f>IFERROR(AG153/(Z169+Table5[[#This Row],[Rider Penalty (Claim, Other Denda to Riders)]]),0)</f>
        <v>-1.2750475598291547E-2</v>
      </c>
      <c r="AI153" s="57">
        <f t="shared" si="36"/>
        <v>-990000</v>
      </c>
      <c r="AJ153" s="60">
        <f t="shared" si="31"/>
        <v>-2.0625</v>
      </c>
      <c r="AK153" s="88" t="s">
        <v>341</v>
      </c>
      <c r="AV153" s="109"/>
      <c r="AW153" s="109"/>
      <c r="AX153" s="109"/>
    </row>
    <row r="154" spans="1:50" hidden="1">
      <c r="A154" s="41">
        <v>2025</v>
      </c>
      <c r="B154" s="41" t="s">
        <v>200</v>
      </c>
      <c r="C154" s="41" t="s">
        <v>200</v>
      </c>
      <c r="D154" s="41" t="s">
        <v>169</v>
      </c>
      <c r="E154" s="41" t="s">
        <v>28</v>
      </c>
      <c r="F154" s="41" t="s">
        <v>28</v>
      </c>
      <c r="G154" s="41">
        <v>10</v>
      </c>
      <c r="H154" s="41" t="s">
        <v>159</v>
      </c>
      <c r="I154" s="41" t="s">
        <v>256</v>
      </c>
      <c r="J154" s="47" t="s">
        <v>340</v>
      </c>
      <c r="K154" s="55">
        <v>1</v>
      </c>
      <c r="L154" s="41">
        <v>52</v>
      </c>
      <c r="M154" s="55">
        <v>568000</v>
      </c>
      <c r="N154" s="55">
        <v>52000</v>
      </c>
      <c r="O154" s="55">
        <v>175000</v>
      </c>
      <c r="P154" s="41">
        <v>0</v>
      </c>
      <c r="Q154" s="41"/>
      <c r="R154" s="41">
        <v>0</v>
      </c>
      <c r="S154" s="41"/>
      <c r="T154" s="57">
        <f t="shared" si="34"/>
        <v>227000</v>
      </c>
      <c r="U154" s="41">
        <v>0</v>
      </c>
      <c r="V154" s="57">
        <v>245000</v>
      </c>
      <c r="W154" s="86"/>
      <c r="X154" s="55"/>
      <c r="Y154" s="57">
        <f t="shared" si="35"/>
        <v>245000</v>
      </c>
      <c r="Z154" s="57">
        <f>35%*M154</f>
        <v>198800</v>
      </c>
      <c r="AA154" s="55">
        <v>70000</v>
      </c>
      <c r="AB154" s="41">
        <v>0</v>
      </c>
      <c r="AC154" s="41"/>
      <c r="AD154" s="41"/>
      <c r="AE154" s="57">
        <f t="shared" si="28"/>
        <v>268800</v>
      </c>
      <c r="AF154" s="57">
        <f t="shared" si="29"/>
        <v>-203200</v>
      </c>
      <c r="AG15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-28200</v>
      </c>
      <c r="AH154" s="59">
        <f>IFERROR(AG154/(Z154+Table5[[#This Row],[Rider Penalty (Claim, Other Denda to Riders)]]),0)</f>
        <v>-0.14185110663983905</v>
      </c>
      <c r="AI154" s="57">
        <f t="shared" si="36"/>
        <v>-175000</v>
      </c>
      <c r="AJ154" s="60">
        <f t="shared" si="31"/>
        <v>-2.5</v>
      </c>
      <c r="AK154" s="88" t="s">
        <v>341</v>
      </c>
      <c r="AV154" s="109"/>
      <c r="AW154" s="109"/>
      <c r="AX154" s="109"/>
    </row>
    <row r="155" spans="1:50" hidden="1">
      <c r="A155" s="23">
        <v>2025</v>
      </c>
      <c r="B155" s="41" t="s">
        <v>201</v>
      </c>
      <c r="C155" s="41" t="s">
        <v>201</v>
      </c>
      <c r="D155" s="41" t="s">
        <v>169</v>
      </c>
      <c r="E155" s="41" t="s">
        <v>28</v>
      </c>
      <c r="F155" s="41" t="s">
        <v>28</v>
      </c>
      <c r="G155" s="41">
        <v>10</v>
      </c>
      <c r="H155" s="41" t="s">
        <v>159</v>
      </c>
      <c r="I155" s="41" t="s">
        <v>256</v>
      </c>
      <c r="J155" s="47" t="s">
        <v>340</v>
      </c>
      <c r="K155" s="61">
        <v>3</v>
      </c>
      <c r="L155">
        <v>134</v>
      </c>
      <c r="M155" s="61">
        <v>1546000</v>
      </c>
      <c r="N155" s="61">
        <v>134000</v>
      </c>
      <c r="O155" s="61">
        <v>275000</v>
      </c>
      <c r="P155">
        <v>0</v>
      </c>
      <c r="R155">
        <v>0</v>
      </c>
      <c r="T155" s="12">
        <f t="shared" si="34"/>
        <v>409000</v>
      </c>
      <c r="U155">
        <v>0</v>
      </c>
      <c r="V155" s="12">
        <v>595000</v>
      </c>
      <c r="W155" s="86">
        <v>0</v>
      </c>
      <c r="X155" s="61">
        <v>0</v>
      </c>
      <c r="Y155" s="12">
        <f t="shared" si="35"/>
        <v>595000</v>
      </c>
      <c r="Z155" s="57">
        <f>30%*M155</f>
        <v>463800</v>
      </c>
      <c r="AA155" s="61">
        <v>170000</v>
      </c>
      <c r="AB155">
        <v>0</v>
      </c>
      <c r="AE155" s="12">
        <f t="shared" si="28"/>
        <v>633800</v>
      </c>
      <c r="AF155" s="12">
        <f t="shared" si="29"/>
        <v>-370200</v>
      </c>
      <c r="AG15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54800</v>
      </c>
      <c r="AH155" s="13">
        <f>IFERROR(AG155/(Z155+Table5[[#This Row],[Rider Penalty (Claim, Other Denda to Riders)]]),0)</f>
        <v>0.11815437688658904</v>
      </c>
      <c r="AI155" s="12">
        <f t="shared" si="36"/>
        <v>-425000</v>
      </c>
      <c r="AJ155" s="92">
        <f t="shared" si="31"/>
        <v>-2.5</v>
      </c>
      <c r="AK155" s="88" t="s">
        <v>341</v>
      </c>
      <c r="AV155" s="109"/>
      <c r="AW155" s="109"/>
      <c r="AX155" s="109"/>
    </row>
    <row r="156" spans="1:50" hidden="1">
      <c r="A156" s="23">
        <v>2025</v>
      </c>
      <c r="B156" s="41" t="s">
        <v>29</v>
      </c>
      <c r="C156" s="41" t="s">
        <v>29</v>
      </c>
      <c r="D156" s="41" t="s">
        <v>169</v>
      </c>
      <c r="E156" s="41" t="s">
        <v>28</v>
      </c>
      <c r="F156" s="41" t="s">
        <v>28</v>
      </c>
      <c r="G156" s="41">
        <v>10</v>
      </c>
      <c r="H156" s="41" t="s">
        <v>159</v>
      </c>
      <c r="I156" s="41" t="s">
        <v>256</v>
      </c>
      <c r="J156" s="47" t="s">
        <v>340</v>
      </c>
      <c r="K156" s="55">
        <v>7</v>
      </c>
      <c r="L156" s="41">
        <v>152</v>
      </c>
      <c r="M156" s="55">
        <v>1358000</v>
      </c>
      <c r="N156" s="55">
        <v>152000</v>
      </c>
      <c r="O156" s="55">
        <v>425000</v>
      </c>
      <c r="P156" s="41">
        <v>0</v>
      </c>
      <c r="Q156" s="41"/>
      <c r="R156" s="41">
        <v>0</v>
      </c>
      <c r="S156" s="41"/>
      <c r="T156" s="57">
        <f t="shared" si="34"/>
        <v>577000</v>
      </c>
      <c r="U156" s="41">
        <v>0</v>
      </c>
      <c r="V156" s="57">
        <v>1505000</v>
      </c>
      <c r="W156" s="86">
        <v>0</v>
      </c>
      <c r="X156" s="55"/>
      <c r="Y156" s="57">
        <f t="shared" si="35"/>
        <v>1505000</v>
      </c>
      <c r="Z156" s="57">
        <f>30%*M156</f>
        <v>407400</v>
      </c>
      <c r="AA156" s="55">
        <v>430000</v>
      </c>
      <c r="AB156" s="41">
        <v>0</v>
      </c>
      <c r="AC156" s="41"/>
      <c r="AD156" s="41"/>
      <c r="AE156" s="57">
        <f t="shared" si="28"/>
        <v>837400</v>
      </c>
      <c r="AF156" s="57">
        <f t="shared" si="29"/>
        <v>-1244600</v>
      </c>
      <c r="AG15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-169600</v>
      </c>
      <c r="AH156" s="59">
        <f>IFERROR(AG156/(Z156+Table5[[#This Row],[Rider Penalty (Claim, Other Denda to Riders)]]),0)</f>
        <v>-0.41629847815414828</v>
      </c>
      <c r="AI156" s="57">
        <f t="shared" si="36"/>
        <v>-1075000</v>
      </c>
      <c r="AJ156" s="60">
        <f t="shared" si="31"/>
        <v>-2.5</v>
      </c>
      <c r="AK156" s="88" t="s">
        <v>341</v>
      </c>
      <c r="AV156" s="109"/>
      <c r="AW156" s="109"/>
      <c r="AX156" s="109"/>
    </row>
    <row r="157" spans="1:50" hidden="1">
      <c r="A157" s="23">
        <v>2025</v>
      </c>
      <c r="B157" s="41" t="s">
        <v>171</v>
      </c>
      <c r="C157" s="41" t="s">
        <v>171</v>
      </c>
      <c r="D157" s="41" t="s">
        <v>168</v>
      </c>
      <c r="E157" s="41" t="s">
        <v>28</v>
      </c>
      <c r="F157" s="41" t="s">
        <v>28</v>
      </c>
      <c r="G157" s="41">
        <v>10</v>
      </c>
      <c r="H157" s="41" t="s">
        <v>159</v>
      </c>
      <c r="I157" s="41" t="s">
        <v>256</v>
      </c>
      <c r="J157" s="47" t="s">
        <v>340</v>
      </c>
      <c r="K157" s="55">
        <v>7</v>
      </c>
      <c r="L157" s="41">
        <v>189</v>
      </c>
      <c r="M157" s="55">
        <v>793000</v>
      </c>
      <c r="N157" s="55">
        <v>65600</v>
      </c>
      <c r="O157" s="55">
        <v>725000</v>
      </c>
      <c r="P157" s="41">
        <v>0</v>
      </c>
      <c r="Q157" s="41"/>
      <c r="R157" s="41">
        <v>0</v>
      </c>
      <c r="S157" s="41"/>
      <c r="T157" s="57">
        <f t="shared" si="34"/>
        <v>790600</v>
      </c>
      <c r="U157" s="41">
        <v>0</v>
      </c>
      <c r="V157" s="57">
        <v>1541000</v>
      </c>
      <c r="W157" s="86">
        <v>0</v>
      </c>
      <c r="X157" s="55">
        <v>0</v>
      </c>
      <c r="Y157" s="57">
        <f t="shared" si="35"/>
        <v>1541000</v>
      </c>
      <c r="Z157" s="57">
        <f>30%*M157</f>
        <v>237900</v>
      </c>
      <c r="AA157" s="55">
        <v>460000</v>
      </c>
      <c r="AB157" s="41">
        <v>0</v>
      </c>
      <c r="AC157" s="41"/>
      <c r="AD157" s="41"/>
      <c r="AE157" s="57">
        <f t="shared" si="28"/>
        <v>697900</v>
      </c>
      <c r="AF157" s="57">
        <f t="shared" si="29"/>
        <v>-1633700</v>
      </c>
      <c r="AG15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-552700</v>
      </c>
      <c r="AH157" s="59">
        <f>IFERROR(AG157/(Z157+Table5[[#This Row],[Rider Penalty (Claim, Other Denda to Riders)]]),0)</f>
        <v>-2.3232450609499788</v>
      </c>
      <c r="AI157" s="57">
        <f t="shared" si="36"/>
        <v>-1081000</v>
      </c>
      <c r="AJ157" s="60">
        <f t="shared" si="31"/>
        <v>-2.35</v>
      </c>
      <c r="AK157" s="88" t="s">
        <v>341</v>
      </c>
      <c r="AV157" s="109"/>
      <c r="AW157" s="109"/>
      <c r="AX157" s="109"/>
    </row>
    <row r="158" spans="1:50" hidden="1">
      <c r="A158">
        <v>2025</v>
      </c>
      <c r="B158" t="s">
        <v>23</v>
      </c>
      <c r="C158" t="s">
        <v>23</v>
      </c>
      <c r="D158" t="s">
        <v>168</v>
      </c>
      <c r="E158" s="41" t="s">
        <v>28</v>
      </c>
      <c r="F158" t="s">
        <v>25</v>
      </c>
      <c r="G158" s="41">
        <v>11</v>
      </c>
      <c r="H158" s="41" t="s">
        <v>159</v>
      </c>
      <c r="I158" s="41" t="s">
        <v>278</v>
      </c>
      <c r="J158" s="47" t="s">
        <v>342</v>
      </c>
      <c r="K158" s="55">
        <v>279</v>
      </c>
      <c r="L158" s="41">
        <v>53003</v>
      </c>
      <c r="M158" s="55">
        <v>468942000</v>
      </c>
      <c r="N158" s="55">
        <v>52976000</v>
      </c>
      <c r="O158" s="55">
        <v>48300000</v>
      </c>
      <c r="P158" s="41">
        <v>0</v>
      </c>
      <c r="Q158" s="41"/>
      <c r="R158" s="41">
        <v>0</v>
      </c>
      <c r="S158" s="41"/>
      <c r="T158" s="57">
        <f t="shared" si="34"/>
        <v>101276000</v>
      </c>
      <c r="U158" s="41">
        <v>700000</v>
      </c>
      <c r="V158" s="57">
        <v>65765000</v>
      </c>
      <c r="W158" s="86">
        <v>0</v>
      </c>
      <c r="X158" s="55">
        <v>295806</v>
      </c>
      <c r="Y158" s="57">
        <f t="shared" si="35"/>
        <v>66760806</v>
      </c>
      <c r="Z158" s="57">
        <f>23%*M158</f>
        <v>107856660</v>
      </c>
      <c r="AA158" s="139">
        <v>33822000</v>
      </c>
      <c r="AB158" s="61">
        <f>7/31*156456415</f>
        <v>35328867.903225802</v>
      </c>
      <c r="AC158" s="61"/>
      <c r="AD158" s="41"/>
      <c r="AE158" s="57">
        <f t="shared" si="28"/>
        <v>177007527.90322581</v>
      </c>
      <c r="AF158" s="57">
        <f t="shared" si="29"/>
        <v>8970721.9032258093</v>
      </c>
      <c r="AG15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5584854</v>
      </c>
      <c r="AH158" s="59">
        <f>IFERROR(AG158/(Z158+Table5[[#This Row],[Rider Penalty (Claim, Other Denda to Riders)]]),0)</f>
        <v>5.178033512255989E-2</v>
      </c>
      <c r="AI158" s="57">
        <f t="shared" si="36"/>
        <v>3385867.9032258093</v>
      </c>
      <c r="AJ158" s="60">
        <f t="shared" si="31"/>
        <v>4.8963491072363856E-2</v>
      </c>
      <c r="AK158" s="88" t="s">
        <v>343</v>
      </c>
      <c r="AV158" s="109">
        <f>Table5[[#This Row],[Total Selling Comission/Sales (Weekly)]]/Table5[[#This Row],[Total Revenue Sharing % (Weekly)]]*100%</f>
        <v>0.49117041080263379</v>
      </c>
      <c r="AW158" s="109">
        <f>Table5[[#This Row],[Total Daily Incentive (Weekly)]]/Table5[[#This Row],[Total Revenue Sharing % (Weekly)]]*100%</f>
        <v>0.44781657433115396</v>
      </c>
      <c r="AX158" s="109">
        <f>(N158+O158)/Z158*100%</f>
        <v>0.93898698513378775</v>
      </c>
    </row>
    <row r="159" spans="1:50" hidden="1">
      <c r="A159">
        <v>2025</v>
      </c>
      <c r="B159" t="s">
        <v>23</v>
      </c>
      <c r="C159" t="s">
        <v>172</v>
      </c>
      <c r="D159" t="s">
        <v>168</v>
      </c>
      <c r="E159" s="41" t="s">
        <v>28</v>
      </c>
      <c r="F159" s="41" t="s">
        <v>31</v>
      </c>
      <c r="G159" s="41">
        <v>11</v>
      </c>
      <c r="H159" s="41" t="s">
        <v>159</v>
      </c>
      <c r="I159" s="41" t="s">
        <v>278</v>
      </c>
      <c r="J159" s="47" t="s">
        <v>342</v>
      </c>
      <c r="K159" s="61">
        <v>21</v>
      </c>
      <c r="L159">
        <v>3569</v>
      </c>
      <c r="M159" s="61">
        <v>31796000</v>
      </c>
      <c r="N159">
        <v>3569000</v>
      </c>
      <c r="O159" s="61">
        <v>3200000</v>
      </c>
      <c r="P159">
        <v>0</v>
      </c>
      <c r="R159">
        <v>0</v>
      </c>
      <c r="T159" s="12">
        <f t="shared" si="34"/>
        <v>6769000</v>
      </c>
      <c r="U159">
        <v>0</v>
      </c>
      <c r="V159" s="12">
        <v>4375000</v>
      </c>
      <c r="W159" s="86">
        <v>0</v>
      </c>
      <c r="X159" s="61">
        <v>411871</v>
      </c>
      <c r="Y159" s="57">
        <f t="shared" si="35"/>
        <v>4786871</v>
      </c>
      <c r="Z159" s="12">
        <f>23%*M159</f>
        <v>7313080</v>
      </c>
      <c r="AA159" s="140">
        <v>2250000</v>
      </c>
      <c r="AB159" s="48">
        <f>7/31*12978581</f>
        <v>2930647.3225806449</v>
      </c>
      <c r="AC159" s="76"/>
      <c r="AE159" s="12">
        <f t="shared" si="28"/>
        <v>12493727.322580645</v>
      </c>
      <c r="AF159" s="12">
        <f t="shared" si="29"/>
        <v>937856.32258064486</v>
      </c>
      <c r="AG15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132209</v>
      </c>
      <c r="AH159" s="13">
        <f>IFERROR(AG159/(Z159+Table5[[#This Row],[Rider Penalty (Claim, Other Denda to Riders)]]),0)</f>
        <v>1.8078429334835663E-2</v>
      </c>
      <c r="AI159" s="12">
        <f t="shared" si="36"/>
        <v>805647.32258064486</v>
      </c>
      <c r="AJ159" s="92">
        <f t="shared" si="31"/>
        <v>0.15551093761374329</v>
      </c>
      <c r="AK159" s="88" t="s">
        <v>343</v>
      </c>
      <c r="AV159" s="109">
        <f>Table5[[#This Row],[Total Selling Comission/Sales (Weekly)]]/Table5[[#This Row],[Total Revenue Sharing % (Weekly)]]*100%</f>
        <v>0.48802966739048392</v>
      </c>
      <c r="AW159" s="109">
        <f>Table5[[#This Row],[Total Daily Incentive (Weekly)]]/Table5[[#This Row],[Total Revenue Sharing % (Weekly)]]*100%</f>
        <v>0.43757213103097464</v>
      </c>
      <c r="AX159" s="109">
        <f>(N159+O159)/Z159*100%</f>
        <v>0.92560179842145851</v>
      </c>
    </row>
    <row r="160" spans="1:50" hidden="1">
      <c r="A160" s="23">
        <v>2025</v>
      </c>
      <c r="B160" s="41" t="s">
        <v>27</v>
      </c>
      <c r="C160" s="41" t="s">
        <v>27</v>
      </c>
      <c r="D160" s="41" t="s">
        <v>169</v>
      </c>
      <c r="E160" s="41" t="s">
        <v>28</v>
      </c>
      <c r="F160" s="48" t="s">
        <v>28</v>
      </c>
      <c r="G160" s="41">
        <v>11</v>
      </c>
      <c r="H160" s="41" t="s">
        <v>159</v>
      </c>
      <c r="I160" s="41" t="s">
        <v>278</v>
      </c>
      <c r="J160" s="47" t="s">
        <v>342</v>
      </c>
      <c r="K160" s="55">
        <v>6</v>
      </c>
      <c r="L160" s="41">
        <v>450</v>
      </c>
      <c r="M160" s="55">
        <v>4174000</v>
      </c>
      <c r="N160" s="41">
        <v>450000</v>
      </c>
      <c r="O160" s="55">
        <v>825000</v>
      </c>
      <c r="P160" s="41">
        <v>0</v>
      </c>
      <c r="Q160" s="41"/>
      <c r="R160" s="41">
        <v>0</v>
      </c>
      <c r="T160" s="12">
        <f t="shared" si="34"/>
        <v>1275000</v>
      </c>
      <c r="U160" s="41">
        <v>0</v>
      </c>
      <c r="V160" s="57">
        <v>1470000</v>
      </c>
      <c r="W160" s="86">
        <v>0</v>
      </c>
      <c r="X160" s="55">
        <v>0</v>
      </c>
      <c r="Y160" s="57">
        <f t="shared" si="35"/>
        <v>1470000</v>
      </c>
      <c r="Z160" s="57">
        <f>30%*M160</f>
        <v>1252200</v>
      </c>
      <c r="AA160" s="55">
        <v>420000</v>
      </c>
      <c r="AB160" s="41">
        <v>0</v>
      </c>
      <c r="AC160" s="41"/>
      <c r="AD160" s="41"/>
      <c r="AE160" s="57">
        <f t="shared" si="28"/>
        <v>1672200</v>
      </c>
      <c r="AF160" s="57">
        <f t="shared" si="29"/>
        <v>-1072800</v>
      </c>
      <c r="AG16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-22800</v>
      </c>
      <c r="AH160" s="59">
        <f>IFERROR(AG160/(Z160+Table5[[#This Row],[Rider Penalty (Claim, Other Denda to Riders)]]),0)</f>
        <v>-1.8207954000958312E-2</v>
      </c>
      <c r="AI160" s="57">
        <f t="shared" si="36"/>
        <v>-1050000</v>
      </c>
      <c r="AJ160" s="60">
        <f t="shared" si="31"/>
        <v>-2.5</v>
      </c>
      <c r="AK160" s="88" t="s">
        <v>343</v>
      </c>
      <c r="AV160" s="109"/>
      <c r="AW160" s="109"/>
      <c r="AX160" s="109"/>
    </row>
    <row r="161" spans="1:50" hidden="1">
      <c r="A161" s="41">
        <v>2025</v>
      </c>
      <c r="B161" s="41" t="s">
        <v>200</v>
      </c>
      <c r="C161" s="41" t="s">
        <v>200</v>
      </c>
      <c r="D161" s="41" t="s">
        <v>169</v>
      </c>
      <c r="E161" s="41" t="s">
        <v>28</v>
      </c>
      <c r="F161" s="41" t="s">
        <v>28</v>
      </c>
      <c r="G161" s="41">
        <v>11</v>
      </c>
      <c r="H161" s="41" t="s">
        <v>159</v>
      </c>
      <c r="I161" s="41" t="s">
        <v>278</v>
      </c>
      <c r="J161" s="47" t="s">
        <v>342</v>
      </c>
      <c r="K161" s="55">
        <v>1</v>
      </c>
      <c r="L161" s="41">
        <v>35</v>
      </c>
      <c r="M161" s="55">
        <v>386000</v>
      </c>
      <c r="N161" s="41">
        <v>35000</v>
      </c>
      <c r="O161" s="55">
        <v>175000</v>
      </c>
      <c r="P161" s="41">
        <v>0</v>
      </c>
      <c r="Q161" s="41"/>
      <c r="R161" s="41">
        <v>0</v>
      </c>
      <c r="T161" s="12">
        <f t="shared" si="34"/>
        <v>210000</v>
      </c>
      <c r="U161" s="41">
        <v>0</v>
      </c>
      <c r="V161" s="57">
        <v>245000</v>
      </c>
      <c r="W161" s="86">
        <v>0</v>
      </c>
      <c r="X161" s="55">
        <v>0</v>
      </c>
      <c r="Y161" s="57">
        <f t="shared" si="35"/>
        <v>245000</v>
      </c>
      <c r="Z161" s="57">
        <f>35%*M161</f>
        <v>135100</v>
      </c>
      <c r="AA161" s="55">
        <v>70000</v>
      </c>
      <c r="AB161" s="41">
        <v>0</v>
      </c>
      <c r="AC161" s="41"/>
      <c r="AD161" s="41"/>
      <c r="AE161" s="57">
        <f t="shared" si="28"/>
        <v>205100</v>
      </c>
      <c r="AF161" s="57">
        <f t="shared" si="29"/>
        <v>-249900</v>
      </c>
      <c r="AG16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-74900</v>
      </c>
      <c r="AH161" s="59">
        <f>IFERROR(AG161/(Z161+Table5[[#This Row],[Rider Penalty (Claim, Other Denda to Riders)]]),0)</f>
        <v>-0.55440414507772018</v>
      </c>
      <c r="AI161" s="57">
        <f t="shared" si="36"/>
        <v>-175000</v>
      </c>
      <c r="AJ161" s="60">
        <f t="shared" si="31"/>
        <v>-2.5</v>
      </c>
      <c r="AK161" s="88" t="s">
        <v>343</v>
      </c>
      <c r="AV161" s="109"/>
      <c r="AW161" s="109"/>
      <c r="AX161" s="109"/>
    </row>
    <row r="162" spans="1:50" hidden="1">
      <c r="A162" s="23">
        <v>2025</v>
      </c>
      <c r="B162" s="41" t="s">
        <v>201</v>
      </c>
      <c r="C162" s="41" t="s">
        <v>201</v>
      </c>
      <c r="D162" s="41" t="s">
        <v>169</v>
      </c>
      <c r="E162" s="41" t="s">
        <v>28</v>
      </c>
      <c r="F162" s="41" t="s">
        <v>28</v>
      </c>
      <c r="G162" s="41">
        <v>11</v>
      </c>
      <c r="H162" s="41" t="s">
        <v>159</v>
      </c>
      <c r="I162" s="41" t="s">
        <v>278</v>
      </c>
      <c r="J162" s="47" t="s">
        <v>342</v>
      </c>
      <c r="K162" s="55">
        <v>3</v>
      </c>
      <c r="L162" s="41">
        <v>62</v>
      </c>
      <c r="M162" s="55">
        <v>732000</v>
      </c>
      <c r="N162" s="41">
        <v>62000</v>
      </c>
      <c r="O162" s="55">
        <v>275000</v>
      </c>
      <c r="P162" s="41">
        <v>0</v>
      </c>
      <c r="Q162" s="41"/>
      <c r="R162" s="41">
        <v>0</v>
      </c>
      <c r="T162" s="12">
        <f t="shared" si="34"/>
        <v>337000</v>
      </c>
      <c r="U162" s="41">
        <v>0</v>
      </c>
      <c r="V162" s="57">
        <v>735000</v>
      </c>
      <c r="W162" s="86">
        <v>0</v>
      </c>
      <c r="X162" s="55">
        <v>0</v>
      </c>
      <c r="Y162" s="57">
        <f t="shared" si="35"/>
        <v>735000</v>
      </c>
      <c r="Z162" s="57">
        <f>30%*M162</f>
        <v>219600</v>
      </c>
      <c r="AA162" s="55">
        <v>160000</v>
      </c>
      <c r="AB162" s="41">
        <v>0</v>
      </c>
      <c r="AC162" s="41"/>
      <c r="AD162" s="41"/>
      <c r="AE162" s="57">
        <f t="shared" si="28"/>
        <v>379600</v>
      </c>
      <c r="AF162" s="57">
        <f t="shared" si="29"/>
        <v>-692400</v>
      </c>
      <c r="AG16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-117400</v>
      </c>
      <c r="AH162" s="59">
        <f>IFERROR(AG162/(Z162+Table5[[#This Row],[Rider Penalty (Claim, Other Denda to Riders)]]),0)</f>
        <v>-0.53460837887067392</v>
      </c>
      <c r="AI162" s="57">
        <f t="shared" si="36"/>
        <v>-575000</v>
      </c>
      <c r="AJ162" s="60">
        <f t="shared" si="31"/>
        <v>-3.59375</v>
      </c>
      <c r="AK162" s="88" t="s">
        <v>343</v>
      </c>
      <c r="AV162" s="109"/>
      <c r="AW162" s="109"/>
      <c r="AX162" s="109"/>
    </row>
    <row r="163" spans="1:50" hidden="1">
      <c r="A163" s="23">
        <v>2025</v>
      </c>
      <c r="B163" s="41" t="s">
        <v>171</v>
      </c>
      <c r="C163" s="41" t="s">
        <v>171</v>
      </c>
      <c r="D163" s="41" t="s">
        <v>168</v>
      </c>
      <c r="E163" s="41" t="s">
        <v>28</v>
      </c>
      <c r="F163" s="41" t="s">
        <v>28</v>
      </c>
      <c r="G163" s="41">
        <v>11</v>
      </c>
      <c r="H163" s="41" t="s">
        <v>159</v>
      </c>
      <c r="I163" s="41" t="s">
        <v>278</v>
      </c>
      <c r="J163" s="47" t="s">
        <v>342</v>
      </c>
      <c r="K163" s="55">
        <v>7</v>
      </c>
      <c r="L163" s="41">
        <v>288</v>
      </c>
      <c r="M163" s="55">
        <v>1010000</v>
      </c>
      <c r="N163" s="41">
        <v>83600</v>
      </c>
      <c r="O163" s="55">
        <v>1075000</v>
      </c>
      <c r="P163" s="41">
        <v>0</v>
      </c>
      <c r="Q163" s="41"/>
      <c r="R163" s="41">
        <v>0</v>
      </c>
      <c r="S163" s="41"/>
      <c r="T163" s="57">
        <f t="shared" si="34"/>
        <v>1158600</v>
      </c>
      <c r="U163" s="41">
        <v>0</v>
      </c>
      <c r="V163" s="57">
        <v>1715000</v>
      </c>
      <c r="W163" s="86">
        <v>0</v>
      </c>
      <c r="X163" s="55">
        <v>0</v>
      </c>
      <c r="Y163" s="57">
        <f t="shared" si="35"/>
        <v>1715000</v>
      </c>
      <c r="Z163" s="57">
        <f>30%*M163</f>
        <v>303000</v>
      </c>
      <c r="AA163" s="55">
        <v>490000</v>
      </c>
      <c r="AB163" s="41">
        <v>0</v>
      </c>
      <c r="AC163" s="41"/>
      <c r="AD163" s="41"/>
      <c r="AE163" s="57">
        <f t="shared" si="28"/>
        <v>793000</v>
      </c>
      <c r="AF163" s="57">
        <f t="shared" si="29"/>
        <v>-2080600</v>
      </c>
      <c r="AG16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-855600</v>
      </c>
      <c r="AH163" s="59">
        <f>IFERROR(AG163/(Z163+Table5[[#This Row],[Rider Penalty (Claim, Other Denda to Riders)]]),0)</f>
        <v>-2.8237623762376236</v>
      </c>
      <c r="AI163" s="57">
        <f t="shared" si="36"/>
        <v>-1225000</v>
      </c>
      <c r="AJ163" s="60">
        <f t="shared" si="31"/>
        <v>-2.5</v>
      </c>
      <c r="AK163" s="88" t="s">
        <v>343</v>
      </c>
      <c r="AV163" s="109"/>
      <c r="AW163" s="109"/>
      <c r="AX163" s="109"/>
    </row>
    <row r="164" spans="1:50" hidden="1">
      <c r="A164" s="41">
        <v>2025</v>
      </c>
      <c r="B164" s="41" t="s">
        <v>23</v>
      </c>
      <c r="C164" s="41" t="s">
        <v>174</v>
      </c>
      <c r="D164" s="41" t="s">
        <v>168</v>
      </c>
      <c r="E164" s="41" t="s">
        <v>24</v>
      </c>
      <c r="F164" s="41" t="s">
        <v>24</v>
      </c>
      <c r="G164" s="41">
        <v>11</v>
      </c>
      <c r="H164" s="41" t="s">
        <v>159</v>
      </c>
      <c r="I164" s="41" t="s">
        <v>278</v>
      </c>
      <c r="J164" s="47" t="s">
        <v>342</v>
      </c>
      <c r="K164" s="61">
        <v>64</v>
      </c>
      <c r="L164">
        <v>6298</v>
      </c>
      <c r="M164" s="61">
        <v>58080000</v>
      </c>
      <c r="N164">
        <v>5038400</v>
      </c>
      <c r="O164" s="61">
        <v>18000000</v>
      </c>
      <c r="P164">
        <v>0</v>
      </c>
      <c r="R164">
        <v>0</v>
      </c>
      <c r="T164" s="12">
        <f t="shared" si="34"/>
        <v>23038400</v>
      </c>
      <c r="U164">
        <v>480000</v>
      </c>
      <c r="V164" s="12">
        <v>12245000</v>
      </c>
      <c r="W164" s="86">
        <v>0</v>
      </c>
      <c r="X164" s="55">
        <v>112903</v>
      </c>
      <c r="Y164" s="12">
        <f t="shared" si="35"/>
        <v>12837903</v>
      </c>
      <c r="Z164" s="76">
        <f>21%*Table5[[#This Row],[Total Selling (Clients Revenue)]]</f>
        <v>12196800</v>
      </c>
      <c r="AA164" s="140">
        <v>8525000</v>
      </c>
      <c r="AB164" s="138">
        <f>7/31*20882737</f>
        <v>4715456.7419354841</v>
      </c>
      <c r="AC164" s="123"/>
      <c r="AD164">
        <v>800000</v>
      </c>
      <c r="AE164" s="12">
        <f t="shared" si="28"/>
        <v>26237256.741935484</v>
      </c>
      <c r="AF164" s="12">
        <f t="shared" si="29"/>
        <v>-9639046.2580645159</v>
      </c>
      <c r="AG16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-10634503</v>
      </c>
      <c r="AH164" s="13">
        <f>IFERROR(AG164/(Z164+Table5[[#This Row],[Rider Penalty (Claim, Other Denda to Riders)]]),0)</f>
        <v>-0.81824010525667856</v>
      </c>
      <c r="AI164" s="12">
        <f t="shared" si="36"/>
        <v>995456.74193548411</v>
      </c>
      <c r="AJ164" s="92">
        <f t="shared" si="31"/>
        <v>7.5182960930845408E-2</v>
      </c>
      <c r="AK164" s="88"/>
      <c r="AV164" s="109">
        <f>Table5[[#This Row],[Total Selling Comission/Sales (Weekly)]]/Table5[[#This Row],[Total Revenue Sharing % (Weekly)]]*100%</f>
        <v>0.41309195854650399</v>
      </c>
      <c r="AW164" s="109">
        <f>Table5[[#This Row],[Total Daily Incentive (Weekly)]]/Table5[[#This Row],[Total Revenue Sharing % (Weekly)]]*100%</f>
        <v>1.4757969303423848</v>
      </c>
      <c r="AX164" s="109">
        <f>(N164+O164)/Z164*100%</f>
        <v>1.8888888888888888</v>
      </c>
    </row>
    <row r="165" spans="1:50" hidden="1">
      <c r="A165">
        <v>2025</v>
      </c>
      <c r="B165" t="s">
        <v>23</v>
      </c>
      <c r="C165" t="s">
        <v>173</v>
      </c>
      <c r="D165" t="s">
        <v>168</v>
      </c>
      <c r="E165" t="s">
        <v>24</v>
      </c>
      <c r="F165" s="1" t="s">
        <v>282</v>
      </c>
      <c r="G165">
        <v>11</v>
      </c>
      <c r="H165" s="41" t="s">
        <v>159</v>
      </c>
      <c r="I165" s="41" t="s">
        <v>278</v>
      </c>
      <c r="J165" s="47" t="s">
        <v>342</v>
      </c>
      <c r="K165" s="55">
        <v>12</v>
      </c>
      <c r="L165" s="41">
        <v>2783</v>
      </c>
      <c r="M165" s="55">
        <v>25308000</v>
      </c>
      <c r="N165" s="41">
        <v>3350000</v>
      </c>
      <c r="O165" s="55">
        <v>2226400</v>
      </c>
      <c r="P165" s="41">
        <v>0</v>
      </c>
      <c r="Q165" s="41"/>
      <c r="R165" s="41">
        <v>0</v>
      </c>
      <c r="S165" s="41"/>
      <c r="T165" s="57">
        <f t="shared" si="34"/>
        <v>5576400</v>
      </c>
      <c r="U165" s="41">
        <v>0</v>
      </c>
      <c r="V165" s="57">
        <v>2345000</v>
      </c>
      <c r="W165" s="86">
        <v>0</v>
      </c>
      <c r="X165" s="55">
        <v>0</v>
      </c>
      <c r="Y165" s="57">
        <f t="shared" si="35"/>
        <v>2345000</v>
      </c>
      <c r="Z165" s="76">
        <f>21%*Table5[[#This Row],[Total Selling (Clients Revenue)]]</f>
        <v>5314680</v>
      </c>
      <c r="AA165" s="139">
        <v>1650000</v>
      </c>
      <c r="AB165">
        <f>7/31*4745414</f>
        <v>1071545.0967741935</v>
      </c>
      <c r="AD165" s="41">
        <v>100000</v>
      </c>
      <c r="AE165" s="57">
        <f t="shared" si="28"/>
        <v>8136225.0967741935</v>
      </c>
      <c r="AF165" s="57">
        <f t="shared" si="29"/>
        <v>214825.09677419346</v>
      </c>
      <c r="AG16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-161720</v>
      </c>
      <c r="AH165" s="59">
        <f>IFERROR(AG165/(Z165+Table5[[#This Row],[Rider Penalty (Claim, Other Denda to Riders)]]),0)</f>
        <v>-2.986695427984664E-2</v>
      </c>
      <c r="AI165" s="57">
        <f t="shared" si="36"/>
        <v>376545.09677419346</v>
      </c>
      <c r="AJ165" s="60">
        <f t="shared" si="31"/>
        <v>0.13835710355140052</v>
      </c>
      <c r="AK165" s="88"/>
      <c r="AV165" s="109">
        <f>Table5[[#This Row],[Total Selling Comission/Sales (Weekly)]]/Table5[[#This Row],[Total Revenue Sharing % (Weekly)]]*100%</f>
        <v>0.6303295776979988</v>
      </c>
      <c r="AW165" s="109">
        <f>Table5[[#This Row],[Total Daily Incentive (Weekly)]]/Table5[[#This Row],[Total Revenue Sharing % (Weekly)]]*100%</f>
        <v>0.41891515575726102</v>
      </c>
      <c r="AX165" s="109">
        <f>(N165+O165)/Z165*100%</f>
        <v>1.0492447334552597</v>
      </c>
    </row>
    <row r="166" spans="1:50" hidden="1">
      <c r="A166" s="23">
        <v>2025</v>
      </c>
      <c r="B166" s="41" t="s">
        <v>29</v>
      </c>
      <c r="C166" s="41" t="s">
        <v>29</v>
      </c>
      <c r="D166" s="41" t="s">
        <v>169</v>
      </c>
      <c r="E166" s="41" t="s">
        <v>28</v>
      </c>
      <c r="F166" s="41" t="s">
        <v>28</v>
      </c>
      <c r="G166" s="41">
        <v>11</v>
      </c>
      <c r="H166" s="41" t="s">
        <v>159</v>
      </c>
      <c r="I166" s="41" t="s">
        <v>278</v>
      </c>
      <c r="J166" s="47" t="s">
        <v>342</v>
      </c>
      <c r="K166" s="55">
        <v>3</v>
      </c>
      <c r="L166" s="41">
        <v>38</v>
      </c>
      <c r="M166" s="55">
        <v>338000</v>
      </c>
      <c r="N166" s="41">
        <v>38000</v>
      </c>
      <c r="O166" s="55">
        <v>175000</v>
      </c>
      <c r="P166" s="41">
        <v>0</v>
      </c>
      <c r="Q166" s="41"/>
      <c r="R166" s="41">
        <v>0</v>
      </c>
      <c r="S166" s="41"/>
      <c r="T166" s="57">
        <f t="shared" si="34"/>
        <v>213000</v>
      </c>
      <c r="U166" s="41">
        <v>0</v>
      </c>
      <c r="V166" s="57">
        <v>525000</v>
      </c>
      <c r="W166" s="86">
        <v>0</v>
      </c>
      <c r="X166" s="55"/>
      <c r="Y166" s="57">
        <f t="shared" si="35"/>
        <v>525000</v>
      </c>
      <c r="Z166" s="57">
        <f>30%*M166</f>
        <v>101400</v>
      </c>
      <c r="AA166" s="55">
        <v>150000</v>
      </c>
      <c r="AB166" s="41">
        <v>0</v>
      </c>
      <c r="AC166" s="41"/>
      <c r="AD166" s="41"/>
      <c r="AE166" s="57">
        <f t="shared" si="28"/>
        <v>251400</v>
      </c>
      <c r="AF166" s="57">
        <f t="shared" si="29"/>
        <v>-486600</v>
      </c>
      <c r="AG16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-111600</v>
      </c>
      <c r="AH166" s="59">
        <f>IFERROR(AG166/(Z166+Table5[[#This Row],[Rider Penalty (Claim, Other Denda to Riders)]]),0)</f>
        <v>-1.1005917159763314</v>
      </c>
      <c r="AI166" s="57">
        <f t="shared" si="36"/>
        <v>-375000</v>
      </c>
      <c r="AJ166" s="60">
        <f t="shared" si="31"/>
        <v>-2.5</v>
      </c>
      <c r="AK166" s="88" t="s">
        <v>343</v>
      </c>
      <c r="AV166" s="109"/>
      <c r="AW166" s="109"/>
      <c r="AX166" s="109"/>
    </row>
    <row r="167" spans="1:50" hidden="1">
      <c r="A167" s="23">
        <v>2025</v>
      </c>
      <c r="B167" s="41" t="s">
        <v>199</v>
      </c>
      <c r="C167" s="41" t="s">
        <v>199</v>
      </c>
      <c r="D167" s="41" t="s">
        <v>169</v>
      </c>
      <c r="E167" s="41" t="s">
        <v>28</v>
      </c>
      <c r="F167" s="41" t="s">
        <v>28</v>
      </c>
      <c r="G167" s="41">
        <v>11</v>
      </c>
      <c r="H167" s="41" t="s">
        <v>159</v>
      </c>
      <c r="I167" s="41" t="s">
        <v>278</v>
      </c>
      <c r="J167" s="47" t="s">
        <v>342</v>
      </c>
      <c r="K167" s="55">
        <v>1</v>
      </c>
      <c r="L167" s="41">
        <v>8</v>
      </c>
      <c r="M167" s="55">
        <v>177000</v>
      </c>
      <c r="N167" s="41">
        <v>8000</v>
      </c>
      <c r="O167" s="55">
        <v>50000</v>
      </c>
      <c r="P167" s="41">
        <v>0</v>
      </c>
      <c r="Q167" s="41"/>
      <c r="R167" s="41">
        <v>0</v>
      </c>
      <c r="S167" s="41"/>
      <c r="T167" s="57">
        <f t="shared" si="34"/>
        <v>58000</v>
      </c>
      <c r="U167" s="41">
        <v>0</v>
      </c>
      <c r="V167" s="57">
        <f>3*35000</f>
        <v>105000</v>
      </c>
      <c r="W167" s="86">
        <v>0</v>
      </c>
      <c r="X167" s="55"/>
      <c r="Y167" s="57">
        <f t="shared" si="35"/>
        <v>105000</v>
      </c>
      <c r="Z167" s="57">
        <f>30%*M167</f>
        <v>53100</v>
      </c>
      <c r="AA167" s="55">
        <v>30000</v>
      </c>
      <c r="AB167" s="41">
        <v>0</v>
      </c>
      <c r="AC167" s="41"/>
      <c r="AD167" s="41"/>
      <c r="AE167" s="57">
        <f t="shared" si="28"/>
        <v>83100</v>
      </c>
      <c r="AF167" s="57">
        <f t="shared" si="29"/>
        <v>-79900</v>
      </c>
      <c r="AG16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-4900</v>
      </c>
      <c r="AH167" s="59">
        <f>IFERROR(AG167/(Z167+Table5[[#This Row],[Rider Penalty (Claim, Other Denda to Riders)]]),0)</f>
        <v>-9.2278719397363471E-2</v>
      </c>
      <c r="AI167" s="57">
        <f t="shared" si="36"/>
        <v>-75000</v>
      </c>
      <c r="AJ167" s="60">
        <f t="shared" si="31"/>
        <v>-2.5</v>
      </c>
      <c r="AK167" s="88" t="s">
        <v>343</v>
      </c>
      <c r="AV167" s="109"/>
      <c r="AW167" s="109"/>
      <c r="AX167" s="109"/>
    </row>
    <row r="168" spans="1:50" hidden="1">
      <c r="A168" s="41">
        <v>2025</v>
      </c>
      <c r="B168" s="41" t="s">
        <v>23</v>
      </c>
      <c r="C168" s="41" t="s">
        <v>174</v>
      </c>
      <c r="D168" s="41" t="s">
        <v>168</v>
      </c>
      <c r="E168" s="41" t="s">
        <v>24</v>
      </c>
      <c r="F168" s="41" t="s">
        <v>24</v>
      </c>
      <c r="G168" s="41">
        <v>12</v>
      </c>
      <c r="H168" s="41" t="s">
        <v>159</v>
      </c>
      <c r="I168" s="41" t="s">
        <v>279</v>
      </c>
      <c r="J168" s="47" t="s">
        <v>344</v>
      </c>
      <c r="K168" s="55">
        <v>65</v>
      </c>
      <c r="L168" s="61">
        <v>5956</v>
      </c>
      <c r="M168" s="61">
        <v>54886000</v>
      </c>
      <c r="N168" s="55">
        <v>5549800</v>
      </c>
      <c r="O168" s="55">
        <v>19100000</v>
      </c>
      <c r="P168" s="41">
        <v>0</v>
      </c>
      <c r="Q168" s="41"/>
      <c r="R168" s="41">
        <v>0</v>
      </c>
      <c r="S168" s="41"/>
      <c r="T168" s="57">
        <f t="shared" si="34"/>
        <v>24649800</v>
      </c>
      <c r="U168" s="41">
        <v>840000</v>
      </c>
      <c r="V168" s="55">
        <v>14420000</v>
      </c>
      <c r="W168" s="86">
        <v>0</v>
      </c>
      <c r="X168" s="55">
        <v>112903</v>
      </c>
      <c r="Y168" s="57">
        <f t="shared" si="35"/>
        <v>15372903</v>
      </c>
      <c r="Z168" s="106">
        <f>21%*Table5[[#This Row],[Total Selling (Clients Revenue)]]</f>
        <v>11526060</v>
      </c>
      <c r="AA168" s="141">
        <v>9975000</v>
      </c>
      <c r="AB168" s="138">
        <f>7/31*20882737</f>
        <v>4715456.7419354841</v>
      </c>
      <c r="AC168" s="138"/>
      <c r="AD168" s="41">
        <v>650000</v>
      </c>
      <c r="AE168" s="41">
        <f t="shared" si="28"/>
        <v>26866516.741935484</v>
      </c>
      <c r="AF168" s="57">
        <f t="shared" si="29"/>
        <v>-13156186.258064516</v>
      </c>
      <c r="AG16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-13426643</v>
      </c>
      <c r="AH168" s="59">
        <f>IFERROR(AG168/(Z168+Table5[[#This Row],[Rider Penalty (Claim, Other Denda to Riders)]]),0)</f>
        <v>-1.102708347363597</v>
      </c>
      <c r="AI168" s="57">
        <f t="shared" si="36"/>
        <v>270456.74193548411</v>
      </c>
      <c r="AJ168" s="60">
        <f t="shared" si="31"/>
        <v>1.8410369853473402E-2</v>
      </c>
      <c r="AV168" s="109">
        <f>Table5[[#This Row],[Total Selling Comission/Sales (Weekly)]]/Table5[[#This Row],[Total Revenue Sharing % (Weekly)]]*100%</f>
        <v>0.48150018306342324</v>
      </c>
      <c r="AW168" s="109">
        <f>Table5[[#This Row],[Total Daily Incentive (Weekly)]]/Table5[[#This Row],[Total Revenue Sharing % (Weekly)]]*100%</f>
        <v>1.6571143998903355</v>
      </c>
      <c r="AX168" s="109">
        <f>(N168+O168)/Z168*100%</f>
        <v>2.1386145829537586</v>
      </c>
    </row>
    <row r="169" spans="1:50" hidden="1">
      <c r="A169">
        <v>2025</v>
      </c>
      <c r="B169" t="s">
        <v>23</v>
      </c>
      <c r="C169" t="s">
        <v>173</v>
      </c>
      <c r="D169" t="s">
        <v>168</v>
      </c>
      <c r="E169" t="s">
        <v>24</v>
      </c>
      <c r="F169" s="76" t="s">
        <v>282</v>
      </c>
      <c r="G169" s="41">
        <v>12</v>
      </c>
      <c r="H169" s="41" t="s">
        <v>159</v>
      </c>
      <c r="I169" s="41" t="s">
        <v>279</v>
      </c>
      <c r="J169" s="47" t="s">
        <v>344</v>
      </c>
      <c r="K169" s="61">
        <v>16</v>
      </c>
      <c r="L169" s="61">
        <v>2824</v>
      </c>
      <c r="M169" s="61">
        <v>25732000</v>
      </c>
      <c r="N169" s="61">
        <v>2259200</v>
      </c>
      <c r="O169" s="61">
        <v>4150000</v>
      </c>
      <c r="P169">
        <v>0</v>
      </c>
      <c r="R169">
        <v>0</v>
      </c>
      <c r="T169" s="12">
        <f t="shared" si="34"/>
        <v>6409200</v>
      </c>
      <c r="U169">
        <v>0</v>
      </c>
      <c r="V169" s="61">
        <v>2905000</v>
      </c>
      <c r="W169" s="86">
        <v>0</v>
      </c>
      <c r="X169" s="61">
        <v>0</v>
      </c>
      <c r="Y169" s="12">
        <f t="shared" si="35"/>
        <v>2905000</v>
      </c>
      <c r="Z169" s="106">
        <f>21%*Table5[[#This Row],[Total Selling (Clients Revenue)]]</f>
        <v>5403720</v>
      </c>
      <c r="AA169" s="142">
        <v>2050000</v>
      </c>
      <c r="AB169">
        <f>7/31*4745414</f>
        <v>1071545.0967741935</v>
      </c>
      <c r="AD169">
        <v>200000</v>
      </c>
      <c r="AE169">
        <f t="shared" si="28"/>
        <v>8725265.0967741944</v>
      </c>
      <c r="AF169" s="12">
        <f t="shared" si="29"/>
        <v>-588934.90322580561</v>
      </c>
      <c r="AG16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-805480</v>
      </c>
      <c r="AH169" s="13">
        <f>IFERROR(AG169/(Z169+Table5[[#This Row],[Rider Penalty (Claim, Other Denda to Riders)]]),0)</f>
        <v>-0.14374022970455341</v>
      </c>
      <c r="AI169" s="12">
        <f t="shared" si="36"/>
        <v>216545.09677419346</v>
      </c>
      <c r="AJ169" s="92">
        <f t="shared" si="31"/>
        <v>6.9371125535867245E-2</v>
      </c>
      <c r="AV169" s="109">
        <f>Table5[[#This Row],[Total Selling Comission/Sales (Weekly)]]/Table5[[#This Row],[Total Revenue Sharing % (Weekly)]]*100%</f>
        <v>0.41808235807924909</v>
      </c>
      <c r="AW169" s="109">
        <f>Table5[[#This Row],[Total Daily Incentive (Weekly)]]/Table5[[#This Row],[Total Revenue Sharing % (Weekly)]]*100%</f>
        <v>0.76798945911335159</v>
      </c>
      <c r="AX169" s="109">
        <f>(N169+O169)/Z169*100%</f>
        <v>1.1860718171926006</v>
      </c>
    </row>
    <row r="170" spans="1:50" hidden="1">
      <c r="A170" s="41">
        <v>2025</v>
      </c>
      <c r="B170" s="41" t="s">
        <v>170</v>
      </c>
      <c r="C170" s="41" t="s">
        <v>170</v>
      </c>
      <c r="D170" s="41" t="s">
        <v>169</v>
      </c>
      <c r="E170" s="41" t="s">
        <v>24</v>
      </c>
      <c r="F170" s="41" t="s">
        <v>24</v>
      </c>
      <c r="G170" s="41">
        <v>12</v>
      </c>
      <c r="H170" s="41" t="s">
        <v>159</v>
      </c>
      <c r="I170" s="41" t="s">
        <v>279</v>
      </c>
      <c r="J170" s="47" t="s">
        <v>344</v>
      </c>
      <c r="K170" s="41">
        <v>6</v>
      </c>
      <c r="L170" s="41">
        <v>362</v>
      </c>
      <c r="M170" s="41">
        <v>3555500</v>
      </c>
      <c r="N170" s="41">
        <v>289600</v>
      </c>
      <c r="O170" s="41">
        <v>2050000</v>
      </c>
      <c r="P170" s="41">
        <v>0</v>
      </c>
      <c r="Q170" s="41"/>
      <c r="R170" s="41">
        <v>0</v>
      </c>
      <c r="S170" s="41"/>
      <c r="T170" s="57">
        <f t="shared" si="34"/>
        <v>2339600</v>
      </c>
      <c r="U170" s="41">
        <v>0</v>
      </c>
      <c r="V170" s="55">
        <v>1435000</v>
      </c>
      <c r="W170" s="86">
        <v>0</v>
      </c>
      <c r="X170" s="41">
        <v>0</v>
      </c>
      <c r="Y170" s="57">
        <f t="shared" si="35"/>
        <v>1435000</v>
      </c>
      <c r="Z170" s="57">
        <f>30%*M170</f>
        <v>1066650</v>
      </c>
      <c r="AA170" s="41">
        <v>1025000</v>
      </c>
      <c r="AB170" s="41">
        <v>0</v>
      </c>
      <c r="AC170" s="41"/>
      <c r="AD170" s="41">
        <v>100000</v>
      </c>
      <c r="AE170" s="41">
        <f t="shared" si="28"/>
        <v>2191650</v>
      </c>
      <c r="AF170" s="57">
        <f t="shared" si="29"/>
        <v>-1582950</v>
      </c>
      <c r="AG17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-1172950</v>
      </c>
      <c r="AH170" s="59">
        <f>IFERROR(AG170/(Z170+Table5[[#This Row],[Rider Penalty (Claim, Other Denda to Riders)]]),0)</f>
        <v>-1.0054000771439593</v>
      </c>
      <c r="AI170" s="57">
        <f t="shared" si="36"/>
        <v>-410000</v>
      </c>
      <c r="AJ170" s="41">
        <f t="shared" si="31"/>
        <v>-0.4</v>
      </c>
      <c r="AV170" s="109"/>
      <c r="AW170" s="109"/>
      <c r="AX170" s="109"/>
    </row>
    <row r="171" spans="1:50" hidden="1">
      <c r="A171">
        <v>2025</v>
      </c>
      <c r="B171" t="s">
        <v>23</v>
      </c>
      <c r="C171" t="s">
        <v>172</v>
      </c>
      <c r="D171" t="s">
        <v>168</v>
      </c>
      <c r="E171" s="41" t="s">
        <v>28</v>
      </c>
      <c r="F171" s="41" t="s">
        <v>31</v>
      </c>
      <c r="G171" s="41">
        <v>12</v>
      </c>
      <c r="H171" s="41" t="s">
        <v>159</v>
      </c>
      <c r="I171" s="41" t="s">
        <v>279</v>
      </c>
      <c r="J171" s="47" t="s">
        <v>344</v>
      </c>
      <c r="K171" s="41">
        <v>20</v>
      </c>
      <c r="L171" s="41">
        <v>5156</v>
      </c>
      <c r="M171" s="54">
        <v>46314000</v>
      </c>
      <c r="N171" s="54">
        <v>5156000</v>
      </c>
      <c r="O171" s="54">
        <v>4150000</v>
      </c>
      <c r="P171" s="54">
        <v>0</v>
      </c>
      <c r="Q171" s="54"/>
      <c r="R171" s="54">
        <v>0</v>
      </c>
      <c r="S171" s="54"/>
      <c r="T171" s="54">
        <f t="shared" si="34"/>
        <v>9306000</v>
      </c>
      <c r="U171" s="54">
        <v>0</v>
      </c>
      <c r="V171" s="110">
        <v>4620000</v>
      </c>
      <c r="W171" s="111">
        <v>0</v>
      </c>
      <c r="X171" s="54">
        <v>411871</v>
      </c>
      <c r="Y171" s="54">
        <f t="shared" si="35"/>
        <v>5031871</v>
      </c>
      <c r="Z171" s="54">
        <f>23%*M171</f>
        <v>10652220</v>
      </c>
      <c r="AA171" s="138">
        <v>2376000</v>
      </c>
      <c r="AB171" s="48">
        <f>7/31*12978581</f>
        <v>2930647.3225806449</v>
      </c>
      <c r="AC171" s="48"/>
      <c r="AD171" s="41"/>
      <c r="AE171" s="41">
        <f t="shared" si="28"/>
        <v>15958867.322580645</v>
      </c>
      <c r="AF171" s="57">
        <f t="shared" si="29"/>
        <v>1620996.3225806449</v>
      </c>
      <c r="AG17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934349</v>
      </c>
      <c r="AH171" s="59">
        <f>IFERROR(AG171/(Z171+Table5[[#This Row],[Rider Penalty (Claim, Other Denda to Riders)]]),0)</f>
        <v>8.7714016420990179E-2</v>
      </c>
      <c r="AI171" s="57">
        <f t="shared" si="36"/>
        <v>686647.32258064486</v>
      </c>
      <c r="AJ171" s="41">
        <f t="shared" si="31"/>
        <v>0.12939381135408209</v>
      </c>
      <c r="AV171" s="109">
        <f>Table5[[#This Row],[Total Selling Comission/Sales (Weekly)]]/Table5[[#This Row],[Total Revenue Sharing % (Weekly)]]*100%</f>
        <v>0.48403055888819418</v>
      </c>
      <c r="AW171" s="109">
        <f>Table5[[#This Row],[Total Daily Incentive (Weekly)]]/Table5[[#This Row],[Total Revenue Sharing % (Weekly)]]*100%</f>
        <v>0.38959015116097867</v>
      </c>
      <c r="AX171" s="109">
        <f>(N171+O171)/Z171*100%</f>
        <v>0.87362071004917285</v>
      </c>
    </row>
    <row r="172" spans="1:50" hidden="1">
      <c r="A172">
        <v>2025</v>
      </c>
      <c r="B172" t="s">
        <v>23</v>
      </c>
      <c r="C172" t="s">
        <v>23</v>
      </c>
      <c r="D172" t="s">
        <v>168</v>
      </c>
      <c r="E172" s="41" t="s">
        <v>28</v>
      </c>
      <c r="F172" t="s">
        <v>25</v>
      </c>
      <c r="G172" s="41">
        <v>12</v>
      </c>
      <c r="H172" s="41" t="s">
        <v>159</v>
      </c>
      <c r="I172" s="41" t="s">
        <v>279</v>
      </c>
      <c r="J172" s="47" t="s">
        <v>344</v>
      </c>
      <c r="K172">
        <v>278</v>
      </c>
      <c r="L172">
        <v>56718</v>
      </c>
      <c r="M172" s="16">
        <v>501525000</v>
      </c>
      <c r="N172" s="16">
        <v>56699500</v>
      </c>
      <c r="O172" s="16">
        <v>51300000</v>
      </c>
      <c r="P172" s="16">
        <v>0</v>
      </c>
      <c r="Q172" s="16"/>
      <c r="R172" s="16">
        <v>0</v>
      </c>
      <c r="S172" s="16"/>
      <c r="T172" s="54">
        <f t="shared" ref="T172:T203" si="37">SUM(N172:R172)</f>
        <v>107999500</v>
      </c>
      <c r="U172" s="16">
        <v>700000</v>
      </c>
      <c r="V172" s="112">
        <v>64750000</v>
      </c>
      <c r="W172" s="111">
        <v>0</v>
      </c>
      <c r="X172" s="16">
        <v>294903</v>
      </c>
      <c r="Y172" s="16">
        <f t="shared" ref="Y172:Y203" si="38">SUM(U172:X172)</f>
        <v>65744903</v>
      </c>
      <c r="Z172" s="16">
        <f>23%*M172</f>
        <v>115350750</v>
      </c>
      <c r="AA172" s="123">
        <v>33300000</v>
      </c>
      <c r="AB172" s="61">
        <f>7/31*156456415</f>
        <v>35328867.903225802</v>
      </c>
      <c r="AC172" s="61"/>
      <c r="AE172">
        <f t="shared" ref="AE172:AE235" si="39">SUM(Z172:AD172)</f>
        <v>183979617.90322581</v>
      </c>
      <c r="AF172" s="12">
        <f t="shared" ref="AF172:AF235" si="40">AE172-(T172+Y172)</f>
        <v>10235214.903225809</v>
      </c>
      <c r="AG17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6356347</v>
      </c>
      <c r="AH172" s="13">
        <f>IFERROR(AG172/(Z172+Table5[[#This Row],[Rider Penalty (Claim, Other Denda to Riders)]]),0)</f>
        <v>5.5104513841479144E-2</v>
      </c>
      <c r="AI172" s="12">
        <f t="shared" si="36"/>
        <v>3878867.9032258093</v>
      </c>
      <c r="AJ172">
        <f t="shared" ref="AJ172:AJ235" si="41">IFERROR(AI172/(AA172+AB172),0)</f>
        <v>5.651947965534615E-2</v>
      </c>
      <c r="AK172" s="88" t="s">
        <v>345</v>
      </c>
      <c r="AV172" s="109">
        <f>Table5[[#This Row],[Total Selling Comission/Sales (Weekly)]]/Table5[[#This Row],[Total Revenue Sharing % (Weekly)]]*100%</f>
        <v>0.49153993363718917</v>
      </c>
      <c r="AW172" s="109">
        <f>Table5[[#This Row],[Total Daily Incentive (Weekly)]]/Table5[[#This Row],[Total Revenue Sharing % (Weekly)]]*100%</f>
        <v>0.44473052841008837</v>
      </c>
      <c r="AX172" s="109">
        <f>(N172+O172)/Z172*100%</f>
        <v>0.9362704620472776</v>
      </c>
    </row>
    <row r="173" spans="1:50" hidden="1">
      <c r="A173" s="23">
        <v>2025</v>
      </c>
      <c r="B173" s="41" t="s">
        <v>27</v>
      </c>
      <c r="C173" s="41" t="s">
        <v>27</v>
      </c>
      <c r="D173" s="41" t="s">
        <v>169</v>
      </c>
      <c r="E173" s="41" t="s">
        <v>28</v>
      </c>
      <c r="F173" s="48" t="s">
        <v>28</v>
      </c>
      <c r="G173" s="41">
        <v>12</v>
      </c>
      <c r="H173" s="41" t="s">
        <v>159</v>
      </c>
      <c r="I173" s="41" t="s">
        <v>279</v>
      </c>
      <c r="J173" s="47" t="s">
        <v>344</v>
      </c>
      <c r="K173" s="41">
        <v>6</v>
      </c>
      <c r="L173" s="41">
        <v>259</v>
      </c>
      <c r="M173" s="41">
        <v>3010000</v>
      </c>
      <c r="N173" s="41">
        <v>259000</v>
      </c>
      <c r="O173" s="41">
        <v>800000</v>
      </c>
      <c r="P173" s="41">
        <v>0</v>
      </c>
      <c r="Q173" s="41"/>
      <c r="R173" s="41">
        <v>0</v>
      </c>
      <c r="S173" s="41"/>
      <c r="T173" s="57">
        <f t="shared" si="37"/>
        <v>1059000</v>
      </c>
      <c r="U173" s="41">
        <v>0</v>
      </c>
      <c r="V173" s="55">
        <v>1260000</v>
      </c>
      <c r="W173" s="86">
        <v>0</v>
      </c>
      <c r="X173" s="41">
        <v>0</v>
      </c>
      <c r="Y173" s="57">
        <f t="shared" si="38"/>
        <v>1260000</v>
      </c>
      <c r="Z173" s="16">
        <f>30%*M173</f>
        <v>903000</v>
      </c>
      <c r="AA173" s="41">
        <v>360000</v>
      </c>
      <c r="AB173" s="41">
        <v>0</v>
      </c>
      <c r="AC173" s="41"/>
      <c r="AD173" s="41"/>
      <c r="AE173" s="41">
        <f t="shared" si="39"/>
        <v>1263000</v>
      </c>
      <c r="AF173" s="57">
        <f t="shared" si="40"/>
        <v>-1056000</v>
      </c>
      <c r="AG17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-156000</v>
      </c>
      <c r="AH173" s="59">
        <f>IFERROR(AG173/(Z173+Table5[[#This Row],[Rider Penalty (Claim, Other Denda to Riders)]]),0)</f>
        <v>-0.17275747508305647</v>
      </c>
      <c r="AI173" s="57">
        <f>AA173+AB173-V174</f>
        <v>115000</v>
      </c>
      <c r="AJ173" s="41">
        <f t="shared" si="41"/>
        <v>0.31944444444444442</v>
      </c>
      <c r="AK173" s="88" t="s">
        <v>345</v>
      </c>
      <c r="AV173" s="109"/>
      <c r="AW173" s="109"/>
      <c r="AX173" s="109"/>
    </row>
    <row r="174" spans="1:50" hidden="1">
      <c r="A174" s="23">
        <v>2025</v>
      </c>
      <c r="B174" s="41" t="s">
        <v>29</v>
      </c>
      <c r="C174" s="41" t="s">
        <v>29</v>
      </c>
      <c r="D174" s="41" t="s">
        <v>169</v>
      </c>
      <c r="E174" s="41" t="s">
        <v>28</v>
      </c>
      <c r="F174" s="41" t="s">
        <v>28</v>
      </c>
      <c r="G174" s="41">
        <v>12</v>
      </c>
      <c r="H174" s="41" t="s">
        <v>159</v>
      </c>
      <c r="I174" s="41" t="s">
        <v>279</v>
      </c>
      <c r="J174" s="47" t="s">
        <v>344</v>
      </c>
      <c r="K174" s="41">
        <v>1</v>
      </c>
      <c r="L174" s="41">
        <v>38</v>
      </c>
      <c r="M174" s="41">
        <v>612000</v>
      </c>
      <c r="N174" s="41">
        <v>38000</v>
      </c>
      <c r="O174" s="41">
        <v>100000</v>
      </c>
      <c r="P174" s="41">
        <v>0</v>
      </c>
      <c r="Q174" s="41"/>
      <c r="R174" s="41">
        <v>0</v>
      </c>
      <c r="S174" s="41"/>
      <c r="T174" s="57">
        <f t="shared" si="37"/>
        <v>138000</v>
      </c>
      <c r="U174" s="41">
        <v>0</v>
      </c>
      <c r="V174" s="55">
        <f>7*35000</f>
        <v>245000</v>
      </c>
      <c r="W174" s="86"/>
      <c r="X174" s="41"/>
      <c r="Y174" s="57">
        <f t="shared" si="38"/>
        <v>245000</v>
      </c>
      <c r="Z174" s="57">
        <f>30%*M174</f>
        <v>183600</v>
      </c>
      <c r="AA174" s="41">
        <v>70000</v>
      </c>
      <c r="AB174" s="41">
        <v>0</v>
      </c>
      <c r="AC174" s="41"/>
      <c r="AD174" s="41"/>
      <c r="AE174" s="41">
        <f t="shared" si="39"/>
        <v>253600</v>
      </c>
      <c r="AF174" s="57">
        <f t="shared" si="40"/>
        <v>-129400</v>
      </c>
      <c r="AG17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45600</v>
      </c>
      <c r="AH174" s="59">
        <f>IFERROR(AG174/(Z174+Table5[[#This Row],[Rider Penalty (Claim, Other Denda to Riders)]]),0)</f>
        <v>0.24836601307189543</v>
      </c>
      <c r="AI174" s="57">
        <f t="shared" ref="AI174:AI205" si="42">AA174+AB174-V174</f>
        <v>-175000</v>
      </c>
      <c r="AJ174" s="41">
        <f t="shared" si="41"/>
        <v>-2.5</v>
      </c>
      <c r="AK174" s="88" t="s">
        <v>345</v>
      </c>
      <c r="AV174" s="109"/>
      <c r="AW174" s="109"/>
      <c r="AX174" s="109"/>
    </row>
    <row r="175" spans="1:50" hidden="1">
      <c r="A175" s="23">
        <v>2025</v>
      </c>
      <c r="B175" s="41" t="s">
        <v>171</v>
      </c>
      <c r="C175" s="41" t="s">
        <v>171</v>
      </c>
      <c r="D175" s="41" t="s">
        <v>168</v>
      </c>
      <c r="E175" s="41" t="s">
        <v>28</v>
      </c>
      <c r="F175" s="41" t="s">
        <v>28</v>
      </c>
      <c r="G175" s="41">
        <v>12</v>
      </c>
      <c r="H175" s="41" t="s">
        <v>159</v>
      </c>
      <c r="I175" s="41" t="s">
        <v>279</v>
      </c>
      <c r="J175" s="47" t="s">
        <v>344</v>
      </c>
      <c r="K175" s="41">
        <v>3</v>
      </c>
      <c r="L175" s="41">
        <v>370</v>
      </c>
      <c r="M175" s="41">
        <v>1284000</v>
      </c>
      <c r="N175" s="41">
        <v>98300</v>
      </c>
      <c r="O175" s="41">
        <v>1050000</v>
      </c>
      <c r="P175" s="41">
        <v>0</v>
      </c>
      <c r="Q175" s="41"/>
      <c r="R175" s="41">
        <v>0</v>
      </c>
      <c r="S175" s="41"/>
      <c r="T175" s="57">
        <f t="shared" si="37"/>
        <v>1148300</v>
      </c>
      <c r="U175" s="41">
        <v>0</v>
      </c>
      <c r="V175" s="55">
        <v>1715000</v>
      </c>
      <c r="W175" s="86">
        <v>0</v>
      </c>
      <c r="X175" s="41">
        <v>0</v>
      </c>
      <c r="Y175" s="57">
        <f t="shared" si="38"/>
        <v>1715000</v>
      </c>
      <c r="Z175" s="57">
        <f>30%*M175</f>
        <v>385200</v>
      </c>
      <c r="AA175" s="41">
        <v>490000</v>
      </c>
      <c r="AB175" s="41">
        <v>0</v>
      </c>
      <c r="AC175" s="41"/>
      <c r="AD175" s="41"/>
      <c r="AE175" s="41">
        <f t="shared" si="39"/>
        <v>875200</v>
      </c>
      <c r="AF175" s="57">
        <f t="shared" si="40"/>
        <v>-1988100</v>
      </c>
      <c r="AG17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-763100</v>
      </c>
      <c r="AH175" s="59">
        <f>IFERROR(AG175/(Z175+Table5[[#This Row],[Rider Penalty (Claim, Other Denda to Riders)]]),0)</f>
        <v>-1.981048805815161</v>
      </c>
      <c r="AI175" s="57">
        <f t="shared" si="42"/>
        <v>-1225000</v>
      </c>
      <c r="AJ175" s="41">
        <f t="shared" si="41"/>
        <v>-2.5</v>
      </c>
      <c r="AK175" s="88" t="s">
        <v>345</v>
      </c>
      <c r="AV175" s="109"/>
      <c r="AW175" s="109"/>
      <c r="AX175" s="109"/>
    </row>
    <row r="176" spans="1:50" hidden="1">
      <c r="A176" s="41">
        <v>2025</v>
      </c>
      <c r="B176" s="41" t="s">
        <v>200</v>
      </c>
      <c r="C176" s="41" t="s">
        <v>200</v>
      </c>
      <c r="D176" s="41" t="s">
        <v>169</v>
      </c>
      <c r="E176" s="41" t="s">
        <v>28</v>
      </c>
      <c r="F176" s="41" t="s">
        <v>28</v>
      </c>
      <c r="G176" s="41">
        <v>12</v>
      </c>
      <c r="H176" s="41" t="s">
        <v>159</v>
      </c>
      <c r="I176" s="41" t="s">
        <v>279</v>
      </c>
      <c r="J176" s="47" t="s">
        <v>344</v>
      </c>
      <c r="K176" s="41">
        <v>2</v>
      </c>
      <c r="L176" s="41">
        <v>19</v>
      </c>
      <c r="M176" s="41">
        <v>190000</v>
      </c>
      <c r="N176" s="41">
        <v>19000</v>
      </c>
      <c r="O176" s="41">
        <v>175000</v>
      </c>
      <c r="P176" s="41">
        <v>0</v>
      </c>
      <c r="Q176" s="41"/>
      <c r="R176" s="41">
        <v>0</v>
      </c>
      <c r="S176" s="41"/>
      <c r="T176" s="57">
        <f t="shared" si="37"/>
        <v>194000</v>
      </c>
      <c r="U176" s="41">
        <v>0</v>
      </c>
      <c r="V176" s="55">
        <v>490000</v>
      </c>
      <c r="W176" s="86">
        <v>0</v>
      </c>
      <c r="X176" s="41">
        <v>0</v>
      </c>
      <c r="Y176" s="57">
        <f t="shared" si="38"/>
        <v>490000</v>
      </c>
      <c r="Z176" s="57">
        <f>35%*M176</f>
        <v>66500</v>
      </c>
      <c r="AA176" s="41">
        <v>140000</v>
      </c>
      <c r="AB176" s="41">
        <v>0</v>
      </c>
      <c r="AC176" s="41"/>
      <c r="AD176" s="41"/>
      <c r="AE176" s="41">
        <f t="shared" si="39"/>
        <v>206500</v>
      </c>
      <c r="AF176" s="57">
        <f t="shared" si="40"/>
        <v>-477500</v>
      </c>
      <c r="AG17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-127500</v>
      </c>
      <c r="AH176" s="59">
        <f>IFERROR(AG176/(Z176+Table5[[#This Row],[Rider Penalty (Claim, Other Denda to Riders)]]),0)</f>
        <v>-1.9172932330827068</v>
      </c>
      <c r="AI176" s="57">
        <f t="shared" si="42"/>
        <v>-350000</v>
      </c>
      <c r="AJ176" s="41">
        <f t="shared" si="41"/>
        <v>-2.5</v>
      </c>
      <c r="AK176" s="88" t="s">
        <v>345</v>
      </c>
      <c r="AV176" s="109"/>
      <c r="AW176" s="109"/>
      <c r="AX176" s="109"/>
    </row>
    <row r="177" spans="1:50" hidden="1">
      <c r="A177" s="23">
        <v>2025</v>
      </c>
      <c r="B177" s="41" t="s">
        <v>201</v>
      </c>
      <c r="C177" s="41" t="s">
        <v>201</v>
      </c>
      <c r="D177" s="41" t="s">
        <v>169</v>
      </c>
      <c r="E177" s="41" t="s">
        <v>28</v>
      </c>
      <c r="F177" s="41" t="s">
        <v>28</v>
      </c>
      <c r="G177" s="41">
        <v>12</v>
      </c>
      <c r="H177" s="41" t="s">
        <v>159</v>
      </c>
      <c r="I177" s="41" t="s">
        <v>279</v>
      </c>
      <c r="J177" s="47" t="s">
        <v>344</v>
      </c>
      <c r="K177" s="41">
        <v>1</v>
      </c>
      <c r="L177" s="41">
        <v>29</v>
      </c>
      <c r="M177" s="41">
        <v>348000</v>
      </c>
      <c r="N177" s="41">
        <v>29000</v>
      </c>
      <c r="O177" s="41">
        <v>75000</v>
      </c>
      <c r="P177" s="41">
        <v>0</v>
      </c>
      <c r="Q177" s="41"/>
      <c r="R177" s="41">
        <v>0</v>
      </c>
      <c r="S177" s="41"/>
      <c r="T177" s="57">
        <f t="shared" si="37"/>
        <v>104000</v>
      </c>
      <c r="U177" s="41">
        <v>0</v>
      </c>
      <c r="V177" s="55">
        <f>35000*7</f>
        <v>245000</v>
      </c>
      <c r="W177" s="86">
        <v>0</v>
      </c>
      <c r="X177" s="41">
        <v>0</v>
      </c>
      <c r="Y177" s="57">
        <f t="shared" si="38"/>
        <v>245000</v>
      </c>
      <c r="Z177" s="57">
        <f>30%*M177</f>
        <v>104400</v>
      </c>
      <c r="AA177" s="41">
        <v>70000</v>
      </c>
      <c r="AB177" s="41">
        <v>0</v>
      </c>
      <c r="AC177" s="41"/>
      <c r="AD177" s="41"/>
      <c r="AE177" s="41">
        <f t="shared" si="39"/>
        <v>174400</v>
      </c>
      <c r="AF177" s="57">
        <f t="shared" si="40"/>
        <v>-174600</v>
      </c>
      <c r="AG17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400</v>
      </c>
      <c r="AH177" s="59">
        <f>IFERROR(AG177/(Z177+Table5[[#This Row],[Rider Penalty (Claim, Other Denda to Riders)]]),0)</f>
        <v>3.8314176245210726E-3</v>
      </c>
      <c r="AI177" s="57">
        <f t="shared" si="42"/>
        <v>-175000</v>
      </c>
      <c r="AJ177" s="41">
        <f t="shared" si="41"/>
        <v>-2.5</v>
      </c>
      <c r="AK177" s="88" t="s">
        <v>345</v>
      </c>
      <c r="AV177" s="109"/>
      <c r="AW177" s="109"/>
      <c r="AX177" s="109"/>
    </row>
    <row r="178" spans="1:50" hidden="1">
      <c r="A178" s="23">
        <v>2025</v>
      </c>
      <c r="B178" s="41" t="s">
        <v>175</v>
      </c>
      <c r="C178" s="41" t="s">
        <v>175</v>
      </c>
      <c r="D178" s="41" t="s">
        <v>169</v>
      </c>
      <c r="E178" s="41" t="s">
        <v>28</v>
      </c>
      <c r="F178" s="41" t="s">
        <v>28</v>
      </c>
      <c r="G178" s="41">
        <v>12</v>
      </c>
      <c r="H178" s="41" t="s">
        <v>159</v>
      </c>
      <c r="I178" s="41" t="s">
        <v>279</v>
      </c>
      <c r="J178" s="47" t="s">
        <v>344</v>
      </c>
      <c r="K178">
        <v>3</v>
      </c>
      <c r="L178">
        <v>101</v>
      </c>
      <c r="M178">
        <v>1128000</v>
      </c>
      <c r="N178">
        <v>101000</v>
      </c>
      <c r="O178">
        <v>150000</v>
      </c>
      <c r="P178">
        <v>0</v>
      </c>
      <c r="R178">
        <v>0</v>
      </c>
      <c r="T178" s="12">
        <f t="shared" si="37"/>
        <v>251000</v>
      </c>
      <c r="U178">
        <v>0</v>
      </c>
      <c r="V178" s="61">
        <v>210000</v>
      </c>
      <c r="W178" s="86">
        <v>0</v>
      </c>
      <c r="X178">
        <v>0</v>
      </c>
      <c r="Y178" s="12">
        <f t="shared" si="38"/>
        <v>210000</v>
      </c>
      <c r="Z178" s="57">
        <f>29%*M178</f>
        <v>327120</v>
      </c>
      <c r="AA178">
        <v>60000</v>
      </c>
      <c r="AB178">
        <v>0</v>
      </c>
      <c r="AE178">
        <f t="shared" si="39"/>
        <v>387120</v>
      </c>
      <c r="AF178" s="12">
        <f t="shared" si="40"/>
        <v>-73880</v>
      </c>
      <c r="AG17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76120</v>
      </c>
      <c r="AH178" s="13">
        <f>IFERROR(AG178/(Z178+Table5[[#This Row],[Rider Penalty (Claim, Other Denda to Riders)]]),0)</f>
        <v>0.23269748104671067</v>
      </c>
      <c r="AI178" s="12">
        <f t="shared" si="42"/>
        <v>-150000</v>
      </c>
      <c r="AJ178">
        <f t="shared" si="41"/>
        <v>-2.5</v>
      </c>
      <c r="AK178" s="88" t="s">
        <v>345</v>
      </c>
      <c r="AV178" s="109"/>
      <c r="AW178" s="109"/>
      <c r="AX178" s="109"/>
    </row>
    <row r="179" spans="1:50" hidden="1">
      <c r="A179" s="23">
        <v>2025</v>
      </c>
      <c r="B179" s="41" t="s">
        <v>199</v>
      </c>
      <c r="C179" s="41" t="s">
        <v>199</v>
      </c>
      <c r="D179" s="41" t="s">
        <v>169</v>
      </c>
      <c r="E179" s="41" t="s">
        <v>28</v>
      </c>
      <c r="F179" s="41" t="s">
        <v>28</v>
      </c>
      <c r="G179" s="41">
        <v>12</v>
      </c>
      <c r="H179" s="41" t="s">
        <v>159</v>
      </c>
      <c r="I179" s="41" t="s">
        <v>279</v>
      </c>
      <c r="J179" s="47" t="s">
        <v>344</v>
      </c>
      <c r="K179" s="41">
        <v>1</v>
      </c>
      <c r="L179" s="41">
        <v>33</v>
      </c>
      <c r="M179" s="41">
        <v>389000</v>
      </c>
      <c r="N179" s="41">
        <v>33000</v>
      </c>
      <c r="O179" s="41">
        <v>100000</v>
      </c>
      <c r="P179" s="41">
        <v>0</v>
      </c>
      <c r="Q179" s="41"/>
      <c r="R179" s="41">
        <v>0</v>
      </c>
      <c r="S179" s="41"/>
      <c r="T179" s="57">
        <f t="shared" si="37"/>
        <v>133000</v>
      </c>
      <c r="U179" s="41">
        <v>0</v>
      </c>
      <c r="V179" s="55">
        <v>245000</v>
      </c>
      <c r="W179" s="86">
        <v>0</v>
      </c>
      <c r="X179" s="41"/>
      <c r="Y179" s="57">
        <f t="shared" si="38"/>
        <v>245000</v>
      </c>
      <c r="Z179" s="57">
        <f>30%*M179</f>
        <v>116700</v>
      </c>
      <c r="AA179" s="41">
        <v>70000</v>
      </c>
      <c r="AB179" s="41">
        <v>0</v>
      </c>
      <c r="AC179" s="41"/>
      <c r="AD179" s="41"/>
      <c r="AE179" s="41">
        <f t="shared" si="39"/>
        <v>186700</v>
      </c>
      <c r="AF179" s="57">
        <f t="shared" si="40"/>
        <v>-191300</v>
      </c>
      <c r="AG17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-16300</v>
      </c>
      <c r="AH179" s="59">
        <f>IFERROR(AG179/(Z179+Table5[[#This Row],[Rider Penalty (Claim, Other Denda to Riders)]]),0)</f>
        <v>-0.13967437874892888</v>
      </c>
      <c r="AI179" s="57">
        <f t="shared" si="42"/>
        <v>-175000</v>
      </c>
      <c r="AJ179" s="41">
        <f t="shared" si="41"/>
        <v>-2.5</v>
      </c>
      <c r="AK179" s="88" t="s">
        <v>345</v>
      </c>
      <c r="AV179" s="109"/>
      <c r="AW179" s="109"/>
      <c r="AX179" s="109"/>
    </row>
    <row r="180" spans="1:50" s="16" customFormat="1" hidden="1">
      <c r="A180" s="23">
        <v>2025</v>
      </c>
      <c r="B180" s="16" t="s">
        <v>23</v>
      </c>
      <c r="C180" s="16" t="s">
        <v>23</v>
      </c>
      <c r="D180" s="16" t="s">
        <v>168</v>
      </c>
      <c r="E180" s="41" t="s">
        <v>28</v>
      </c>
      <c r="F180" t="s">
        <v>25</v>
      </c>
      <c r="G180" s="54">
        <v>13</v>
      </c>
      <c r="H180" s="54" t="s">
        <v>159</v>
      </c>
      <c r="I180" s="54" t="s">
        <v>280</v>
      </c>
      <c r="J180" s="54" t="s">
        <v>346</v>
      </c>
      <c r="K180" s="54">
        <v>262</v>
      </c>
      <c r="L180" s="54">
        <v>25930</v>
      </c>
      <c r="M180" s="54">
        <v>229587000</v>
      </c>
      <c r="N180" s="54">
        <v>25915500</v>
      </c>
      <c r="O180" s="54">
        <v>21650000</v>
      </c>
      <c r="P180" s="54">
        <v>24375000</v>
      </c>
      <c r="Q180" s="54"/>
      <c r="R180" s="54">
        <v>200000</v>
      </c>
      <c r="S180" s="54"/>
      <c r="T180" s="54">
        <f t="shared" si="37"/>
        <v>72140500</v>
      </c>
      <c r="U180" s="54">
        <f>3/7*700000</f>
        <v>300000</v>
      </c>
      <c r="V180" s="110">
        <v>27510000</v>
      </c>
      <c r="W180" s="111">
        <v>0</v>
      </c>
      <c r="X180" s="54">
        <f>3/7*295806</f>
        <v>126774</v>
      </c>
      <c r="Y180" s="54">
        <f t="shared" si="38"/>
        <v>27936774</v>
      </c>
      <c r="Z180" s="54">
        <f>23%*M180</f>
        <v>52805010</v>
      </c>
      <c r="AA180" s="138">
        <v>14112000</v>
      </c>
      <c r="AB180" s="61">
        <f>3/31*156456415</f>
        <v>15140943.387096774</v>
      </c>
      <c r="AC180" s="61"/>
      <c r="AD180" s="54"/>
      <c r="AE180" s="54">
        <f t="shared" si="39"/>
        <v>82057953.387096778</v>
      </c>
      <c r="AF180" s="54">
        <f t="shared" si="40"/>
        <v>-18019320.612903222</v>
      </c>
      <c r="AG180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-19762264</v>
      </c>
      <c r="AH180" s="54">
        <f>IFERROR(AG180/(Z180+Table5[[#This Row],[Rider Penalty (Claim, Other Denda to Riders)]]),0)</f>
        <v>-0.37424979182846474</v>
      </c>
      <c r="AI180" s="54">
        <f t="shared" si="42"/>
        <v>1742943.3870967738</v>
      </c>
      <c r="AJ180" s="54">
        <f t="shared" si="41"/>
        <v>5.9581812470384479E-2</v>
      </c>
      <c r="AK180" s="105" t="s">
        <v>347</v>
      </c>
      <c r="AV180" s="109">
        <f>Table5[[#This Row],[Total Selling Comission/Sales (Weekly)]]/Table5[[#This Row],[Total Revenue Sharing % (Weekly)]]*100%</f>
        <v>0.49077729556343236</v>
      </c>
      <c r="AW180" s="109">
        <f>Table5[[#This Row],[Total Daily Incentive (Weekly)]]/Table5[[#This Row],[Total Revenue Sharing % (Weekly)]]*100%</f>
        <v>0.40999897547600123</v>
      </c>
      <c r="AX180" s="109">
        <f>(N180+O180)/Z180*100%</f>
        <v>0.90077627103943358</v>
      </c>
    </row>
    <row r="181" spans="1:50" s="16" customFormat="1" hidden="1">
      <c r="A181">
        <v>2025</v>
      </c>
      <c r="B181" t="s">
        <v>23</v>
      </c>
      <c r="C181" t="s">
        <v>172</v>
      </c>
      <c r="D181" t="s">
        <v>168</v>
      </c>
      <c r="E181" s="41" t="s">
        <v>28</v>
      </c>
      <c r="F181" s="41" t="s">
        <v>31</v>
      </c>
      <c r="G181" s="54">
        <v>13</v>
      </c>
      <c r="H181" s="54" t="s">
        <v>159</v>
      </c>
      <c r="I181" s="54" t="s">
        <v>280</v>
      </c>
      <c r="J181" s="54" t="s">
        <v>346</v>
      </c>
      <c r="K181" s="54">
        <v>20</v>
      </c>
      <c r="L181" s="54">
        <v>2303</v>
      </c>
      <c r="M181" s="54">
        <v>20926000</v>
      </c>
      <c r="N181" s="54">
        <v>2303000</v>
      </c>
      <c r="O181" s="54">
        <v>1675000</v>
      </c>
      <c r="P181" s="54">
        <v>3000000</v>
      </c>
      <c r="Q181" s="54"/>
      <c r="R181" s="54">
        <v>0</v>
      </c>
      <c r="S181" s="54"/>
      <c r="T181" s="57">
        <f t="shared" si="37"/>
        <v>6978000</v>
      </c>
      <c r="U181" s="54">
        <v>0</v>
      </c>
      <c r="V181" s="110">
        <v>2100000</v>
      </c>
      <c r="W181" s="111">
        <v>0</v>
      </c>
      <c r="X181" s="54">
        <f>3/7*411871</f>
        <v>176516.14285714284</v>
      </c>
      <c r="Y181" s="57">
        <f t="shared" si="38"/>
        <v>2276516.1428571427</v>
      </c>
      <c r="Z181" s="54">
        <f>23%*M181</f>
        <v>4812980</v>
      </c>
      <c r="AA181" s="138">
        <v>1080000</v>
      </c>
      <c r="AB181" s="48">
        <f>3/31*12978581</f>
        <v>1255991.7096774194</v>
      </c>
      <c r="AC181" s="48"/>
      <c r="AD181" s="54"/>
      <c r="AE181" s="54">
        <f t="shared" si="39"/>
        <v>7148971.7096774196</v>
      </c>
      <c r="AF181" s="54">
        <f t="shared" si="40"/>
        <v>-2105544.4331797222</v>
      </c>
      <c r="AG18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-2341536.1428571427</v>
      </c>
      <c r="AH181" s="59">
        <f>IFERROR(AG181/(Z181+Table5[[#This Row],[Rider Penalty (Claim, Other Denda to Riders)]]),0)</f>
        <v>-0.48650444067025889</v>
      </c>
      <c r="AI181" s="57">
        <f t="shared" si="42"/>
        <v>235991.70967741963</v>
      </c>
      <c r="AJ181" s="54">
        <f t="shared" si="41"/>
        <v>0.10102420684960738</v>
      </c>
      <c r="AK181" s="105" t="s">
        <v>347</v>
      </c>
      <c r="AV181" s="109">
        <f>Table5[[#This Row],[Total Selling Comission/Sales (Weekly)]]/Table5[[#This Row],[Total Revenue Sharing % (Weekly)]]*100%</f>
        <v>0.47849772905767318</v>
      </c>
      <c r="AW181" s="109">
        <f>Table5[[#This Row],[Total Daily Incentive (Weekly)]]/Table5[[#This Row],[Total Revenue Sharing % (Weekly)]]*100%</f>
        <v>0.34801723672236329</v>
      </c>
      <c r="AX181" s="109">
        <f>(N181+O181)/Z181*100%</f>
        <v>0.82651496578003647</v>
      </c>
    </row>
    <row r="182" spans="1:50" hidden="1">
      <c r="A182" s="41">
        <v>2025</v>
      </c>
      <c r="B182" s="41" t="s">
        <v>23</v>
      </c>
      <c r="C182" s="41" t="s">
        <v>174</v>
      </c>
      <c r="D182" s="41" t="s">
        <v>168</v>
      </c>
      <c r="E182" s="41" t="s">
        <v>24</v>
      </c>
      <c r="F182" s="41" t="s">
        <v>24</v>
      </c>
      <c r="G182" s="54">
        <v>13</v>
      </c>
      <c r="H182" s="54" t="s">
        <v>159</v>
      </c>
      <c r="I182" s="54" t="s">
        <v>280</v>
      </c>
      <c r="J182" s="54" t="s">
        <v>348</v>
      </c>
      <c r="K182" s="41">
        <v>61</v>
      </c>
      <c r="L182" s="41">
        <v>9066</v>
      </c>
      <c r="M182" s="41">
        <v>82840000</v>
      </c>
      <c r="N182" s="41">
        <v>7252800</v>
      </c>
      <c r="O182" s="41">
        <v>17150000</v>
      </c>
      <c r="P182" s="41">
        <v>0</v>
      </c>
      <c r="Q182" s="41"/>
      <c r="R182" s="41">
        <v>0</v>
      </c>
      <c r="S182" s="41"/>
      <c r="T182" s="57">
        <f t="shared" si="37"/>
        <v>24402800</v>
      </c>
      <c r="U182" s="41">
        <v>840000</v>
      </c>
      <c r="V182" s="55">
        <v>12005000</v>
      </c>
      <c r="W182" s="86">
        <v>0</v>
      </c>
      <c r="X182" s="54">
        <v>112903</v>
      </c>
      <c r="Y182" s="57">
        <f t="shared" si="38"/>
        <v>12957903</v>
      </c>
      <c r="Z182" s="106">
        <f>21%*Table5[[#This Row],[Total Selling (Clients Revenue)]]</f>
        <v>17396400</v>
      </c>
      <c r="AA182" s="138">
        <v>8575000</v>
      </c>
      <c r="AB182" s="138">
        <f>7/31*20882737</f>
        <v>4715456.7419354841</v>
      </c>
      <c r="AC182" s="138"/>
      <c r="AD182" s="41">
        <v>0</v>
      </c>
      <c r="AE182" s="41">
        <f t="shared" si="39"/>
        <v>30686856.741935484</v>
      </c>
      <c r="AF182" s="57">
        <f t="shared" si="40"/>
        <v>-6673846.2580645159</v>
      </c>
      <c r="AG18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-7959303</v>
      </c>
      <c r="AH182" s="59">
        <f>IFERROR(AG182/(Z182+Table5[[#This Row],[Rider Penalty (Claim, Other Denda to Riders)]]),0)</f>
        <v>-0.45752586742084567</v>
      </c>
      <c r="AI182" s="57">
        <f t="shared" si="42"/>
        <v>1285456.7419354841</v>
      </c>
      <c r="AJ182" s="41">
        <f t="shared" si="41"/>
        <v>9.6720283350343578E-2</v>
      </c>
      <c r="AV182" s="109">
        <f>Table5[[#This Row],[Total Selling Comission/Sales (Weekly)]]/Table5[[#This Row],[Total Revenue Sharing % (Weekly)]]*100%</f>
        <v>0.41691384424363659</v>
      </c>
      <c r="AW182" s="109">
        <f>Table5[[#This Row],[Total Daily Incentive (Weekly)]]/Table5[[#This Row],[Total Revenue Sharing % (Weekly)]]*100%</f>
        <v>0.9858361500080477</v>
      </c>
      <c r="AX182" s="109">
        <f>(N182+O182)/Z182*100%</f>
        <v>1.4027499942516843</v>
      </c>
    </row>
    <row r="183" spans="1:50" hidden="1">
      <c r="A183">
        <v>2025</v>
      </c>
      <c r="B183" t="s">
        <v>23</v>
      </c>
      <c r="C183" t="s">
        <v>173</v>
      </c>
      <c r="D183" t="s">
        <v>168</v>
      </c>
      <c r="E183" t="s">
        <v>24</v>
      </c>
      <c r="F183" s="76" t="s">
        <v>282</v>
      </c>
      <c r="G183" s="54">
        <v>13</v>
      </c>
      <c r="H183" s="54" t="s">
        <v>159</v>
      </c>
      <c r="I183" s="54" t="s">
        <v>280</v>
      </c>
      <c r="J183" s="54" t="s">
        <v>348</v>
      </c>
      <c r="K183">
        <v>16</v>
      </c>
      <c r="L183">
        <v>3440</v>
      </c>
      <c r="M183">
        <v>31540000</v>
      </c>
      <c r="N183">
        <v>2752000</v>
      </c>
      <c r="O183">
        <v>4200000</v>
      </c>
      <c r="P183">
        <v>250000</v>
      </c>
      <c r="R183">
        <v>0</v>
      </c>
      <c r="T183" s="12">
        <f t="shared" si="37"/>
        <v>7202000</v>
      </c>
      <c r="U183">
        <v>0</v>
      </c>
      <c r="V183" s="61">
        <v>2940000</v>
      </c>
      <c r="W183" s="86">
        <v>0</v>
      </c>
      <c r="X183">
        <v>0</v>
      </c>
      <c r="Y183" s="12">
        <f t="shared" si="38"/>
        <v>2940000</v>
      </c>
      <c r="Z183" s="106">
        <f>21%*Table5[[#This Row],[Total Selling (Clients Revenue)]]</f>
        <v>6623400</v>
      </c>
      <c r="AA183" s="123">
        <v>2100000</v>
      </c>
      <c r="AB183">
        <f>7/31*4745414</f>
        <v>1071545.0967741935</v>
      </c>
      <c r="AD183">
        <v>0</v>
      </c>
      <c r="AE183">
        <f t="shared" si="39"/>
        <v>9794945.0967741944</v>
      </c>
      <c r="AF183" s="12">
        <f t="shared" si="40"/>
        <v>-347054.90322580561</v>
      </c>
      <c r="AG18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-578600</v>
      </c>
      <c r="AH183" s="13">
        <f>IFERROR(AG183/(Z183+Table5[[#This Row],[Rider Penalty (Claim, Other Denda to Riders)]]),0)</f>
        <v>-8.7356946583325781E-2</v>
      </c>
      <c r="AI183" s="12">
        <f t="shared" si="42"/>
        <v>231545.09677419346</v>
      </c>
      <c r="AJ183">
        <f t="shared" si="41"/>
        <v>7.3007032758165738E-2</v>
      </c>
      <c r="AV183" s="109">
        <f>Table5[[#This Row],[Total Selling Comission/Sales (Weekly)]]/Table5[[#This Row],[Total Revenue Sharing % (Weekly)]]*100%</f>
        <v>0.4154965727571942</v>
      </c>
      <c r="AW183" s="109">
        <f>Table5[[#This Row],[Total Daily Incentive (Weekly)]]/Table5[[#This Row],[Total Revenue Sharing % (Weekly)]]*100%</f>
        <v>0.63411540900443886</v>
      </c>
      <c r="AX183" s="109">
        <f>(N183+O183)/Z183*100%</f>
        <v>1.049611981761633</v>
      </c>
    </row>
    <row r="184" spans="1:50" hidden="1">
      <c r="A184" s="41">
        <v>2025</v>
      </c>
      <c r="B184" s="41" t="s">
        <v>170</v>
      </c>
      <c r="C184" s="41" t="s">
        <v>170</v>
      </c>
      <c r="D184" s="41" t="s">
        <v>169</v>
      </c>
      <c r="E184" s="41" t="s">
        <v>24</v>
      </c>
      <c r="F184" s="41" t="s">
        <v>24</v>
      </c>
      <c r="G184" s="54">
        <v>13</v>
      </c>
      <c r="H184" s="54" t="s">
        <v>159</v>
      </c>
      <c r="I184" s="54" t="s">
        <v>280</v>
      </c>
      <c r="J184" s="54" t="s">
        <v>348</v>
      </c>
      <c r="K184">
        <v>7</v>
      </c>
      <c r="L184">
        <v>489</v>
      </c>
      <c r="M184">
        <v>4576000</v>
      </c>
      <c r="N184">
        <v>388800</v>
      </c>
      <c r="O184">
        <v>1950000</v>
      </c>
      <c r="P184">
        <v>0</v>
      </c>
      <c r="R184">
        <v>0</v>
      </c>
      <c r="T184" s="12">
        <f t="shared" si="37"/>
        <v>2338800</v>
      </c>
      <c r="U184">
        <v>0</v>
      </c>
      <c r="V184" s="61">
        <v>1365000</v>
      </c>
      <c r="W184" s="86">
        <v>0</v>
      </c>
      <c r="X184">
        <v>0</v>
      </c>
      <c r="Y184" s="12">
        <f t="shared" si="38"/>
        <v>1365000</v>
      </c>
      <c r="Z184" s="57">
        <f>30%*M184</f>
        <v>1372800</v>
      </c>
      <c r="AA184">
        <v>975000</v>
      </c>
      <c r="AB184">
        <v>0</v>
      </c>
      <c r="AD184">
        <v>0</v>
      </c>
      <c r="AE184">
        <f t="shared" si="39"/>
        <v>2347800</v>
      </c>
      <c r="AF184" s="12">
        <f t="shared" si="40"/>
        <v>-1356000</v>
      </c>
      <c r="AG18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-966000</v>
      </c>
      <c r="AH184" s="13">
        <f>IFERROR(AG184/(Z184+Table5[[#This Row],[Rider Penalty (Claim, Other Denda to Riders)]]),0)</f>
        <v>-0.70367132867132864</v>
      </c>
      <c r="AI184" s="12">
        <f t="shared" si="42"/>
        <v>-390000</v>
      </c>
      <c r="AJ184">
        <f t="shared" si="41"/>
        <v>-0.4</v>
      </c>
      <c r="AV184" s="109"/>
      <c r="AW184" s="109"/>
      <c r="AX184" s="109"/>
    </row>
    <row r="185" spans="1:50" hidden="1">
      <c r="A185" s="41">
        <v>2025</v>
      </c>
      <c r="B185" s="41" t="s">
        <v>23</v>
      </c>
      <c r="C185" s="41" t="s">
        <v>174</v>
      </c>
      <c r="D185" s="41" t="s">
        <v>168</v>
      </c>
      <c r="E185" s="41" t="s">
        <v>24</v>
      </c>
      <c r="F185" s="41" t="s">
        <v>24</v>
      </c>
      <c r="G185" s="54">
        <v>14</v>
      </c>
      <c r="H185" s="54" t="s">
        <v>159</v>
      </c>
      <c r="I185" s="54" t="s">
        <v>275</v>
      </c>
      <c r="J185" s="54" t="s">
        <v>349</v>
      </c>
      <c r="K185" s="41">
        <v>33</v>
      </c>
      <c r="L185" s="41">
        <v>1805</v>
      </c>
      <c r="M185" s="41">
        <v>16636000</v>
      </c>
      <c r="N185" s="41">
        <v>1444000</v>
      </c>
      <c r="O185" s="41">
        <v>2850000</v>
      </c>
      <c r="P185" s="41">
        <v>0</v>
      </c>
      <c r="Q185" s="41"/>
      <c r="R185" s="41">
        <v>0</v>
      </c>
      <c r="S185" s="41"/>
      <c r="T185" s="57">
        <f t="shared" si="37"/>
        <v>4294000</v>
      </c>
      <c r="U185" s="41">
        <v>240000</v>
      </c>
      <c r="V185" s="55">
        <v>1995000</v>
      </c>
      <c r="W185" s="86">
        <v>0</v>
      </c>
      <c r="X185" s="41">
        <f>2/7*112903</f>
        <v>32258</v>
      </c>
      <c r="Y185" s="57">
        <f t="shared" si="38"/>
        <v>2267258</v>
      </c>
      <c r="Z185" s="106">
        <f>21%*Table5[[#This Row],[Total Selling (Clients Revenue)]]</f>
        <v>3493560</v>
      </c>
      <c r="AA185" s="138">
        <v>0</v>
      </c>
      <c r="AB185" s="138">
        <f>2/31*20882737</f>
        <v>1347273.3548387096</v>
      </c>
      <c r="AC185" s="138"/>
      <c r="AD185" s="41">
        <v>0</v>
      </c>
      <c r="AE185" s="41">
        <f t="shared" si="39"/>
        <v>4840833.3548387093</v>
      </c>
      <c r="AF185" s="57">
        <f t="shared" si="40"/>
        <v>-1720424.6451612907</v>
      </c>
      <c r="AG18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-1072698</v>
      </c>
      <c r="AH185" s="59">
        <f>IFERROR(AG185/(Z185+Table5[[#This Row],[Rider Penalty (Claim, Other Denda to Riders)]]),0)</f>
        <v>-0.30705011506886959</v>
      </c>
      <c r="AI185" s="57">
        <f t="shared" si="42"/>
        <v>-647726.64516129042</v>
      </c>
      <c r="AJ185" s="41">
        <f t="shared" si="41"/>
        <v>-0.48076854102026961</v>
      </c>
      <c r="AV185" s="109">
        <f>Table5[[#This Row],[Total Selling Comission/Sales (Weekly)]]/Table5[[#This Row],[Total Revenue Sharing % (Weekly)]]*100%</f>
        <v>0.41333195937668166</v>
      </c>
      <c r="AW185" s="109">
        <f>Table5[[#This Row],[Total Daily Incentive (Weekly)]]/Table5[[#This Row],[Total Revenue Sharing % (Weekly)]]*100%</f>
        <v>0.8157867619276612</v>
      </c>
      <c r="AX185" s="109">
        <f>(N185+O185)/Z185*100%</f>
        <v>1.2291187213043429</v>
      </c>
    </row>
    <row r="186" spans="1:50" hidden="1">
      <c r="A186">
        <v>2025</v>
      </c>
      <c r="B186" t="s">
        <v>23</v>
      </c>
      <c r="C186" t="s">
        <v>173</v>
      </c>
      <c r="D186" t="s">
        <v>168</v>
      </c>
      <c r="E186" t="s">
        <v>24</v>
      </c>
      <c r="F186" s="76" t="s">
        <v>282</v>
      </c>
      <c r="G186" s="54">
        <v>14</v>
      </c>
      <c r="H186" s="54" t="s">
        <v>159</v>
      </c>
      <c r="I186" s="54" t="s">
        <v>275</v>
      </c>
      <c r="J186" s="54" t="s">
        <v>349</v>
      </c>
      <c r="K186">
        <v>3</v>
      </c>
      <c r="L186">
        <v>125</v>
      </c>
      <c r="M186">
        <v>1176000</v>
      </c>
      <c r="N186">
        <v>100000</v>
      </c>
      <c r="O186">
        <v>150000</v>
      </c>
      <c r="P186">
        <v>0</v>
      </c>
      <c r="R186">
        <v>0</v>
      </c>
      <c r="T186" s="12">
        <f t="shared" si="37"/>
        <v>250000</v>
      </c>
      <c r="U186">
        <v>0</v>
      </c>
      <c r="V186" s="61">
        <v>105000</v>
      </c>
      <c r="W186" s="86">
        <v>0</v>
      </c>
      <c r="X186">
        <v>0</v>
      </c>
      <c r="Y186" s="12">
        <f t="shared" si="38"/>
        <v>105000</v>
      </c>
      <c r="Z186" s="106">
        <f>21%*Table5[[#This Row],[Total Selling (Clients Revenue)]]</f>
        <v>246960</v>
      </c>
      <c r="AA186" s="123">
        <v>0</v>
      </c>
      <c r="AB186">
        <f>2/31*4745414</f>
        <v>306155.74193548388</v>
      </c>
      <c r="AE186">
        <f t="shared" si="39"/>
        <v>553115.74193548388</v>
      </c>
      <c r="AF186" s="12">
        <f t="shared" si="40"/>
        <v>198115.74193548388</v>
      </c>
      <c r="AG18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-3040</v>
      </c>
      <c r="AH186" s="13">
        <f>IFERROR(AG186/(Z186+Table5[[#This Row],[Rider Penalty (Claim, Other Denda to Riders)]]),0)</f>
        <v>-1.2309685779073534E-2</v>
      </c>
      <c r="AI186" s="12">
        <f t="shared" si="42"/>
        <v>201155.74193548388</v>
      </c>
      <c r="AJ186">
        <f t="shared" si="41"/>
        <v>0.65703729959072066</v>
      </c>
      <c r="AV186" s="109">
        <f>Table5[[#This Row],[Total Selling Comission/Sales (Weekly)]]/Table5[[#This Row],[Total Revenue Sharing % (Weekly)]]*100%</f>
        <v>0.40492387431162941</v>
      </c>
      <c r="AW186" s="109">
        <f>Table5[[#This Row],[Total Daily Incentive (Weekly)]]/Table5[[#This Row],[Total Revenue Sharing % (Weekly)]]*100%</f>
        <v>0.60738581146744408</v>
      </c>
      <c r="AX186" s="109">
        <f>(N186+O186)/Z186*100%</f>
        <v>1.0123096857790734</v>
      </c>
    </row>
    <row r="187" spans="1:50" hidden="1">
      <c r="A187" s="41">
        <v>2025</v>
      </c>
      <c r="B187" s="41" t="s">
        <v>170</v>
      </c>
      <c r="C187" s="41" t="s">
        <v>170</v>
      </c>
      <c r="D187" s="41" t="s">
        <v>169</v>
      </c>
      <c r="E187" s="41" t="s">
        <v>24</v>
      </c>
      <c r="F187" s="41" t="s">
        <v>24</v>
      </c>
      <c r="G187" s="54">
        <v>14</v>
      </c>
      <c r="H187" s="54" t="s">
        <v>160</v>
      </c>
      <c r="I187" s="54" t="s">
        <v>275</v>
      </c>
      <c r="J187" s="54" t="s">
        <v>349</v>
      </c>
      <c r="K187">
        <v>3</v>
      </c>
      <c r="L187">
        <v>148</v>
      </c>
      <c r="M187">
        <v>1329000</v>
      </c>
      <c r="N187">
        <v>118400</v>
      </c>
      <c r="O187">
        <v>150000</v>
      </c>
      <c r="P187">
        <v>0</v>
      </c>
      <c r="R187">
        <v>0</v>
      </c>
      <c r="T187" s="12">
        <f t="shared" si="37"/>
        <v>268400</v>
      </c>
      <c r="U187">
        <v>0</v>
      </c>
      <c r="V187" s="61">
        <v>105000</v>
      </c>
      <c r="W187" s="86">
        <v>0</v>
      </c>
      <c r="X187">
        <v>0</v>
      </c>
      <c r="Y187" s="12">
        <f t="shared" si="38"/>
        <v>105000</v>
      </c>
      <c r="Z187" s="57">
        <f>30%*M187</f>
        <v>398700</v>
      </c>
      <c r="AA187">
        <v>0</v>
      </c>
      <c r="AB187">
        <v>0</v>
      </c>
      <c r="AD187">
        <v>0</v>
      </c>
      <c r="AE187">
        <f t="shared" si="39"/>
        <v>398700</v>
      </c>
      <c r="AF187" s="12">
        <f t="shared" si="40"/>
        <v>25300</v>
      </c>
      <c r="AG18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130300</v>
      </c>
      <c r="AH187" s="13">
        <f>IFERROR(AG187/(Z187+Table5[[#This Row],[Rider Penalty (Claim, Other Denda to Riders)]]),0)</f>
        <v>0.32681213945322296</v>
      </c>
      <c r="AI187" s="12">
        <f t="shared" si="42"/>
        <v>-105000</v>
      </c>
      <c r="AJ187">
        <f t="shared" si="41"/>
        <v>0</v>
      </c>
      <c r="AV187" s="109"/>
      <c r="AW187" s="109"/>
      <c r="AX187" s="109"/>
    </row>
    <row r="188" spans="1:50" hidden="1">
      <c r="A188" s="41">
        <v>2025</v>
      </c>
      <c r="B188" s="41" t="s">
        <v>23</v>
      </c>
      <c r="C188" s="41" t="s">
        <v>174</v>
      </c>
      <c r="D188" s="41" t="s">
        <v>168</v>
      </c>
      <c r="E188" s="41" t="s">
        <v>24</v>
      </c>
      <c r="F188" s="41" t="s">
        <v>24</v>
      </c>
      <c r="G188" s="54">
        <v>14</v>
      </c>
      <c r="H188" s="54" t="s">
        <v>160</v>
      </c>
      <c r="I188" s="54" t="s">
        <v>275</v>
      </c>
      <c r="J188" s="54" t="s">
        <v>192</v>
      </c>
      <c r="K188">
        <v>49</v>
      </c>
      <c r="L188">
        <v>7200</v>
      </c>
      <c r="M188">
        <v>66028000</v>
      </c>
      <c r="N188">
        <v>5760000</v>
      </c>
      <c r="O188">
        <v>9300000</v>
      </c>
      <c r="P188">
        <v>0</v>
      </c>
      <c r="R188">
        <v>0</v>
      </c>
      <c r="T188" s="12">
        <f t="shared" si="37"/>
        <v>15060000</v>
      </c>
      <c r="U188">
        <v>600000</v>
      </c>
      <c r="V188" s="61">
        <v>6510000</v>
      </c>
      <c r="W188" s="86">
        <v>0</v>
      </c>
      <c r="X188">
        <f>5/7*112903</f>
        <v>80645</v>
      </c>
      <c r="Y188" s="12">
        <f t="shared" si="38"/>
        <v>7190645</v>
      </c>
      <c r="Z188" s="76">
        <f>21%*Table5[[#This Row],[Total Selling (Clients Revenue)]]</f>
        <v>13865880</v>
      </c>
      <c r="AA188">
        <v>4650000</v>
      </c>
      <c r="AB188">
        <f>5/30*15642348</f>
        <v>2607058</v>
      </c>
      <c r="AD188">
        <v>0</v>
      </c>
      <c r="AE188">
        <f t="shared" si="39"/>
        <v>21122938</v>
      </c>
      <c r="AF188" s="12">
        <f t="shared" si="40"/>
        <v>-1127707</v>
      </c>
      <c r="AG18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-1874765</v>
      </c>
      <c r="AH188" s="13">
        <f>IFERROR(AG188/(Z188+Table5[[#This Row],[Rider Penalty (Claim, Other Denda to Riders)]]),0)</f>
        <v>-0.13520706943951627</v>
      </c>
      <c r="AI188" s="12">
        <f t="shared" si="42"/>
        <v>747058</v>
      </c>
      <c r="AJ188">
        <f t="shared" si="41"/>
        <v>0.1029422666871341</v>
      </c>
      <c r="AV188" s="109">
        <f>Table5[[#This Row],[Total Selling Comission/Sales (Weekly)]]/Table5[[#This Row],[Total Revenue Sharing % (Weekly)]]*100%</f>
        <v>0.41540818181031425</v>
      </c>
      <c r="AW188" s="109">
        <f>Table5[[#This Row],[Total Daily Incentive (Weekly)]]/Table5[[#This Row],[Total Revenue Sharing % (Weekly)]]*100%</f>
        <v>0.67071112688123657</v>
      </c>
      <c r="AX188" s="109">
        <f>(N188+O188)/Z188*100%</f>
        <v>1.0861193086915508</v>
      </c>
    </row>
    <row r="189" spans="1:50" hidden="1">
      <c r="A189">
        <v>2025</v>
      </c>
      <c r="B189" t="s">
        <v>23</v>
      </c>
      <c r="C189" t="s">
        <v>173</v>
      </c>
      <c r="D189" t="s">
        <v>168</v>
      </c>
      <c r="E189" t="s">
        <v>24</v>
      </c>
      <c r="F189" s="76" t="s">
        <v>282</v>
      </c>
      <c r="G189" s="54">
        <v>14</v>
      </c>
      <c r="H189" s="54" t="s">
        <v>160</v>
      </c>
      <c r="I189" s="54" t="s">
        <v>275</v>
      </c>
      <c r="J189" s="54" t="s">
        <v>192</v>
      </c>
      <c r="K189">
        <v>14</v>
      </c>
      <c r="L189">
        <v>2649</v>
      </c>
      <c r="M189">
        <v>24316000</v>
      </c>
      <c r="N189">
        <v>2119200</v>
      </c>
      <c r="O189">
        <v>2500000</v>
      </c>
      <c r="P189">
        <v>0</v>
      </c>
      <c r="R189">
        <v>0</v>
      </c>
      <c r="T189" s="12">
        <f t="shared" si="37"/>
        <v>4619200</v>
      </c>
      <c r="U189">
        <v>0</v>
      </c>
      <c r="V189" s="61">
        <v>1750000</v>
      </c>
      <c r="W189" s="86">
        <v>0</v>
      </c>
      <c r="X189">
        <v>0</v>
      </c>
      <c r="Y189" s="12">
        <f t="shared" si="38"/>
        <v>1750000</v>
      </c>
      <c r="Z189" s="76">
        <f>21%*Table5[[#This Row],[Total Selling (Clients Revenue)]]</f>
        <v>5106360</v>
      </c>
      <c r="AA189">
        <v>1250000</v>
      </c>
      <c r="AB189">
        <f>5/30*4985729</f>
        <v>830954.83333333326</v>
      </c>
      <c r="AD189">
        <v>0</v>
      </c>
      <c r="AE189">
        <f t="shared" si="39"/>
        <v>7187314.833333333</v>
      </c>
      <c r="AF189" s="12">
        <f t="shared" si="40"/>
        <v>818114.83333333302</v>
      </c>
      <c r="AG18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487160</v>
      </c>
      <c r="AH189" s="13">
        <f>IFERROR(AG189/(Z189+Table5[[#This Row],[Rider Penalty (Claim, Other Denda to Riders)]]),0)</f>
        <v>9.5402595978348576E-2</v>
      </c>
      <c r="AI189" s="12">
        <f t="shared" si="42"/>
        <v>330954.83333333326</v>
      </c>
      <c r="AJ189">
        <f t="shared" si="41"/>
        <v>0.15903989266465735</v>
      </c>
      <c r="AV189" s="109">
        <f>Table5[[#This Row],[Total Selling Comission/Sales (Weekly)]]/Table5[[#This Row],[Total Revenue Sharing % (Weekly)]]*100%</f>
        <v>0.41501186755340397</v>
      </c>
      <c r="AW189" s="109">
        <f>Table5[[#This Row],[Total Daily Incentive (Weekly)]]/Table5[[#This Row],[Total Revenue Sharing % (Weekly)]]*100%</f>
        <v>0.48958553646824743</v>
      </c>
      <c r="AX189" s="109">
        <f>(N189+O189)/Z189*100%</f>
        <v>0.90459740402165145</v>
      </c>
    </row>
    <row r="190" spans="1:50" hidden="1">
      <c r="A190" s="41">
        <v>2025</v>
      </c>
      <c r="B190" s="41" t="s">
        <v>170</v>
      </c>
      <c r="C190" s="41" t="s">
        <v>170</v>
      </c>
      <c r="D190" s="41" t="s">
        <v>169</v>
      </c>
      <c r="E190" s="41" t="s">
        <v>24</v>
      </c>
      <c r="F190" s="41" t="s">
        <v>24</v>
      </c>
      <c r="G190" s="54">
        <v>14</v>
      </c>
      <c r="H190" s="54" t="s">
        <v>160</v>
      </c>
      <c r="I190" s="54" t="s">
        <v>275</v>
      </c>
      <c r="J190" s="54" t="s">
        <v>192</v>
      </c>
      <c r="K190">
        <v>7</v>
      </c>
      <c r="L190">
        <v>467</v>
      </c>
      <c r="M190">
        <v>4369000</v>
      </c>
      <c r="N190">
        <v>373600</v>
      </c>
      <c r="O190">
        <v>1100000</v>
      </c>
      <c r="P190">
        <v>0</v>
      </c>
      <c r="R190">
        <v>0</v>
      </c>
      <c r="T190" s="12">
        <f t="shared" si="37"/>
        <v>1473600</v>
      </c>
      <c r="U190">
        <v>0</v>
      </c>
      <c r="V190" s="61">
        <v>770000</v>
      </c>
      <c r="W190" s="86">
        <v>0</v>
      </c>
      <c r="X190">
        <v>0</v>
      </c>
      <c r="Y190" s="12">
        <f t="shared" si="38"/>
        <v>770000</v>
      </c>
      <c r="Z190" s="57">
        <f>30%*M190</f>
        <v>1310700</v>
      </c>
      <c r="AA190">
        <v>550000</v>
      </c>
      <c r="AB190">
        <v>0</v>
      </c>
      <c r="AD190">
        <v>0</v>
      </c>
      <c r="AE190">
        <f t="shared" si="39"/>
        <v>1860700</v>
      </c>
      <c r="AF190" s="12">
        <f t="shared" si="40"/>
        <v>-382900</v>
      </c>
      <c r="AG19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-162900</v>
      </c>
      <c r="AH190" s="13">
        <f>IFERROR(AG190/(Z190+Table5[[#This Row],[Rider Penalty (Claim, Other Denda to Riders)]]),0)</f>
        <v>-0.12428473334859236</v>
      </c>
      <c r="AI190" s="12">
        <f t="shared" si="42"/>
        <v>-220000</v>
      </c>
      <c r="AJ190">
        <f t="shared" si="41"/>
        <v>-0.4</v>
      </c>
      <c r="AV190" s="109"/>
      <c r="AW190" s="109"/>
      <c r="AX190" s="109"/>
    </row>
    <row r="191" spans="1:50" hidden="1">
      <c r="A191" s="23">
        <v>2025</v>
      </c>
      <c r="B191" s="41" t="s">
        <v>27</v>
      </c>
      <c r="C191" s="41" t="s">
        <v>27</v>
      </c>
      <c r="D191" s="41" t="s">
        <v>169</v>
      </c>
      <c r="E191" s="41" t="s">
        <v>28</v>
      </c>
      <c r="F191" s="48" t="s">
        <v>28</v>
      </c>
      <c r="G191" s="54">
        <v>13</v>
      </c>
      <c r="H191" s="54" t="s">
        <v>159</v>
      </c>
      <c r="I191" s="54" t="s">
        <v>280</v>
      </c>
      <c r="J191" s="54" t="s">
        <v>346</v>
      </c>
      <c r="K191" s="41">
        <v>5</v>
      </c>
      <c r="L191" s="41">
        <v>140</v>
      </c>
      <c r="M191" s="41">
        <v>1431000</v>
      </c>
      <c r="N191" s="41">
        <v>140000</v>
      </c>
      <c r="O191" s="41">
        <v>325000</v>
      </c>
      <c r="P191" s="41">
        <v>0</v>
      </c>
      <c r="Q191" s="41"/>
      <c r="R191" s="41">
        <v>0</v>
      </c>
      <c r="T191" s="12">
        <f t="shared" si="37"/>
        <v>465000</v>
      </c>
      <c r="U191" s="41">
        <v>0</v>
      </c>
      <c r="V191" s="55">
        <v>525000</v>
      </c>
      <c r="W191" s="86">
        <v>0</v>
      </c>
      <c r="X191" s="41">
        <v>0</v>
      </c>
      <c r="Y191" s="57">
        <f t="shared" si="38"/>
        <v>525000</v>
      </c>
      <c r="Z191" s="57">
        <f>30%*M191</f>
        <v>429300</v>
      </c>
      <c r="AA191" s="41">
        <v>140000</v>
      </c>
      <c r="AB191" s="41">
        <v>0</v>
      </c>
      <c r="AC191" s="41"/>
      <c r="AD191" s="41"/>
      <c r="AE191" s="41">
        <f t="shared" si="39"/>
        <v>569300</v>
      </c>
      <c r="AF191" s="57">
        <f t="shared" si="40"/>
        <v>-420700</v>
      </c>
      <c r="AG19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-35700</v>
      </c>
      <c r="AH191" s="59">
        <f>IFERROR(AG191/(Z191+Table5[[#This Row],[Rider Penalty (Claim, Other Denda to Riders)]]),0)</f>
        <v>-8.3158630328441646E-2</v>
      </c>
      <c r="AI191" s="57">
        <f t="shared" si="42"/>
        <v>-385000</v>
      </c>
      <c r="AJ191" s="41">
        <f t="shared" si="41"/>
        <v>-2.75</v>
      </c>
      <c r="AK191" s="105" t="s">
        <v>347</v>
      </c>
      <c r="AV191" s="109"/>
      <c r="AW191" s="109"/>
      <c r="AX191" s="109"/>
    </row>
    <row r="192" spans="1:50" hidden="1">
      <c r="A192" s="23">
        <v>2025</v>
      </c>
      <c r="B192" s="41" t="s">
        <v>29</v>
      </c>
      <c r="C192" s="41" t="s">
        <v>29</v>
      </c>
      <c r="D192" s="41" t="s">
        <v>169</v>
      </c>
      <c r="E192" s="41" t="s">
        <v>28</v>
      </c>
      <c r="F192" s="41" t="s">
        <v>28</v>
      </c>
      <c r="G192" s="54">
        <v>13</v>
      </c>
      <c r="H192" s="54" t="s">
        <v>159</v>
      </c>
      <c r="I192" s="54" t="s">
        <v>280</v>
      </c>
      <c r="J192" s="54" t="s">
        <v>346</v>
      </c>
      <c r="K192" s="41">
        <v>2</v>
      </c>
      <c r="L192" s="41">
        <v>57</v>
      </c>
      <c r="M192" s="41">
        <v>816000</v>
      </c>
      <c r="N192" s="41">
        <v>57000</v>
      </c>
      <c r="O192" s="41">
        <v>100000</v>
      </c>
      <c r="P192" s="41">
        <v>0</v>
      </c>
      <c r="Q192" s="41"/>
      <c r="R192" s="41">
        <v>0</v>
      </c>
      <c r="S192" s="41"/>
      <c r="T192" s="57">
        <f t="shared" si="37"/>
        <v>157000</v>
      </c>
      <c r="U192" s="41">
        <v>0</v>
      </c>
      <c r="V192" s="55">
        <v>140000</v>
      </c>
      <c r="W192" s="86">
        <v>0</v>
      </c>
      <c r="X192" s="41">
        <v>0</v>
      </c>
      <c r="Y192" s="57">
        <f t="shared" si="38"/>
        <v>140000</v>
      </c>
      <c r="Z192" s="57">
        <f>30%*M192</f>
        <v>244800</v>
      </c>
      <c r="AA192" s="41">
        <v>40000</v>
      </c>
      <c r="AB192" s="41">
        <v>0</v>
      </c>
      <c r="AC192" s="41"/>
      <c r="AD192" s="41"/>
      <c r="AE192" s="41">
        <f t="shared" si="39"/>
        <v>284800</v>
      </c>
      <c r="AF192" s="57">
        <f t="shared" si="40"/>
        <v>-12200</v>
      </c>
      <c r="AG19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87800</v>
      </c>
      <c r="AH192" s="59">
        <f>IFERROR(AG192/(Z192+Table5[[#This Row],[Rider Penalty (Claim, Other Denda to Riders)]]),0)</f>
        <v>0.35866013071895425</v>
      </c>
      <c r="AI192" s="57">
        <f t="shared" si="42"/>
        <v>-100000</v>
      </c>
      <c r="AJ192" s="41">
        <f t="shared" si="41"/>
        <v>-2.5</v>
      </c>
      <c r="AK192" s="105" t="s">
        <v>347</v>
      </c>
      <c r="AV192" s="109"/>
      <c r="AW192" s="109"/>
      <c r="AX192" s="109"/>
    </row>
    <row r="193" spans="1:50" hidden="1">
      <c r="A193" s="23">
        <v>2025</v>
      </c>
      <c r="B193" s="41" t="s">
        <v>171</v>
      </c>
      <c r="C193" s="41" t="s">
        <v>171</v>
      </c>
      <c r="D193" s="41" t="s">
        <v>168</v>
      </c>
      <c r="E193" s="41" t="s">
        <v>28</v>
      </c>
      <c r="F193" s="41" t="s">
        <v>28</v>
      </c>
      <c r="G193" s="54">
        <v>13</v>
      </c>
      <c r="H193" s="54" t="s">
        <v>159</v>
      </c>
      <c r="I193" s="54" t="s">
        <v>280</v>
      </c>
      <c r="J193" s="54" t="s">
        <v>346</v>
      </c>
      <c r="K193">
        <v>7</v>
      </c>
      <c r="L193">
        <v>109</v>
      </c>
      <c r="M193">
        <v>399000</v>
      </c>
      <c r="N193">
        <v>25400</v>
      </c>
      <c r="O193">
        <v>300000</v>
      </c>
      <c r="P193">
        <v>0</v>
      </c>
      <c r="R193">
        <v>0</v>
      </c>
      <c r="T193" s="12">
        <f t="shared" si="37"/>
        <v>325400</v>
      </c>
      <c r="U193">
        <v>0</v>
      </c>
      <c r="V193" s="86">
        <v>735000</v>
      </c>
      <c r="W193" s="86">
        <v>0</v>
      </c>
      <c r="X193">
        <v>0</v>
      </c>
      <c r="Y193" s="12">
        <f t="shared" si="38"/>
        <v>735000</v>
      </c>
      <c r="Z193" s="57">
        <f>30%*M193</f>
        <v>119700</v>
      </c>
      <c r="AA193">
        <v>120000</v>
      </c>
      <c r="AB193">
        <v>0</v>
      </c>
      <c r="AE193">
        <f t="shared" si="39"/>
        <v>239700</v>
      </c>
      <c r="AF193" s="12">
        <f t="shared" si="40"/>
        <v>-820700</v>
      </c>
      <c r="AG19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-205700</v>
      </c>
      <c r="AH193" s="13">
        <f>IFERROR(AG193/(Z193+Table5[[#This Row],[Rider Penalty (Claim, Other Denda to Riders)]]),0)</f>
        <v>-1.7184628237259816</v>
      </c>
      <c r="AI193" s="12">
        <f t="shared" si="42"/>
        <v>-615000</v>
      </c>
      <c r="AJ193">
        <f t="shared" si="41"/>
        <v>-5.125</v>
      </c>
      <c r="AK193" s="105" t="s">
        <v>347</v>
      </c>
      <c r="AV193" s="109"/>
      <c r="AW193" s="109"/>
      <c r="AX193" s="109"/>
    </row>
    <row r="194" spans="1:50" hidden="1">
      <c r="A194" s="41">
        <v>2025</v>
      </c>
      <c r="B194" s="41" t="s">
        <v>200</v>
      </c>
      <c r="C194" s="41" t="s">
        <v>200</v>
      </c>
      <c r="D194" s="41" t="s">
        <v>169</v>
      </c>
      <c r="E194" s="41" t="s">
        <v>28</v>
      </c>
      <c r="F194" s="41" t="s">
        <v>28</v>
      </c>
      <c r="G194" s="54">
        <v>13</v>
      </c>
      <c r="H194" s="54" t="s">
        <v>159</v>
      </c>
      <c r="I194" s="54" t="s">
        <v>280</v>
      </c>
      <c r="J194" s="54" t="s">
        <v>346</v>
      </c>
      <c r="K194" s="41">
        <v>1</v>
      </c>
      <c r="L194">
        <v>8</v>
      </c>
      <c r="M194">
        <v>84000</v>
      </c>
      <c r="N194">
        <v>8000</v>
      </c>
      <c r="O194">
        <v>25000</v>
      </c>
      <c r="P194">
        <v>0</v>
      </c>
      <c r="R194">
        <v>0</v>
      </c>
      <c r="T194" s="12">
        <f t="shared" si="37"/>
        <v>33000</v>
      </c>
      <c r="U194">
        <v>0</v>
      </c>
      <c r="V194" s="61">
        <v>105000</v>
      </c>
      <c r="W194" s="86">
        <v>0</v>
      </c>
      <c r="X194">
        <v>0</v>
      </c>
      <c r="Y194" s="12">
        <f t="shared" si="38"/>
        <v>105000</v>
      </c>
      <c r="Z194" s="57">
        <f>35%*M194</f>
        <v>29399.999999999996</v>
      </c>
      <c r="AA194">
        <v>30000</v>
      </c>
      <c r="AB194">
        <v>0</v>
      </c>
      <c r="AE194">
        <f t="shared" si="39"/>
        <v>59400</v>
      </c>
      <c r="AF194" s="12">
        <f t="shared" si="40"/>
        <v>-78600</v>
      </c>
      <c r="AG19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-3600.0000000000036</v>
      </c>
      <c r="AH194" s="13">
        <f>IFERROR(AG194/(Z194+Table5[[#This Row],[Rider Penalty (Claim, Other Denda to Riders)]]),0)</f>
        <v>-0.12244897959183687</v>
      </c>
      <c r="AI194" s="12">
        <f t="shared" si="42"/>
        <v>-75000</v>
      </c>
      <c r="AJ194">
        <f t="shared" si="41"/>
        <v>-2.5</v>
      </c>
      <c r="AK194" s="105" t="s">
        <v>347</v>
      </c>
      <c r="AV194" s="109"/>
      <c r="AW194" s="109"/>
      <c r="AX194" s="109"/>
    </row>
    <row r="195" spans="1:50" hidden="1">
      <c r="A195" s="23">
        <v>2025</v>
      </c>
      <c r="B195" s="41" t="s">
        <v>201</v>
      </c>
      <c r="C195" s="41" t="s">
        <v>201</v>
      </c>
      <c r="D195" s="41" t="s">
        <v>169</v>
      </c>
      <c r="E195" s="41" t="s">
        <v>28</v>
      </c>
      <c r="F195" s="41" t="s">
        <v>28</v>
      </c>
      <c r="G195" s="54">
        <v>13</v>
      </c>
      <c r="H195" s="54" t="s">
        <v>159</v>
      </c>
      <c r="I195" s="54" t="s">
        <v>280</v>
      </c>
      <c r="J195" s="54" t="s">
        <v>346</v>
      </c>
      <c r="K195" s="41">
        <v>1</v>
      </c>
      <c r="L195" s="41">
        <v>22</v>
      </c>
      <c r="M195" s="41">
        <v>262000</v>
      </c>
      <c r="N195" s="41">
        <v>22000</v>
      </c>
      <c r="O195" s="41">
        <v>75000</v>
      </c>
      <c r="P195" s="41">
        <v>0</v>
      </c>
      <c r="Q195" s="41"/>
      <c r="R195" s="41">
        <v>0</v>
      </c>
      <c r="S195" s="41"/>
      <c r="T195" s="57">
        <f t="shared" si="37"/>
        <v>97000</v>
      </c>
      <c r="U195" s="41">
        <v>0</v>
      </c>
      <c r="V195" s="55">
        <v>105000</v>
      </c>
      <c r="W195" s="86">
        <v>0</v>
      </c>
      <c r="X195" s="41">
        <v>0</v>
      </c>
      <c r="Y195" s="12">
        <f t="shared" si="38"/>
        <v>105000</v>
      </c>
      <c r="Z195" s="57">
        <f>30%*M195</f>
        <v>78600</v>
      </c>
      <c r="AA195" s="41">
        <v>30000</v>
      </c>
      <c r="AB195" s="41">
        <v>0</v>
      </c>
      <c r="AC195" s="41"/>
      <c r="AD195" s="41"/>
      <c r="AE195" s="41">
        <f t="shared" si="39"/>
        <v>108600</v>
      </c>
      <c r="AF195" s="57">
        <f t="shared" si="40"/>
        <v>-93400</v>
      </c>
      <c r="AG19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-18400</v>
      </c>
      <c r="AH195" s="59">
        <f>IFERROR(AG195/(Z195+Table5[[#This Row],[Rider Penalty (Claim, Other Denda to Riders)]]),0)</f>
        <v>-0.2340966921119593</v>
      </c>
      <c r="AI195" s="57">
        <f t="shared" si="42"/>
        <v>-75000</v>
      </c>
      <c r="AJ195" s="41">
        <f t="shared" si="41"/>
        <v>-2.5</v>
      </c>
      <c r="AK195" s="105" t="s">
        <v>347</v>
      </c>
      <c r="AV195" s="109"/>
      <c r="AW195" s="109"/>
      <c r="AX195" s="109"/>
    </row>
    <row r="196" spans="1:50" hidden="1">
      <c r="A196" s="23">
        <v>2025</v>
      </c>
      <c r="B196" s="41" t="s">
        <v>175</v>
      </c>
      <c r="C196" s="41" t="s">
        <v>175</v>
      </c>
      <c r="D196" s="41" t="s">
        <v>169</v>
      </c>
      <c r="E196" s="41" t="s">
        <v>28</v>
      </c>
      <c r="F196" s="41" t="s">
        <v>28</v>
      </c>
      <c r="G196" s="54">
        <v>13</v>
      </c>
      <c r="H196" s="54" t="s">
        <v>159</v>
      </c>
      <c r="I196" s="54" t="s">
        <v>280</v>
      </c>
      <c r="J196" s="54" t="s">
        <v>346</v>
      </c>
      <c r="K196" s="41">
        <v>3</v>
      </c>
      <c r="L196" s="41">
        <v>84</v>
      </c>
      <c r="M196" s="41">
        <v>1128000</v>
      </c>
      <c r="N196" s="41">
        <v>84000</v>
      </c>
      <c r="O196" s="41">
        <v>150000</v>
      </c>
      <c r="P196" s="41">
        <v>0</v>
      </c>
      <c r="Q196" s="41"/>
      <c r="R196" s="41">
        <v>0</v>
      </c>
      <c r="S196" s="41"/>
      <c r="T196" s="57">
        <f t="shared" si="37"/>
        <v>234000</v>
      </c>
      <c r="U196" s="41">
        <v>0</v>
      </c>
      <c r="V196" s="55">
        <v>315000</v>
      </c>
      <c r="W196" s="86">
        <v>0</v>
      </c>
      <c r="X196" s="41">
        <v>0</v>
      </c>
      <c r="Y196" s="12">
        <f t="shared" si="38"/>
        <v>315000</v>
      </c>
      <c r="Z196" s="57">
        <f>29%*M196</f>
        <v>327120</v>
      </c>
      <c r="AA196" s="41">
        <v>90000</v>
      </c>
      <c r="AB196" s="41">
        <v>0</v>
      </c>
      <c r="AC196" s="41"/>
      <c r="AD196" s="41"/>
      <c r="AE196" s="41">
        <f t="shared" si="39"/>
        <v>417120</v>
      </c>
      <c r="AF196" s="57">
        <f t="shared" si="40"/>
        <v>-131880</v>
      </c>
      <c r="AG19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93120</v>
      </c>
      <c r="AH196" s="59">
        <f>IFERROR(AG196/(Z196+Table5[[#This Row],[Rider Penalty (Claim, Other Denda to Riders)]]),0)</f>
        <v>0.28466617754952311</v>
      </c>
      <c r="AI196" s="57">
        <f t="shared" si="42"/>
        <v>-225000</v>
      </c>
      <c r="AJ196" s="41">
        <f t="shared" si="41"/>
        <v>-2.5</v>
      </c>
      <c r="AK196" s="105" t="s">
        <v>347</v>
      </c>
      <c r="AV196" s="109"/>
      <c r="AW196" s="109"/>
      <c r="AX196" s="109"/>
    </row>
    <row r="197" spans="1:50" hidden="1">
      <c r="A197" s="23">
        <v>2025</v>
      </c>
      <c r="B197" s="41" t="s">
        <v>199</v>
      </c>
      <c r="C197" s="41" t="s">
        <v>199</v>
      </c>
      <c r="D197" s="41" t="s">
        <v>169</v>
      </c>
      <c r="E197" s="41" t="s">
        <v>28</v>
      </c>
      <c r="F197" s="41" t="s">
        <v>28</v>
      </c>
      <c r="G197" s="54">
        <v>13</v>
      </c>
      <c r="H197" s="54" t="s">
        <v>159</v>
      </c>
      <c r="I197" s="54" t="s">
        <v>280</v>
      </c>
      <c r="J197" s="54" t="s">
        <v>346</v>
      </c>
      <c r="K197">
        <v>1</v>
      </c>
      <c r="L197">
        <v>11</v>
      </c>
      <c r="M197">
        <v>389000</v>
      </c>
      <c r="N197">
        <v>11000</v>
      </c>
      <c r="O197">
        <v>75000</v>
      </c>
      <c r="P197">
        <v>0</v>
      </c>
      <c r="R197">
        <v>0</v>
      </c>
      <c r="T197" s="12">
        <f t="shared" si="37"/>
        <v>86000</v>
      </c>
      <c r="U197">
        <v>0</v>
      </c>
      <c r="V197" s="61">
        <v>105000</v>
      </c>
      <c r="W197" s="86">
        <v>0</v>
      </c>
      <c r="X197">
        <v>0</v>
      </c>
      <c r="Y197" s="12">
        <f t="shared" si="38"/>
        <v>105000</v>
      </c>
      <c r="Z197" s="12">
        <f>23%*M197</f>
        <v>89470</v>
      </c>
      <c r="AA197">
        <v>30000</v>
      </c>
      <c r="AB197">
        <v>0</v>
      </c>
      <c r="AE197">
        <f t="shared" si="39"/>
        <v>119470</v>
      </c>
      <c r="AF197" s="12">
        <f t="shared" si="40"/>
        <v>-71530</v>
      </c>
      <c r="AG19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3470</v>
      </c>
      <c r="AH197" s="13">
        <f>IFERROR(AG197/(Z197+Table5[[#This Row],[Rider Penalty (Claim, Other Denda to Riders)]]),0)</f>
        <v>3.8783949927349952E-2</v>
      </c>
      <c r="AI197" s="12">
        <f t="shared" si="42"/>
        <v>-75000</v>
      </c>
      <c r="AJ197">
        <f t="shared" si="41"/>
        <v>-2.5</v>
      </c>
      <c r="AK197" s="105" t="s">
        <v>347</v>
      </c>
      <c r="AV197" s="109"/>
      <c r="AW197" s="109"/>
      <c r="AX197" s="109"/>
    </row>
    <row r="198" spans="1:50" hidden="1">
      <c r="A198" s="41">
        <v>2025</v>
      </c>
      <c r="B198" s="54" t="s">
        <v>23</v>
      </c>
      <c r="C198" s="54" t="s">
        <v>23</v>
      </c>
      <c r="D198" s="54" t="s">
        <v>168</v>
      </c>
      <c r="E198" s="41" t="s">
        <v>28</v>
      </c>
      <c r="F198" s="41" t="s">
        <v>25</v>
      </c>
      <c r="G198" s="54">
        <v>14</v>
      </c>
      <c r="H198" s="54" t="s">
        <v>159</v>
      </c>
      <c r="I198" s="54" t="s">
        <v>275</v>
      </c>
      <c r="J198" s="54" t="s">
        <v>350</v>
      </c>
      <c r="K198" s="41">
        <v>253</v>
      </c>
      <c r="L198" s="41">
        <f>33041+17505</f>
        <v>50546</v>
      </c>
      <c r="M198" s="54">
        <f>291770000+154948000</f>
        <v>446718000</v>
      </c>
      <c r="N198" s="54">
        <f>6/11*106925500</f>
        <v>58322999.999999993</v>
      </c>
      <c r="O198" s="54">
        <f>6/11*76125000</f>
        <v>41522727.272727266</v>
      </c>
      <c r="P198" s="54">
        <v>0</v>
      </c>
      <c r="Q198" s="54"/>
      <c r="R198" s="54">
        <v>0</v>
      </c>
      <c r="S198" s="54"/>
      <c r="T198" s="54">
        <f t="shared" si="37"/>
        <v>99845727.272727251</v>
      </c>
      <c r="U198" s="54">
        <f>6/11*700000</f>
        <v>381818.18181818177</v>
      </c>
      <c r="V198" s="110">
        <f>6/11*97300000</f>
        <v>53072727.272727266</v>
      </c>
      <c r="W198" s="111">
        <v>0</v>
      </c>
      <c r="X198" s="54">
        <f>6/11*295806</f>
        <v>161348.72727272726</v>
      </c>
      <c r="Y198" s="54">
        <f t="shared" si="38"/>
        <v>53615894.181818172</v>
      </c>
      <c r="Z198" s="54">
        <f>23%*M198</f>
        <v>102745140</v>
      </c>
      <c r="AA198" s="138">
        <f>6/11*55560000</f>
        <v>30305454.545454543</v>
      </c>
      <c r="AB198" s="61">
        <f>6/31*156456415</f>
        <v>30281886.774193548</v>
      </c>
      <c r="AC198" s="61"/>
      <c r="AD198" s="41">
        <v>0</v>
      </c>
      <c r="AE198" s="41">
        <f t="shared" si="39"/>
        <v>163332481.31964809</v>
      </c>
      <c r="AF198" s="57">
        <f t="shared" si="40"/>
        <v>9870859.8651026487</v>
      </c>
      <c r="AG19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2356245.8181818402</v>
      </c>
      <c r="AH198" s="59">
        <f>IFERROR(AG198/(Z198+Table5[[#This Row],[Rider Penalty (Claim, Other Denda to Riders)]]),0)</f>
        <v>2.2932917490616492E-2</v>
      </c>
      <c r="AI198" s="57">
        <f t="shared" si="42"/>
        <v>7514614.0469208211</v>
      </c>
      <c r="AJ198" s="41">
        <f t="shared" si="41"/>
        <v>0.12402944052743704</v>
      </c>
      <c r="AK198" s="105" t="s">
        <v>351</v>
      </c>
      <c r="AV198" s="109">
        <f>Table5[[#This Row],[Total Selling Comission/Sales (Weekly)]]/Table5[[#This Row],[Total Revenue Sharing % (Weekly)]]*100%</f>
        <v>0.56764728725855051</v>
      </c>
      <c r="AW198" s="109">
        <f>Table5[[#This Row],[Total Daily Incentive (Weekly)]]/Table5[[#This Row],[Total Revenue Sharing % (Weekly)]]*100%</f>
        <v>0.40413324924884297</v>
      </c>
      <c r="AX198" s="109">
        <f>(N198+O198)/Z198*100%</f>
        <v>0.97178053650739349</v>
      </c>
    </row>
    <row r="199" spans="1:50" hidden="1">
      <c r="A199" s="41">
        <v>2025</v>
      </c>
      <c r="B199" s="54" t="s">
        <v>23</v>
      </c>
      <c r="C199" s="54" t="s">
        <v>23</v>
      </c>
      <c r="D199" s="54" t="s">
        <v>168</v>
      </c>
      <c r="E199" s="41" t="s">
        <v>28</v>
      </c>
      <c r="F199" s="41" t="s">
        <v>25</v>
      </c>
      <c r="G199" s="54">
        <v>14</v>
      </c>
      <c r="H199" s="54" t="s">
        <v>160</v>
      </c>
      <c r="I199" s="54" t="s">
        <v>275</v>
      </c>
      <c r="J199" s="58" t="s">
        <v>192</v>
      </c>
      <c r="K199" s="41">
        <v>228</v>
      </c>
      <c r="L199" s="41">
        <v>56499</v>
      </c>
      <c r="M199" s="54">
        <v>497897000</v>
      </c>
      <c r="N199" s="54">
        <f>5/11*106925500</f>
        <v>48602500</v>
      </c>
      <c r="O199" s="54">
        <f>5/11*76125000</f>
        <v>34602272.727272727</v>
      </c>
      <c r="P199" s="54">
        <v>0</v>
      </c>
      <c r="Q199" s="54"/>
      <c r="R199" s="54">
        <v>0</v>
      </c>
      <c r="S199" s="54"/>
      <c r="T199" s="57">
        <f t="shared" si="37"/>
        <v>83204772.727272719</v>
      </c>
      <c r="U199" s="54">
        <f>5/11*700000</f>
        <v>318181.81818181818</v>
      </c>
      <c r="V199" s="110">
        <f>5/11*97300000</f>
        <v>44227272.727272727</v>
      </c>
      <c r="W199" s="111">
        <v>0</v>
      </c>
      <c r="X199" s="54">
        <f>5/11*295806</f>
        <v>134457.27272727274</v>
      </c>
      <c r="Y199" s="57">
        <f t="shared" si="38"/>
        <v>44679911.81818182</v>
      </c>
      <c r="Z199" s="54">
        <f>23%*M199</f>
        <v>114516310</v>
      </c>
      <c r="AA199" s="54">
        <f>5/30*131927871</f>
        <v>21987978.5</v>
      </c>
      <c r="AB199" s="54">
        <f>5/30*131927871</f>
        <v>21987978.5</v>
      </c>
      <c r="AC199" s="54"/>
      <c r="AD199" s="41">
        <v>0</v>
      </c>
      <c r="AE199" s="41">
        <f t="shared" si="39"/>
        <v>158492267</v>
      </c>
      <c r="AF199" s="57">
        <f t="shared" si="40"/>
        <v>30607582.454545468</v>
      </c>
      <c r="AG19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30858898.181818191</v>
      </c>
      <c r="AH199" s="59">
        <f>IFERROR(AG199/(Z199+Table5[[#This Row],[Rider Penalty (Claim, Other Denda to Riders)]]),0)</f>
        <v>0.26947164278885855</v>
      </c>
      <c r="AI199" s="57">
        <f t="shared" si="42"/>
        <v>-251315.7272727266</v>
      </c>
      <c r="AJ199" s="41">
        <f t="shared" si="41"/>
        <v>-5.714843846894033E-3</v>
      </c>
      <c r="AK199" s="105"/>
      <c r="AV199" s="109">
        <f>Table5[[#This Row],[Total Selling Comission/Sales (Weekly)]]/Table5[[#This Row],[Total Revenue Sharing % (Weekly)]]*100%</f>
        <v>0.42441552648701308</v>
      </c>
      <c r="AW199" s="109">
        <f>Table5[[#This Row],[Total Daily Incentive (Weekly)]]/Table5[[#This Row],[Total Revenue Sharing % (Weekly)]]*100%</f>
        <v>0.30216021392300124</v>
      </c>
      <c r="AX199" s="109">
        <f>(N199+O199)/Z199*100%</f>
        <v>0.72657574041001427</v>
      </c>
    </row>
    <row r="200" spans="1:50" hidden="1">
      <c r="A200">
        <v>2025</v>
      </c>
      <c r="B200" t="s">
        <v>23</v>
      </c>
      <c r="C200" t="s">
        <v>172</v>
      </c>
      <c r="D200" t="s">
        <v>168</v>
      </c>
      <c r="E200" s="41" t="s">
        <v>28</v>
      </c>
      <c r="F200" s="41" t="s">
        <v>31</v>
      </c>
      <c r="G200" s="54">
        <v>14</v>
      </c>
      <c r="H200" s="54" t="s">
        <v>159</v>
      </c>
      <c r="I200" s="54" t="s">
        <v>275</v>
      </c>
      <c r="J200" s="54" t="s">
        <v>350</v>
      </c>
      <c r="K200">
        <v>19</v>
      </c>
      <c r="L200">
        <f>3205+1151</f>
        <v>4356</v>
      </c>
      <c r="M200" s="54">
        <f>29066000+10460000</f>
        <v>39526000</v>
      </c>
      <c r="N200" s="16">
        <f>6/11*8600000</f>
        <v>4690909.0909090908</v>
      </c>
      <c r="O200" s="16">
        <f>6/11*5575000</f>
        <v>3040909.0909090908</v>
      </c>
      <c r="P200" s="16">
        <v>0</v>
      </c>
      <c r="Q200" s="16"/>
      <c r="R200" s="16">
        <v>0</v>
      </c>
      <c r="S200" s="16"/>
      <c r="T200" s="16">
        <f t="shared" si="37"/>
        <v>7731818.1818181816</v>
      </c>
      <c r="U200" s="16">
        <v>0</v>
      </c>
      <c r="V200" s="112">
        <f>6/11*7105000</f>
        <v>3875454.5454545449</v>
      </c>
      <c r="W200" s="111">
        <v>0</v>
      </c>
      <c r="X200" s="16">
        <f>6/11*411871</f>
        <v>224656.90909090909</v>
      </c>
      <c r="Y200" s="16">
        <f t="shared" si="38"/>
        <v>4100111.4545454541</v>
      </c>
      <c r="Z200" s="16">
        <f>23%*M200</f>
        <v>9090980</v>
      </c>
      <c r="AA200" s="16">
        <f>6/11*3942000</f>
        <v>2150181.8181818179</v>
      </c>
      <c r="AB200" s="48">
        <f>6/31*12978581</f>
        <v>2511983.4193548388</v>
      </c>
      <c r="AC200" s="76"/>
      <c r="AD200">
        <v>0</v>
      </c>
      <c r="AE200">
        <f t="shared" si="39"/>
        <v>13753145.237536658</v>
      </c>
      <c r="AF200" s="12">
        <f t="shared" si="40"/>
        <v>1921215.6011730209</v>
      </c>
      <c r="AG20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1134504.9090909092</v>
      </c>
      <c r="AH200" s="13">
        <f>IFERROR(AG200/(Z200+Table5[[#This Row],[Rider Penalty (Claim, Other Denda to Riders)]]),0)</f>
        <v>0.12479456660238052</v>
      </c>
      <c r="AI200" s="12">
        <f t="shared" si="42"/>
        <v>786710.69208211172</v>
      </c>
      <c r="AJ200">
        <f t="shared" si="41"/>
        <v>0.16874363133851197</v>
      </c>
      <c r="AK200" s="105" t="s">
        <v>351</v>
      </c>
      <c r="AV200" s="109">
        <f>Table5[[#This Row],[Total Selling Comission/Sales (Weekly)]]/Table5[[#This Row],[Total Revenue Sharing % (Weekly)]]*100%</f>
        <v>0.51599597523139318</v>
      </c>
      <c r="AW200" s="109">
        <f>Table5[[#This Row],[Total Daily Incentive (Weekly)]]/Table5[[#This Row],[Total Revenue Sharing % (Weekly)]]*100%</f>
        <v>0.3344973909203508</v>
      </c>
      <c r="AX200" s="109">
        <f>(N200+O200)/Z200*100%</f>
        <v>0.85049336615174398</v>
      </c>
    </row>
    <row r="201" spans="1:50" hidden="1">
      <c r="A201">
        <v>2025</v>
      </c>
      <c r="B201" t="s">
        <v>23</v>
      </c>
      <c r="C201" t="s">
        <v>172</v>
      </c>
      <c r="D201" t="s">
        <v>168</v>
      </c>
      <c r="E201" s="41" t="s">
        <v>28</v>
      </c>
      <c r="F201" s="41" t="s">
        <v>31</v>
      </c>
      <c r="G201" s="54">
        <v>14</v>
      </c>
      <c r="H201" s="54" t="s">
        <v>160</v>
      </c>
      <c r="I201" s="54" t="s">
        <v>275</v>
      </c>
      <c r="J201" s="58" t="s">
        <v>192</v>
      </c>
      <c r="K201" s="41">
        <v>18</v>
      </c>
      <c r="L201" s="41">
        <v>424</v>
      </c>
      <c r="M201" s="54">
        <v>37946000</v>
      </c>
      <c r="N201" s="16">
        <f>5/11*8600000</f>
        <v>3909090.9090909092</v>
      </c>
      <c r="O201" s="16">
        <f>5/11*5575000</f>
        <v>2534090.9090909092</v>
      </c>
      <c r="P201" s="54">
        <v>0</v>
      </c>
      <c r="Q201" s="54"/>
      <c r="R201" s="54">
        <v>0</v>
      </c>
      <c r="S201" s="54"/>
      <c r="T201" s="57">
        <f t="shared" si="37"/>
        <v>6443181.8181818184</v>
      </c>
      <c r="U201" s="54">
        <v>0</v>
      </c>
      <c r="V201" s="14">
        <f>5/11*7105000</f>
        <v>3229545.4545454546</v>
      </c>
      <c r="W201" s="111">
        <v>0</v>
      </c>
      <c r="X201" s="16">
        <f>5/11*411871</f>
        <v>187214.09090909091</v>
      </c>
      <c r="Y201" s="57">
        <f t="shared" si="38"/>
        <v>3416759.5454545454</v>
      </c>
      <c r="Z201" s="54">
        <f>23%*M201</f>
        <v>8727580</v>
      </c>
      <c r="AA201" s="16">
        <f>5/11*3942000</f>
        <v>1791818.1818181816</v>
      </c>
      <c r="AB201" s="16">
        <f>5/30*11165419</f>
        <v>1860903.1666666665</v>
      </c>
      <c r="AC201" s="16"/>
      <c r="AD201" s="41">
        <v>0</v>
      </c>
      <c r="AE201" s="41">
        <f t="shared" si="39"/>
        <v>12380301.348484848</v>
      </c>
      <c r="AF201" s="57">
        <f t="shared" si="40"/>
        <v>2520359.9848484844</v>
      </c>
      <c r="AG20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2097184.0909090908</v>
      </c>
      <c r="AH201" s="59">
        <f>IFERROR(AG201/(Z201+Table5[[#This Row],[Rider Penalty (Claim, Other Denda to Riders)]]),0)</f>
        <v>0.24029388340285518</v>
      </c>
      <c r="AI201" s="57">
        <f t="shared" si="42"/>
        <v>423175.89393939357</v>
      </c>
      <c r="AJ201" s="41">
        <f t="shared" si="41"/>
        <v>0.11585222456537159</v>
      </c>
      <c r="AK201" s="105"/>
      <c r="AV201" s="109">
        <f>Table5[[#This Row],[Total Selling Comission/Sales (Weekly)]]/Table5[[#This Row],[Total Revenue Sharing % (Weekly)]]*100%</f>
        <v>0.44790089682259104</v>
      </c>
      <c r="AW201" s="109">
        <f>Table5[[#This Row],[Total Daily Incentive (Weekly)]]/Table5[[#This Row],[Total Revenue Sharing % (Weekly)]]*100%</f>
        <v>0.29035436044022617</v>
      </c>
      <c r="AX201" s="109">
        <f>(N201+O201)/Z201*100%</f>
        <v>0.73825525726281727</v>
      </c>
    </row>
    <row r="202" spans="1:50" hidden="1">
      <c r="A202" s="41">
        <v>2025</v>
      </c>
      <c r="B202" s="41" t="s">
        <v>27</v>
      </c>
      <c r="C202" s="41" t="s">
        <v>27</v>
      </c>
      <c r="D202" s="41" t="s">
        <v>169</v>
      </c>
      <c r="E202" s="41" t="s">
        <v>28</v>
      </c>
      <c r="F202" s="48" t="s">
        <v>28</v>
      </c>
      <c r="G202" s="54">
        <v>14</v>
      </c>
      <c r="H202" s="54" t="s">
        <v>160</v>
      </c>
      <c r="I202" s="54" t="s">
        <v>275</v>
      </c>
      <c r="J202" s="54" t="s">
        <v>195</v>
      </c>
      <c r="K202" s="41">
        <v>5</v>
      </c>
      <c r="L202" s="41">
        <v>278</v>
      </c>
      <c r="M202" s="54">
        <v>2980000</v>
      </c>
      <c r="N202" s="54">
        <v>278000</v>
      </c>
      <c r="O202" s="54">
        <v>600000</v>
      </c>
      <c r="P202" s="54">
        <v>0</v>
      </c>
      <c r="Q202" s="54"/>
      <c r="R202" s="54">
        <v>0</v>
      </c>
      <c r="S202" s="54"/>
      <c r="T202" s="54">
        <f t="shared" si="37"/>
        <v>878000</v>
      </c>
      <c r="U202" s="54">
        <v>0</v>
      </c>
      <c r="V202" s="110">
        <v>1925000</v>
      </c>
      <c r="W202" s="111">
        <v>0</v>
      </c>
      <c r="X202" s="41">
        <v>0</v>
      </c>
      <c r="Y202" s="57">
        <f t="shared" si="38"/>
        <v>1925000</v>
      </c>
      <c r="Z202" s="57">
        <f>30%*M202</f>
        <v>894000</v>
      </c>
      <c r="AA202" s="41">
        <v>300000</v>
      </c>
      <c r="AB202" s="41">
        <v>0</v>
      </c>
      <c r="AC202" s="41"/>
      <c r="AD202" s="41"/>
      <c r="AE202" s="41">
        <f t="shared" si="39"/>
        <v>1194000</v>
      </c>
      <c r="AF202" s="57">
        <f t="shared" si="40"/>
        <v>-1609000</v>
      </c>
      <c r="AG20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16000</v>
      </c>
      <c r="AH202" s="59">
        <f>IFERROR(AG202/(Z202+Table5[[#This Row],[Rider Penalty (Claim, Other Denda to Riders)]]),0)</f>
        <v>1.7897091722595078E-2</v>
      </c>
      <c r="AI202" s="57">
        <f t="shared" si="42"/>
        <v>-1625000</v>
      </c>
      <c r="AJ202" s="41">
        <f t="shared" si="41"/>
        <v>-5.416666666666667</v>
      </c>
      <c r="AK202" s="105" t="s">
        <v>351</v>
      </c>
      <c r="AV202" s="109"/>
      <c r="AW202" s="109"/>
      <c r="AX202" s="109"/>
    </row>
    <row r="203" spans="1:50" hidden="1">
      <c r="A203" s="41">
        <v>2025</v>
      </c>
      <c r="B203" s="41" t="s">
        <v>29</v>
      </c>
      <c r="C203" s="41" t="s">
        <v>29</v>
      </c>
      <c r="D203" s="41" t="s">
        <v>169</v>
      </c>
      <c r="E203" s="41" t="s">
        <v>28</v>
      </c>
      <c r="F203" s="41" t="s">
        <v>28</v>
      </c>
      <c r="G203" s="54">
        <v>14</v>
      </c>
      <c r="H203" s="54" t="s">
        <v>160</v>
      </c>
      <c r="I203" s="54" t="s">
        <v>275</v>
      </c>
      <c r="J203" s="54" t="s">
        <v>195</v>
      </c>
      <c r="K203">
        <v>2</v>
      </c>
      <c r="L203">
        <v>62</v>
      </c>
      <c r="M203" s="16">
        <v>566000</v>
      </c>
      <c r="N203" s="16">
        <v>62000</v>
      </c>
      <c r="O203" s="16">
        <v>100000</v>
      </c>
      <c r="P203" s="16">
        <v>0</v>
      </c>
      <c r="Q203" s="16"/>
      <c r="R203" s="16">
        <v>0</v>
      </c>
      <c r="S203" s="16"/>
      <c r="T203" s="16">
        <f t="shared" si="37"/>
        <v>162000</v>
      </c>
      <c r="U203" s="16">
        <v>0</v>
      </c>
      <c r="V203" s="112">
        <v>770000</v>
      </c>
      <c r="W203" s="111">
        <v>0</v>
      </c>
      <c r="X203">
        <v>0</v>
      </c>
      <c r="Y203" s="12">
        <f t="shared" si="38"/>
        <v>770000</v>
      </c>
      <c r="Z203" s="12">
        <f>30%*M203</f>
        <v>169800</v>
      </c>
      <c r="AA203">
        <v>40000</v>
      </c>
      <c r="AB203">
        <v>0</v>
      </c>
      <c r="AE203">
        <f t="shared" si="39"/>
        <v>209800</v>
      </c>
      <c r="AF203" s="12">
        <f t="shared" si="40"/>
        <v>-722200</v>
      </c>
      <c r="AG20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7800</v>
      </c>
      <c r="AH203" s="13">
        <f>IFERROR(AG203/(Z203+Table5[[#This Row],[Rider Penalty (Claim, Other Denda to Riders)]]),0)</f>
        <v>4.5936395759717315E-2</v>
      </c>
      <c r="AI203" s="12">
        <f t="shared" si="42"/>
        <v>-730000</v>
      </c>
      <c r="AJ203">
        <f t="shared" si="41"/>
        <v>-18.25</v>
      </c>
      <c r="AK203" s="105" t="s">
        <v>351</v>
      </c>
      <c r="AV203" s="109"/>
      <c r="AW203" s="109"/>
      <c r="AX203" s="109"/>
    </row>
    <row r="204" spans="1:50" hidden="1">
      <c r="A204" s="41">
        <v>2025</v>
      </c>
      <c r="B204" s="41" t="s">
        <v>171</v>
      </c>
      <c r="C204" s="41" t="s">
        <v>171</v>
      </c>
      <c r="D204" s="41" t="s">
        <v>168</v>
      </c>
      <c r="E204" s="41" t="s">
        <v>28</v>
      </c>
      <c r="F204" s="41" t="s">
        <v>28</v>
      </c>
      <c r="G204" s="54">
        <v>14</v>
      </c>
      <c r="H204" s="54" t="s">
        <v>160</v>
      </c>
      <c r="I204" s="54" t="s">
        <v>275</v>
      </c>
      <c r="J204" s="54" t="s">
        <v>195</v>
      </c>
      <c r="K204">
        <v>7</v>
      </c>
      <c r="L204">
        <v>151</v>
      </c>
      <c r="M204" s="16">
        <v>767000</v>
      </c>
      <c r="N204" s="16">
        <v>73900</v>
      </c>
      <c r="O204" s="16">
        <v>275000</v>
      </c>
      <c r="P204" s="16">
        <v>0</v>
      </c>
      <c r="Q204" s="16"/>
      <c r="R204" s="16">
        <v>0</v>
      </c>
      <c r="S204" s="16"/>
      <c r="T204" s="16">
        <f t="shared" ref="T204:T235" si="43">SUM(N204:R204)</f>
        <v>348900</v>
      </c>
      <c r="U204" s="16">
        <v>0</v>
      </c>
      <c r="V204" s="112">
        <v>770000</v>
      </c>
      <c r="W204" s="111">
        <v>0</v>
      </c>
      <c r="X204">
        <v>0</v>
      </c>
      <c r="Y204" s="12">
        <f t="shared" ref="Y204:Y235" si="44">SUM(U204:X204)</f>
        <v>770000</v>
      </c>
      <c r="Z204" s="12">
        <f>30%*M204</f>
        <v>230100</v>
      </c>
      <c r="AA204">
        <v>110000</v>
      </c>
      <c r="AB204">
        <v>0</v>
      </c>
      <c r="AE204">
        <f t="shared" si="39"/>
        <v>340100</v>
      </c>
      <c r="AF204" s="12">
        <f t="shared" si="40"/>
        <v>-778800</v>
      </c>
      <c r="AG20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-118800</v>
      </c>
      <c r="AH204" s="13">
        <f>IFERROR(AG204/(Z204+Table5[[#This Row],[Rider Penalty (Claim, Other Denda to Riders)]]),0)</f>
        <v>-0.51629726205997395</v>
      </c>
      <c r="AI204" s="12">
        <f t="shared" si="42"/>
        <v>-660000</v>
      </c>
      <c r="AJ204">
        <f t="shared" si="41"/>
        <v>-6</v>
      </c>
      <c r="AK204" s="105" t="s">
        <v>351</v>
      </c>
      <c r="AV204" s="109"/>
      <c r="AW204" s="109"/>
      <c r="AX204" s="109"/>
    </row>
    <row r="205" spans="1:50" hidden="1">
      <c r="A205" s="41">
        <v>2025</v>
      </c>
      <c r="B205" s="41" t="s">
        <v>201</v>
      </c>
      <c r="C205" s="41" t="s">
        <v>201</v>
      </c>
      <c r="D205" s="41" t="s">
        <v>169</v>
      </c>
      <c r="E205" s="41" t="s">
        <v>28</v>
      </c>
      <c r="F205" s="41" t="s">
        <v>28</v>
      </c>
      <c r="G205" s="54">
        <v>14</v>
      </c>
      <c r="H205" s="54" t="s">
        <v>160</v>
      </c>
      <c r="I205" s="54" t="s">
        <v>275</v>
      </c>
      <c r="J205" s="54" t="s">
        <v>195</v>
      </c>
      <c r="K205">
        <v>1</v>
      </c>
      <c r="L205">
        <v>25</v>
      </c>
      <c r="M205" s="16">
        <v>300000</v>
      </c>
      <c r="N205" s="16">
        <v>25000</v>
      </c>
      <c r="O205" s="16">
        <v>75000</v>
      </c>
      <c r="P205" s="16">
        <v>0</v>
      </c>
      <c r="Q205" s="16"/>
      <c r="R205" s="16">
        <v>0</v>
      </c>
      <c r="S205" s="16"/>
      <c r="T205" s="16">
        <f t="shared" si="43"/>
        <v>100000</v>
      </c>
      <c r="U205" s="16">
        <v>0</v>
      </c>
      <c r="V205" s="112">
        <v>385000</v>
      </c>
      <c r="W205" s="111">
        <v>0</v>
      </c>
      <c r="X205">
        <v>0</v>
      </c>
      <c r="Y205" s="12">
        <f t="shared" si="44"/>
        <v>385000</v>
      </c>
      <c r="Z205" s="12">
        <f>30%*M205</f>
        <v>90000</v>
      </c>
      <c r="AA205">
        <v>30000</v>
      </c>
      <c r="AB205">
        <v>0</v>
      </c>
      <c r="AE205">
        <f t="shared" si="39"/>
        <v>120000</v>
      </c>
      <c r="AF205" s="12">
        <f t="shared" si="40"/>
        <v>-365000</v>
      </c>
      <c r="AG20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-10000</v>
      </c>
      <c r="AH205" s="13">
        <f>IFERROR(AG205/(Z205+Table5[[#This Row],[Rider Penalty (Claim, Other Denda to Riders)]]),0)</f>
        <v>-0.1111111111111111</v>
      </c>
      <c r="AI205" s="12">
        <f t="shared" si="42"/>
        <v>-355000</v>
      </c>
      <c r="AJ205">
        <f t="shared" si="41"/>
        <v>-11.833333333333334</v>
      </c>
      <c r="AK205" s="105" t="s">
        <v>351</v>
      </c>
      <c r="AV205" s="109"/>
      <c r="AW205" s="109"/>
      <c r="AX205" s="109"/>
    </row>
    <row r="206" spans="1:50" hidden="1">
      <c r="A206" s="41">
        <v>2025</v>
      </c>
      <c r="B206" s="41" t="s">
        <v>175</v>
      </c>
      <c r="C206" s="41" t="s">
        <v>175</v>
      </c>
      <c r="D206" s="41" t="s">
        <v>169</v>
      </c>
      <c r="E206" s="41" t="s">
        <v>28</v>
      </c>
      <c r="F206" s="41" t="s">
        <v>28</v>
      </c>
      <c r="G206" s="54">
        <v>14</v>
      </c>
      <c r="H206" s="54" t="s">
        <v>160</v>
      </c>
      <c r="I206" s="54" t="s">
        <v>275</v>
      </c>
      <c r="J206" s="54" t="s">
        <v>195</v>
      </c>
      <c r="K206">
        <v>3</v>
      </c>
      <c r="L206">
        <v>82</v>
      </c>
      <c r="M206" s="16">
        <v>539000</v>
      </c>
      <c r="N206" s="16">
        <v>82000</v>
      </c>
      <c r="O206" s="16">
        <v>125000</v>
      </c>
      <c r="P206" s="16">
        <v>0</v>
      </c>
      <c r="Q206" s="16"/>
      <c r="R206" s="16">
        <v>0</v>
      </c>
      <c r="S206" s="16"/>
      <c r="T206" s="16">
        <f t="shared" si="43"/>
        <v>207000</v>
      </c>
      <c r="U206" s="16">
        <v>0</v>
      </c>
      <c r="V206" s="112">
        <v>1155000</v>
      </c>
      <c r="W206" s="111">
        <v>0</v>
      </c>
      <c r="X206">
        <v>0</v>
      </c>
      <c r="Y206" s="12">
        <f t="shared" si="44"/>
        <v>1155000</v>
      </c>
      <c r="Z206" s="57">
        <f>29%*M206</f>
        <v>156310</v>
      </c>
      <c r="AA206">
        <v>50000</v>
      </c>
      <c r="AB206">
        <v>0</v>
      </c>
      <c r="AE206">
        <f t="shared" si="39"/>
        <v>206310</v>
      </c>
      <c r="AF206" s="12">
        <f t="shared" si="40"/>
        <v>-1155690</v>
      </c>
      <c r="AG20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-50690</v>
      </c>
      <c r="AH206" s="13">
        <f>IFERROR(AG206/(Z206+Table5[[#This Row],[Rider Penalty (Claim, Other Denda to Riders)]]),0)</f>
        <v>-0.32429147207472331</v>
      </c>
      <c r="AI206" s="12">
        <f t="shared" ref="AI206:AI237" si="45">AA206+AB206-V206</f>
        <v>-1105000</v>
      </c>
      <c r="AJ206">
        <f t="shared" si="41"/>
        <v>-22.1</v>
      </c>
      <c r="AK206" s="105" t="s">
        <v>351</v>
      </c>
      <c r="AV206" s="109"/>
      <c r="AW206" s="109"/>
      <c r="AX206" s="109"/>
    </row>
    <row r="207" spans="1:50" hidden="1">
      <c r="A207" s="41">
        <v>2025</v>
      </c>
      <c r="B207" s="41" t="s">
        <v>199</v>
      </c>
      <c r="C207" s="41" t="s">
        <v>199</v>
      </c>
      <c r="D207" s="41" t="s">
        <v>169</v>
      </c>
      <c r="E207" s="41" t="s">
        <v>28</v>
      </c>
      <c r="F207" s="41" t="s">
        <v>28</v>
      </c>
      <c r="G207" s="54">
        <v>14</v>
      </c>
      <c r="H207" s="54" t="s">
        <v>160</v>
      </c>
      <c r="I207" s="54" t="s">
        <v>275</v>
      </c>
      <c r="J207" s="54" t="s">
        <v>195</v>
      </c>
      <c r="K207">
        <v>2</v>
      </c>
      <c r="L207">
        <v>23</v>
      </c>
      <c r="M207" s="16">
        <v>256000</v>
      </c>
      <c r="N207" s="41">
        <v>23000</v>
      </c>
      <c r="O207" s="16">
        <v>75000</v>
      </c>
      <c r="P207" s="16">
        <v>0</v>
      </c>
      <c r="Q207" s="16"/>
      <c r="R207" s="16">
        <v>0</v>
      </c>
      <c r="S207" s="16"/>
      <c r="T207" s="16">
        <f t="shared" si="43"/>
        <v>98000</v>
      </c>
      <c r="U207" s="16">
        <v>0</v>
      </c>
      <c r="V207" s="112">
        <v>770000</v>
      </c>
      <c r="W207" s="111">
        <v>0</v>
      </c>
      <c r="X207">
        <v>0</v>
      </c>
      <c r="Y207" s="12">
        <f t="shared" si="44"/>
        <v>770000</v>
      </c>
      <c r="Z207" s="12">
        <f>23%*M207</f>
        <v>58880</v>
      </c>
      <c r="AA207">
        <v>30000</v>
      </c>
      <c r="AB207">
        <v>0</v>
      </c>
      <c r="AE207">
        <f t="shared" si="39"/>
        <v>88880</v>
      </c>
      <c r="AF207" s="12">
        <f t="shared" si="40"/>
        <v>-779120</v>
      </c>
      <c r="AG20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-39120</v>
      </c>
      <c r="AH207" s="13">
        <f>IFERROR(AG207/(Z207+Table5[[#This Row],[Rider Penalty (Claim, Other Denda to Riders)]]),0)</f>
        <v>-0.66440217391304346</v>
      </c>
      <c r="AI207" s="12">
        <f t="shared" si="45"/>
        <v>-740000</v>
      </c>
      <c r="AJ207">
        <f t="shared" si="41"/>
        <v>-24.666666666666668</v>
      </c>
      <c r="AK207" s="105" t="s">
        <v>351</v>
      </c>
      <c r="AV207" s="109"/>
      <c r="AW207" s="109"/>
      <c r="AX207" s="109"/>
    </row>
    <row r="208" spans="1:50" hidden="1">
      <c r="A208" s="41">
        <v>2025</v>
      </c>
      <c r="B208" s="54" t="s">
        <v>23</v>
      </c>
      <c r="C208" s="54" t="s">
        <v>23</v>
      </c>
      <c r="D208" s="54" t="s">
        <v>168</v>
      </c>
      <c r="E208" s="41" t="s">
        <v>28</v>
      </c>
      <c r="F208" s="41" t="s">
        <v>25</v>
      </c>
      <c r="G208" s="41">
        <v>15</v>
      </c>
      <c r="H208" s="54" t="s">
        <v>160</v>
      </c>
      <c r="I208" s="54" t="s">
        <v>256</v>
      </c>
      <c r="J208" s="41" t="s">
        <v>198</v>
      </c>
      <c r="K208" s="41">
        <v>242</v>
      </c>
      <c r="L208" s="54">
        <v>74419</v>
      </c>
      <c r="M208" s="54">
        <v>652814000</v>
      </c>
      <c r="N208" s="54">
        <v>74390000</v>
      </c>
      <c r="O208" s="54">
        <v>54450000</v>
      </c>
      <c r="P208" s="54">
        <v>0</v>
      </c>
      <c r="Q208" s="54"/>
      <c r="R208" s="54">
        <v>0</v>
      </c>
      <c r="S208" s="54"/>
      <c r="T208" s="54">
        <f t="shared" si="43"/>
        <v>128840000</v>
      </c>
      <c r="U208" s="54">
        <v>700000</v>
      </c>
      <c r="V208" s="110">
        <v>56420000</v>
      </c>
      <c r="W208" s="111">
        <v>0</v>
      </c>
      <c r="X208" s="54">
        <v>295129</v>
      </c>
      <c r="Y208" s="54">
        <f t="shared" si="44"/>
        <v>57415129</v>
      </c>
      <c r="Z208" s="54">
        <f>23%*M208</f>
        <v>150147220</v>
      </c>
      <c r="AA208" s="54">
        <f>7/30*131927871</f>
        <v>30783169.900000002</v>
      </c>
      <c r="AB208" s="54">
        <f>7/30*131927871</f>
        <v>30783169.900000002</v>
      </c>
      <c r="AC208" s="54"/>
      <c r="AD208" s="41"/>
      <c r="AE208" s="41">
        <f t="shared" si="39"/>
        <v>211713559.80000001</v>
      </c>
      <c r="AF208" s="57">
        <f t="shared" si="40"/>
        <v>25458430.800000012</v>
      </c>
      <c r="AG20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20312091</v>
      </c>
      <c r="AH208" s="59">
        <f>IFERROR(AG208/(Z208+Table5[[#This Row],[Rider Penalty (Claim, Other Denda to Riders)]]),0)</f>
        <v>0.13528116604489912</v>
      </c>
      <c r="AI208" s="57">
        <f t="shared" si="45"/>
        <v>5146339.8000000045</v>
      </c>
      <c r="AJ208" s="41">
        <f t="shared" si="41"/>
        <v>8.3590153592336902E-2</v>
      </c>
      <c r="AK208" s="88" t="s">
        <v>352</v>
      </c>
      <c r="AV208" s="109">
        <f>Table5[[#This Row],[Total Selling Comission/Sales (Weekly)]]/Table5[[#This Row],[Total Revenue Sharing % (Weekly)]]*100%</f>
        <v>0.49544706855045334</v>
      </c>
      <c r="AW208" s="109">
        <f>Table5[[#This Row],[Total Daily Incentive (Weekly)]]/Table5[[#This Row],[Total Revenue Sharing % (Weekly)]]*100%</f>
        <v>0.36264407692663242</v>
      </c>
      <c r="AX208" s="109">
        <f>(N208+O208)/Z208*100%</f>
        <v>0.85809114547708576</v>
      </c>
    </row>
    <row r="209" spans="1:50" hidden="1">
      <c r="A209">
        <v>2025</v>
      </c>
      <c r="B209" t="s">
        <v>23</v>
      </c>
      <c r="C209" t="s">
        <v>172</v>
      </c>
      <c r="D209" t="s">
        <v>168</v>
      </c>
      <c r="E209" s="41" t="s">
        <v>28</v>
      </c>
      <c r="F209" s="41" t="s">
        <v>31</v>
      </c>
      <c r="G209" s="41">
        <v>15</v>
      </c>
      <c r="H209" s="54" t="s">
        <v>160</v>
      </c>
      <c r="I209" s="54" t="s">
        <v>256</v>
      </c>
      <c r="J209" s="41" t="s">
        <v>198</v>
      </c>
      <c r="K209">
        <v>21</v>
      </c>
      <c r="L209" s="16">
        <v>5793</v>
      </c>
      <c r="M209" s="16">
        <v>51112000</v>
      </c>
      <c r="N209" s="16">
        <v>5793000</v>
      </c>
      <c r="O209" s="16">
        <v>4325000</v>
      </c>
      <c r="P209" s="16">
        <v>0</v>
      </c>
      <c r="Q209" s="16"/>
      <c r="R209" s="16">
        <v>0</v>
      </c>
      <c r="S209" s="16"/>
      <c r="T209" s="16">
        <f t="shared" si="43"/>
        <v>10118000</v>
      </c>
      <c r="U209" s="16">
        <v>0</v>
      </c>
      <c r="V209" s="112">
        <v>4235000</v>
      </c>
      <c r="W209" s="111">
        <v>0</v>
      </c>
      <c r="X209" s="16">
        <v>411871</v>
      </c>
      <c r="Y209" s="16">
        <f t="shared" si="44"/>
        <v>4646871</v>
      </c>
      <c r="Z209" s="16">
        <f>23%*M209</f>
        <v>11755760</v>
      </c>
      <c r="AA209" s="16">
        <v>2178000</v>
      </c>
      <c r="AB209" s="16">
        <f>7/30*11165419</f>
        <v>2605264.4333333336</v>
      </c>
      <c r="AC209" s="16"/>
      <c r="AE209">
        <f t="shared" si="39"/>
        <v>16539024.433333334</v>
      </c>
      <c r="AF209" s="12">
        <f t="shared" si="40"/>
        <v>1774153.4333333336</v>
      </c>
      <c r="AG20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1225889</v>
      </c>
      <c r="AH209" s="13">
        <f>IFERROR(AG209/(Z209+Table5[[#This Row],[Rider Penalty (Claim, Other Denda to Riders)]]),0)</f>
        <v>0.10427985940509163</v>
      </c>
      <c r="AI209" s="12">
        <f t="shared" si="45"/>
        <v>548264.43333333358</v>
      </c>
      <c r="AJ209">
        <f t="shared" si="41"/>
        <v>0.1146213931875939</v>
      </c>
      <c r="AK209" s="88" t="s">
        <v>352</v>
      </c>
      <c r="AV209" s="109">
        <f>Table5[[#This Row],[Total Selling Comission/Sales (Weekly)]]/Table5[[#This Row],[Total Revenue Sharing % (Weekly)]]*100%</f>
        <v>0.49277970969124923</v>
      </c>
      <c r="AW209" s="109">
        <f>Table5[[#This Row],[Total Daily Incentive (Weekly)]]/Table5[[#This Row],[Total Revenue Sharing % (Weekly)]]*100%</f>
        <v>0.36790475477553131</v>
      </c>
      <c r="AX209" s="109">
        <f>(N209+O209)/Z209*100%</f>
        <v>0.86068446446678049</v>
      </c>
    </row>
    <row r="210" spans="1:50" hidden="1">
      <c r="A210" s="41">
        <v>2025</v>
      </c>
      <c r="B210" s="41" t="s">
        <v>27</v>
      </c>
      <c r="C210" s="41" t="s">
        <v>27</v>
      </c>
      <c r="D210" s="41" t="s">
        <v>169</v>
      </c>
      <c r="E210" s="41" t="s">
        <v>28</v>
      </c>
      <c r="F210" s="48" t="s">
        <v>28</v>
      </c>
      <c r="G210" s="41">
        <v>15</v>
      </c>
      <c r="H210" s="54" t="s">
        <v>160</v>
      </c>
      <c r="I210" s="54" t="s">
        <v>256</v>
      </c>
      <c r="J210" s="41" t="s">
        <v>198</v>
      </c>
      <c r="K210" s="41">
        <v>3</v>
      </c>
      <c r="L210" s="54">
        <v>339</v>
      </c>
      <c r="M210" s="54">
        <v>3692000</v>
      </c>
      <c r="N210" s="54">
        <v>339000</v>
      </c>
      <c r="O210" s="54">
        <v>375000</v>
      </c>
      <c r="P210" s="54">
        <v>0</v>
      </c>
      <c r="Q210" s="54"/>
      <c r="R210" s="54">
        <v>0</v>
      </c>
      <c r="S210" s="54"/>
      <c r="T210" s="57">
        <f t="shared" si="43"/>
        <v>714000</v>
      </c>
      <c r="U210" s="54">
        <v>0</v>
      </c>
      <c r="V210" s="110">
        <v>735000</v>
      </c>
      <c r="W210" s="111"/>
      <c r="X210" s="54"/>
      <c r="Y210" s="57">
        <f t="shared" si="44"/>
        <v>735000</v>
      </c>
      <c r="Z210" s="54">
        <f>30%*M210</f>
        <v>1107600</v>
      </c>
      <c r="AA210" s="54">
        <v>210000</v>
      </c>
      <c r="AB210" s="54">
        <v>0</v>
      </c>
      <c r="AC210" s="54"/>
      <c r="AD210" s="41"/>
      <c r="AE210" s="41">
        <f t="shared" si="39"/>
        <v>1317600</v>
      </c>
      <c r="AF210" s="57">
        <f t="shared" si="40"/>
        <v>-131400</v>
      </c>
      <c r="AG21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393600</v>
      </c>
      <c r="AH210" s="59">
        <f>IFERROR(AG210/(Z210+Table5[[#This Row],[Rider Penalty (Claim, Other Denda to Riders)]]),0)</f>
        <v>0.35536294691224268</v>
      </c>
      <c r="AI210" s="57">
        <f t="shared" si="45"/>
        <v>-525000</v>
      </c>
      <c r="AJ210" s="41">
        <f t="shared" si="41"/>
        <v>-2.5</v>
      </c>
      <c r="AK210" s="88" t="s">
        <v>352</v>
      </c>
      <c r="AV210" s="109"/>
      <c r="AW210" s="109"/>
      <c r="AX210" s="109"/>
    </row>
    <row r="211" spans="1:50" hidden="1">
      <c r="A211" s="41">
        <v>2025</v>
      </c>
      <c r="B211" s="41" t="s">
        <v>29</v>
      </c>
      <c r="C211" s="41" t="s">
        <v>29</v>
      </c>
      <c r="D211" s="41" t="s">
        <v>169</v>
      </c>
      <c r="E211" s="41" t="s">
        <v>28</v>
      </c>
      <c r="F211" s="41" t="s">
        <v>28</v>
      </c>
      <c r="G211" s="41">
        <v>15</v>
      </c>
      <c r="H211" s="54" t="s">
        <v>160</v>
      </c>
      <c r="I211" s="54" t="s">
        <v>256</v>
      </c>
      <c r="J211" s="41" t="s">
        <v>198</v>
      </c>
      <c r="K211">
        <v>2</v>
      </c>
      <c r="L211" s="16">
        <v>188</v>
      </c>
      <c r="M211" s="113">
        <v>1746000</v>
      </c>
      <c r="N211" s="16">
        <v>188000</v>
      </c>
      <c r="O211" s="16">
        <v>225000</v>
      </c>
      <c r="P211" s="16">
        <v>0</v>
      </c>
      <c r="Q211" s="16"/>
      <c r="R211" s="16">
        <v>0</v>
      </c>
      <c r="S211" s="16"/>
      <c r="T211" s="12">
        <f t="shared" si="43"/>
        <v>413000</v>
      </c>
      <c r="U211" s="16">
        <v>0</v>
      </c>
      <c r="V211" s="112">
        <v>490000</v>
      </c>
      <c r="W211" s="111">
        <v>0</v>
      </c>
      <c r="X211" s="16">
        <v>0</v>
      </c>
      <c r="Y211" s="12">
        <f t="shared" si="44"/>
        <v>490000</v>
      </c>
      <c r="Z211" s="16">
        <f>30%*M211</f>
        <v>523800</v>
      </c>
      <c r="AA211" s="16">
        <v>140000</v>
      </c>
      <c r="AB211" s="16">
        <v>0</v>
      </c>
      <c r="AC211" s="16"/>
      <c r="AE211">
        <f t="shared" si="39"/>
        <v>663800</v>
      </c>
      <c r="AF211" s="12">
        <f t="shared" si="40"/>
        <v>-239200</v>
      </c>
      <c r="AG21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110800</v>
      </c>
      <c r="AH211" s="13">
        <f>IFERROR(AG211/(Z211+Table5[[#This Row],[Rider Penalty (Claim, Other Denda to Riders)]]),0)</f>
        <v>0.2115311187476136</v>
      </c>
      <c r="AI211" s="12">
        <f t="shared" si="45"/>
        <v>-350000</v>
      </c>
      <c r="AJ211">
        <f t="shared" si="41"/>
        <v>-2.5</v>
      </c>
      <c r="AK211" s="88" t="s">
        <v>352</v>
      </c>
      <c r="AV211" s="109"/>
      <c r="AW211" s="109"/>
      <c r="AX211" s="109"/>
    </row>
    <row r="212" spans="1:50" hidden="1">
      <c r="A212" s="41">
        <v>2025</v>
      </c>
      <c r="B212" s="41" t="s">
        <v>171</v>
      </c>
      <c r="C212" s="41" t="s">
        <v>171</v>
      </c>
      <c r="D212" s="41" t="s">
        <v>168</v>
      </c>
      <c r="E212" s="41" t="s">
        <v>28</v>
      </c>
      <c r="F212" s="41" t="s">
        <v>28</v>
      </c>
      <c r="G212" s="41">
        <v>15</v>
      </c>
      <c r="H212" s="54" t="s">
        <v>160</v>
      </c>
      <c r="I212" s="54" t="s">
        <v>256</v>
      </c>
      <c r="J212" s="41" t="s">
        <v>198</v>
      </c>
      <c r="K212">
        <v>4</v>
      </c>
      <c r="L212" s="114">
        <v>666</v>
      </c>
      <c r="M212" s="113">
        <v>3210000</v>
      </c>
      <c r="N212" s="16">
        <v>300800</v>
      </c>
      <c r="O212" s="16">
        <v>450000</v>
      </c>
      <c r="P212" s="16">
        <v>0</v>
      </c>
      <c r="Q212" s="16"/>
      <c r="R212" s="16">
        <v>0</v>
      </c>
      <c r="S212" s="16"/>
      <c r="T212" s="12">
        <f t="shared" si="43"/>
        <v>750800</v>
      </c>
      <c r="U212" s="16">
        <v>0</v>
      </c>
      <c r="V212" s="112">
        <v>770000</v>
      </c>
      <c r="W212" s="111">
        <v>0</v>
      </c>
      <c r="X212" s="16">
        <v>0</v>
      </c>
      <c r="Y212" s="12">
        <f t="shared" si="44"/>
        <v>770000</v>
      </c>
      <c r="Z212" s="16">
        <f>30%*M212</f>
        <v>963000</v>
      </c>
      <c r="AA212" s="16">
        <v>220000</v>
      </c>
      <c r="AB212" s="16">
        <v>0</v>
      </c>
      <c r="AC212" s="16"/>
      <c r="AE212">
        <f t="shared" si="39"/>
        <v>1183000</v>
      </c>
      <c r="AF212" s="12">
        <f t="shared" si="40"/>
        <v>-337800</v>
      </c>
      <c r="AG21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212200</v>
      </c>
      <c r="AH212" s="13">
        <f>IFERROR(AG212/(Z212+Table5[[#This Row],[Rider Penalty (Claim, Other Denda to Riders)]]),0)</f>
        <v>0.22035306334371754</v>
      </c>
      <c r="AI212" s="12">
        <f t="shared" si="45"/>
        <v>-550000</v>
      </c>
      <c r="AJ212">
        <f t="shared" si="41"/>
        <v>-2.5</v>
      </c>
      <c r="AK212" s="88" t="s">
        <v>352</v>
      </c>
      <c r="AV212" s="109"/>
      <c r="AW212" s="109"/>
      <c r="AX212" s="109"/>
    </row>
    <row r="213" spans="1:50" hidden="1">
      <c r="A213" s="41">
        <v>2025</v>
      </c>
      <c r="B213" s="41" t="s">
        <v>175</v>
      </c>
      <c r="C213" s="41" t="s">
        <v>175</v>
      </c>
      <c r="D213" s="41" t="s">
        <v>169</v>
      </c>
      <c r="E213" s="41" t="s">
        <v>28</v>
      </c>
      <c r="F213" s="41" t="s">
        <v>28</v>
      </c>
      <c r="G213" s="41">
        <v>15</v>
      </c>
      <c r="H213" s="54" t="s">
        <v>160</v>
      </c>
      <c r="I213" s="54" t="s">
        <v>256</v>
      </c>
      <c r="J213" s="41" t="s">
        <v>198</v>
      </c>
      <c r="K213">
        <v>6</v>
      </c>
      <c r="L213" s="114">
        <v>236</v>
      </c>
      <c r="M213" s="113">
        <v>1622000</v>
      </c>
      <c r="N213" s="16">
        <v>243000</v>
      </c>
      <c r="O213" s="16">
        <v>375000</v>
      </c>
      <c r="P213" s="16">
        <v>0</v>
      </c>
      <c r="Q213" s="16"/>
      <c r="R213" s="16">
        <v>0</v>
      </c>
      <c r="S213" s="16"/>
      <c r="T213" s="12">
        <f t="shared" si="43"/>
        <v>618000</v>
      </c>
      <c r="U213" s="16">
        <v>0</v>
      </c>
      <c r="V213" s="113">
        <v>665000</v>
      </c>
      <c r="W213" s="111">
        <v>0</v>
      </c>
      <c r="X213" s="16">
        <v>0</v>
      </c>
      <c r="Y213" s="12">
        <f t="shared" si="44"/>
        <v>665000</v>
      </c>
      <c r="Z213" s="57">
        <f>29%*M213</f>
        <v>470379.99999999994</v>
      </c>
      <c r="AA213" s="16">
        <v>190000</v>
      </c>
      <c r="AB213" s="16">
        <v>0</v>
      </c>
      <c r="AC213" s="16"/>
      <c r="AE213">
        <f t="shared" si="39"/>
        <v>660380</v>
      </c>
      <c r="AF213" s="12">
        <f t="shared" si="40"/>
        <v>-622620</v>
      </c>
      <c r="AG21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-147620.00000000006</v>
      </c>
      <c r="AH213" s="13">
        <f>IFERROR(AG213/(Z213+Table5[[#This Row],[Rider Penalty (Claim, Other Denda to Riders)]]),0)</f>
        <v>-0.31383137038139391</v>
      </c>
      <c r="AI213" s="12">
        <f t="shared" si="45"/>
        <v>-475000</v>
      </c>
      <c r="AJ213">
        <f t="shared" si="41"/>
        <v>-2.5</v>
      </c>
      <c r="AK213" s="88" t="s">
        <v>352</v>
      </c>
      <c r="AV213" s="109"/>
      <c r="AW213" s="109"/>
      <c r="AX213" s="109"/>
    </row>
    <row r="214" spans="1:50" hidden="1">
      <c r="A214" s="41">
        <v>2025</v>
      </c>
      <c r="B214" s="41" t="s">
        <v>199</v>
      </c>
      <c r="C214" s="41" t="s">
        <v>199</v>
      </c>
      <c r="D214" s="41" t="s">
        <v>169</v>
      </c>
      <c r="E214" s="41" t="s">
        <v>28</v>
      </c>
      <c r="F214" s="41" t="s">
        <v>28</v>
      </c>
      <c r="G214" s="41">
        <v>15</v>
      </c>
      <c r="H214" s="54" t="s">
        <v>160</v>
      </c>
      <c r="I214" s="54" t="s">
        <v>256</v>
      </c>
      <c r="J214" s="41" t="s">
        <v>198</v>
      </c>
      <c r="K214">
        <v>3</v>
      </c>
      <c r="L214">
        <v>35</v>
      </c>
      <c r="M214">
        <v>332000</v>
      </c>
      <c r="N214">
        <v>32000</v>
      </c>
      <c r="O214">
        <v>125000</v>
      </c>
      <c r="P214">
        <v>0</v>
      </c>
      <c r="R214">
        <v>0</v>
      </c>
      <c r="T214" s="12">
        <f t="shared" si="43"/>
        <v>157000</v>
      </c>
      <c r="U214">
        <v>0</v>
      </c>
      <c r="V214" s="61">
        <v>210000</v>
      </c>
      <c r="W214" s="86">
        <v>0</v>
      </c>
      <c r="X214">
        <v>0</v>
      </c>
      <c r="Y214" s="12">
        <f t="shared" si="44"/>
        <v>210000</v>
      </c>
      <c r="Z214" s="16">
        <f>30%*M214</f>
        <v>99600</v>
      </c>
      <c r="AA214">
        <v>50000</v>
      </c>
      <c r="AB214">
        <v>0</v>
      </c>
      <c r="AE214">
        <f t="shared" si="39"/>
        <v>149600</v>
      </c>
      <c r="AF214" s="12">
        <f t="shared" si="40"/>
        <v>-217400</v>
      </c>
      <c r="AG21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-57400</v>
      </c>
      <c r="AH214" s="13">
        <f>IFERROR(AG214/(Z214+Table5[[#This Row],[Rider Penalty (Claim, Other Denda to Riders)]]),0)</f>
        <v>-0.57630522088353409</v>
      </c>
      <c r="AI214" s="12">
        <f t="shared" si="45"/>
        <v>-160000</v>
      </c>
      <c r="AJ214">
        <f t="shared" si="41"/>
        <v>-3.2</v>
      </c>
      <c r="AK214" s="88" t="s">
        <v>352</v>
      </c>
      <c r="AV214" s="109"/>
      <c r="AW214" s="109"/>
      <c r="AX214" s="109"/>
    </row>
    <row r="215" spans="1:50" hidden="1">
      <c r="A215" s="41">
        <v>2025</v>
      </c>
      <c r="B215" s="41" t="s">
        <v>23</v>
      </c>
      <c r="C215" s="41" t="s">
        <v>174</v>
      </c>
      <c r="D215" s="41" t="s">
        <v>168</v>
      </c>
      <c r="E215" s="41" t="s">
        <v>24</v>
      </c>
      <c r="F215" s="41" t="s">
        <v>24</v>
      </c>
      <c r="G215" s="54">
        <v>15</v>
      </c>
      <c r="H215" s="54" t="s">
        <v>160</v>
      </c>
      <c r="I215" s="54" t="s">
        <v>275</v>
      </c>
      <c r="J215" s="54" t="s">
        <v>198</v>
      </c>
      <c r="K215" s="41">
        <v>56</v>
      </c>
      <c r="L215" s="41">
        <v>11902</v>
      </c>
      <c r="M215" s="41">
        <v>108600000</v>
      </c>
      <c r="N215" s="41">
        <v>9906400</v>
      </c>
      <c r="O215" s="41">
        <v>16000000</v>
      </c>
      <c r="P215" s="41">
        <v>0</v>
      </c>
      <c r="Q215" s="41"/>
      <c r="R215" s="41">
        <v>0</v>
      </c>
      <c r="S215" s="41"/>
      <c r="T215" s="115">
        <f t="shared" si="43"/>
        <v>25906400</v>
      </c>
      <c r="U215" s="41">
        <v>0</v>
      </c>
      <c r="V215" s="55">
        <v>11200000</v>
      </c>
      <c r="W215" s="61">
        <v>0</v>
      </c>
      <c r="X215" s="41">
        <v>0</v>
      </c>
      <c r="Y215" s="57">
        <f t="shared" si="44"/>
        <v>11200000</v>
      </c>
      <c r="Z215" s="115">
        <f>21%*M215</f>
        <v>22806000</v>
      </c>
      <c r="AA215" s="41">
        <v>7550000</v>
      </c>
      <c r="AB215">
        <f>7/30*15642348</f>
        <v>3649881.2</v>
      </c>
      <c r="AD215" s="41">
        <v>800000</v>
      </c>
      <c r="AE215" s="41">
        <f t="shared" si="39"/>
        <v>34805881.200000003</v>
      </c>
      <c r="AF215" s="57">
        <f t="shared" si="40"/>
        <v>-2300518.799999997</v>
      </c>
      <c r="AG215" s="11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-2300400</v>
      </c>
      <c r="AH215" s="59">
        <f>IFERROR(AG215/(Z215+Table5[[#This Row],[Rider Penalty (Claim, Other Denda to Riders)]]),0)</f>
        <v>-9.7449800898076755E-2</v>
      </c>
      <c r="AI215" s="57">
        <f t="shared" si="45"/>
        <v>-118.80000000074506</v>
      </c>
      <c r="AJ215" s="41">
        <f t="shared" si="41"/>
        <v>-1.0607255369882411E-5</v>
      </c>
      <c r="AV215" s="109">
        <f>Table5[[#This Row],[Total Selling Comission/Sales (Weekly)]]/Table5[[#This Row],[Total Revenue Sharing % (Weekly)]]*100%</f>
        <v>0.4343769183548189</v>
      </c>
      <c r="AW215" s="109">
        <f>Table5[[#This Row],[Total Daily Incentive (Weekly)]]/Table5[[#This Row],[Total Revenue Sharing % (Weekly)]]*100%</f>
        <v>0.70156976234324298</v>
      </c>
      <c r="AX215" s="109">
        <f>(N215+O215)/Z215*100%</f>
        <v>1.1359466806980618</v>
      </c>
    </row>
    <row r="216" spans="1:50" hidden="1">
      <c r="A216">
        <v>2025</v>
      </c>
      <c r="B216" t="s">
        <v>23</v>
      </c>
      <c r="C216" t="s">
        <v>173</v>
      </c>
      <c r="D216" t="s">
        <v>168</v>
      </c>
      <c r="E216" t="s">
        <v>24</v>
      </c>
      <c r="F216" s="76" t="s">
        <v>282</v>
      </c>
      <c r="G216" s="54">
        <v>15</v>
      </c>
      <c r="H216" s="54" t="s">
        <v>160</v>
      </c>
      <c r="I216" s="54" t="s">
        <v>275</v>
      </c>
      <c r="J216" s="54" t="s">
        <v>198</v>
      </c>
      <c r="K216">
        <v>17</v>
      </c>
      <c r="L216">
        <v>3667</v>
      </c>
      <c r="M216">
        <v>33652000</v>
      </c>
      <c r="N216">
        <v>3151200</v>
      </c>
      <c r="O216">
        <v>4200000</v>
      </c>
      <c r="P216">
        <v>0</v>
      </c>
      <c r="R216">
        <v>0</v>
      </c>
      <c r="T216" s="116">
        <f t="shared" si="43"/>
        <v>7351200</v>
      </c>
      <c r="U216">
        <v>0</v>
      </c>
      <c r="V216" s="61">
        <v>2940000</v>
      </c>
      <c r="W216" s="61">
        <v>0</v>
      </c>
      <c r="X216">
        <v>0</v>
      </c>
      <c r="Y216" s="12">
        <f t="shared" si="44"/>
        <v>2940000</v>
      </c>
      <c r="Z216" s="115">
        <f>21%*M216</f>
        <v>7066920</v>
      </c>
      <c r="AA216">
        <v>2075000</v>
      </c>
      <c r="AB216">
        <f>7/30*4985729</f>
        <v>1163336.7666666666</v>
      </c>
      <c r="AD216">
        <v>250000</v>
      </c>
      <c r="AE216">
        <f t="shared" si="39"/>
        <v>10555256.766666666</v>
      </c>
      <c r="AF216" s="12">
        <f t="shared" si="40"/>
        <v>264056.76666666567</v>
      </c>
      <c r="AG21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-34280</v>
      </c>
      <c r="AH216" s="13">
        <f>IFERROR(AG216/(Z216+Table5[[#This Row],[Rider Penalty (Claim, Other Denda to Riders)]]),0)</f>
        <v>-4.6850314066574457E-3</v>
      </c>
      <c r="AI216" s="12">
        <f t="shared" si="45"/>
        <v>298336.7666666666</v>
      </c>
      <c r="AJ216">
        <f t="shared" si="41"/>
        <v>9.2126541543656404E-2</v>
      </c>
      <c r="AV216" s="109">
        <f>Table5[[#This Row],[Total Selling Comission/Sales (Weekly)]]/Table5[[#This Row],[Total Revenue Sharing % (Weekly)]]*100%</f>
        <v>0.44590854290129223</v>
      </c>
      <c r="AW216" s="109">
        <f>Table5[[#This Row],[Total Daily Incentive (Weekly)]]/Table5[[#This Row],[Total Revenue Sharing % (Weekly)]]*100%</f>
        <v>0.59431831689052661</v>
      </c>
      <c r="AX216" s="109">
        <f>(N216+O216)/Z216*100%</f>
        <v>1.0402268597918187</v>
      </c>
    </row>
    <row r="217" spans="1:50" hidden="1">
      <c r="A217" s="41">
        <v>2025</v>
      </c>
      <c r="B217" s="41" t="s">
        <v>170</v>
      </c>
      <c r="C217" s="41" t="s">
        <v>170</v>
      </c>
      <c r="D217" s="41" t="s">
        <v>169</v>
      </c>
      <c r="E217" s="41" t="s">
        <v>24</v>
      </c>
      <c r="F217" s="41" t="s">
        <v>24</v>
      </c>
      <c r="G217" s="54">
        <v>15</v>
      </c>
      <c r="H217" s="54" t="s">
        <v>160</v>
      </c>
      <c r="I217" s="54" t="s">
        <v>275</v>
      </c>
      <c r="J217" s="54" t="s">
        <v>198</v>
      </c>
      <c r="K217">
        <v>7</v>
      </c>
      <c r="L217">
        <v>668</v>
      </c>
      <c r="M217">
        <v>6095000</v>
      </c>
      <c r="N217">
        <v>534400</v>
      </c>
      <c r="O217">
        <v>1750000</v>
      </c>
      <c r="P217">
        <v>0</v>
      </c>
      <c r="R217">
        <v>0</v>
      </c>
      <c r="T217" s="116">
        <f t="shared" si="43"/>
        <v>2284400</v>
      </c>
      <c r="U217">
        <v>0</v>
      </c>
      <c r="V217" s="61">
        <v>1225000</v>
      </c>
      <c r="W217" s="61">
        <v>0</v>
      </c>
      <c r="X217">
        <v>0</v>
      </c>
      <c r="Y217" s="12">
        <f t="shared" si="44"/>
        <v>1225000</v>
      </c>
      <c r="Z217" s="115">
        <f>30%*M217</f>
        <v>1828500</v>
      </c>
      <c r="AA217">
        <v>825000</v>
      </c>
      <c r="AB217">
        <v>0</v>
      </c>
      <c r="AD217">
        <v>200000</v>
      </c>
      <c r="AE217">
        <f t="shared" si="39"/>
        <v>2853500</v>
      </c>
      <c r="AF217" s="12">
        <f t="shared" si="40"/>
        <v>-655900</v>
      </c>
      <c r="AG21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-255900</v>
      </c>
      <c r="AH217" s="13">
        <f>IFERROR(AG217/(Z217+Table5[[#This Row],[Rider Penalty (Claim, Other Denda to Riders)]]),0)</f>
        <v>-0.12615232930736997</v>
      </c>
      <c r="AI217" s="12">
        <f t="shared" si="45"/>
        <v>-400000</v>
      </c>
      <c r="AJ217">
        <f t="shared" si="41"/>
        <v>-0.48484848484848486</v>
      </c>
      <c r="AV217" s="109"/>
      <c r="AW217" s="109"/>
      <c r="AX217" s="109"/>
    </row>
    <row r="218" spans="1:50" hidden="1">
      <c r="A218">
        <v>2024</v>
      </c>
      <c r="B218" t="s">
        <v>23</v>
      </c>
      <c r="C218" t="s">
        <v>23</v>
      </c>
      <c r="D218" t="s">
        <v>168</v>
      </c>
      <c r="E218" t="s">
        <v>28</v>
      </c>
      <c r="F218" t="s">
        <v>25</v>
      </c>
      <c r="H218" t="s">
        <v>163</v>
      </c>
      <c r="I218" t="s">
        <v>275</v>
      </c>
      <c r="J218" t="s">
        <v>353</v>
      </c>
      <c r="K218">
        <v>121</v>
      </c>
      <c r="L218">
        <v>36370</v>
      </c>
      <c r="M218" s="1">
        <v>317268000</v>
      </c>
      <c r="N218" s="1">
        <v>36364000</v>
      </c>
      <c r="O218" s="61">
        <v>26350000</v>
      </c>
      <c r="P218">
        <v>0</v>
      </c>
      <c r="R218">
        <v>0</v>
      </c>
      <c r="T218" s="12">
        <f t="shared" si="43"/>
        <v>62714000</v>
      </c>
      <c r="U218">
        <v>0</v>
      </c>
      <c r="V218" s="61">
        <f>812*33300</f>
        <v>27039600</v>
      </c>
      <c r="W218" s="61">
        <v>0</v>
      </c>
      <c r="X218">
        <v>0</v>
      </c>
      <c r="Y218" s="12">
        <f t="shared" si="44"/>
        <v>27039600</v>
      </c>
      <c r="Z218" s="12">
        <f t="shared" ref="Z218:Z232" si="46">23%*M218</f>
        <v>72971640</v>
      </c>
      <c r="AA218" s="61">
        <v>14616000</v>
      </c>
      <c r="AB218" s="61">
        <v>19488000</v>
      </c>
      <c r="AC218" s="61"/>
      <c r="AE218">
        <f t="shared" si="39"/>
        <v>107075640</v>
      </c>
      <c r="AF218" s="12">
        <f t="shared" si="40"/>
        <v>17322040</v>
      </c>
      <c r="AG21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10257640</v>
      </c>
      <c r="AH218" s="13">
        <f>IFERROR(AG218/(Z218+Table5[[#This Row],[Rider Penalty (Claim, Other Denda to Riders)]]),0)</f>
        <v>0.14057022700873928</v>
      </c>
      <c r="AI218" s="12">
        <f t="shared" si="45"/>
        <v>7064400</v>
      </c>
      <c r="AJ218">
        <f t="shared" si="41"/>
        <v>0.20714285714285716</v>
      </c>
      <c r="AV218" s="109">
        <f>Table5[[#This Row],[Total Selling Comission/Sales (Weekly)]]/Table5[[#This Row],[Total Revenue Sharing % (Weekly)]]*100%</f>
        <v>0.49833058432015509</v>
      </c>
      <c r="AW218" s="109">
        <f>Table5[[#This Row],[Total Daily Incentive (Weekly)]]/Table5[[#This Row],[Total Revenue Sharing % (Weekly)]]*100%</f>
        <v>0.36109918867110563</v>
      </c>
      <c r="AX218" s="109">
        <f t="shared" ref="AX218:AX234" si="47">(N218+O218)/Z218*100%</f>
        <v>0.85942977299126067</v>
      </c>
    </row>
    <row r="219" spans="1:50" hidden="1">
      <c r="A219">
        <v>2024</v>
      </c>
      <c r="B219" t="s">
        <v>23</v>
      </c>
      <c r="C219" t="s">
        <v>23</v>
      </c>
      <c r="D219" t="s">
        <v>168</v>
      </c>
      <c r="E219" t="s">
        <v>28</v>
      </c>
      <c r="F219" t="s">
        <v>25</v>
      </c>
      <c r="H219" t="s">
        <v>162</v>
      </c>
      <c r="I219" t="s">
        <v>279</v>
      </c>
      <c r="J219" t="s">
        <v>354</v>
      </c>
      <c r="K219">
        <v>120</v>
      </c>
      <c r="L219">
        <v>34431</v>
      </c>
      <c r="M219" s="1">
        <v>300720000</v>
      </c>
      <c r="N219" s="1">
        <v>34417000</v>
      </c>
      <c r="O219" s="61">
        <v>32500000</v>
      </c>
      <c r="P219">
        <v>29400000</v>
      </c>
      <c r="R219">
        <v>3600000</v>
      </c>
      <c r="T219" s="12">
        <f t="shared" si="43"/>
        <v>99917000</v>
      </c>
      <c r="U219">
        <v>0</v>
      </c>
      <c r="V219" s="61">
        <f>793*33300</f>
        <v>26406900</v>
      </c>
      <c r="W219" s="61">
        <v>0</v>
      </c>
      <c r="X219">
        <v>0</v>
      </c>
      <c r="Y219" s="12">
        <f t="shared" si="44"/>
        <v>26406900</v>
      </c>
      <c r="Z219" s="12">
        <f t="shared" si="46"/>
        <v>69165600</v>
      </c>
      <c r="AA219" s="61">
        <v>14274000</v>
      </c>
      <c r="AB219" s="61">
        <v>19032000</v>
      </c>
      <c r="AC219" s="61"/>
      <c r="AE219">
        <f t="shared" si="39"/>
        <v>102471600</v>
      </c>
      <c r="AF219" s="12">
        <f t="shared" si="40"/>
        <v>-23852300</v>
      </c>
      <c r="AG21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-30751400</v>
      </c>
      <c r="AH219" s="13">
        <f>IFERROR(AG219/(Z219+Table5[[#This Row],[Rider Penalty (Claim, Other Denda to Riders)]]),0)</f>
        <v>-0.44460541078223859</v>
      </c>
      <c r="AI219" s="12">
        <f t="shared" si="45"/>
        <v>6899100</v>
      </c>
      <c r="AJ219">
        <f t="shared" si="41"/>
        <v>0.20714285714285716</v>
      </c>
      <c r="AV219" s="109">
        <f>Table5[[#This Row],[Total Selling Comission/Sales (Weekly)]]/Table5[[#This Row],[Total Revenue Sharing % (Weekly)]]*100%</f>
        <v>0.49760285459823961</v>
      </c>
      <c r="AW219" s="109">
        <f>Table5[[#This Row],[Total Daily Incentive (Weekly)]]/Table5[[#This Row],[Total Revenue Sharing % (Weekly)]]*100%</f>
        <v>0.46988676451877814</v>
      </c>
      <c r="AX219" s="109">
        <f t="shared" si="47"/>
        <v>0.9674896191170177</v>
      </c>
    </row>
    <row r="220" spans="1:50" hidden="1">
      <c r="A220">
        <v>2024</v>
      </c>
      <c r="B220" t="s">
        <v>23</v>
      </c>
      <c r="C220" t="s">
        <v>23</v>
      </c>
      <c r="D220" t="s">
        <v>168</v>
      </c>
      <c r="E220" t="s">
        <v>28</v>
      </c>
      <c r="F220" t="s">
        <v>25</v>
      </c>
      <c r="H220" t="s">
        <v>162</v>
      </c>
      <c r="I220" t="s">
        <v>278</v>
      </c>
      <c r="J220" t="s">
        <v>355</v>
      </c>
      <c r="K220">
        <v>112</v>
      </c>
      <c r="L220">
        <v>32497</v>
      </c>
      <c r="M220" s="1">
        <v>284556000</v>
      </c>
      <c r="N220" s="1">
        <v>32485000</v>
      </c>
      <c r="O220" s="61">
        <v>31150000</v>
      </c>
      <c r="P220">
        <v>0</v>
      </c>
      <c r="R220">
        <v>0</v>
      </c>
      <c r="T220" s="12">
        <f t="shared" si="43"/>
        <v>63635000</v>
      </c>
      <c r="U220">
        <v>0</v>
      </c>
      <c r="V220" s="61">
        <v>24675300</v>
      </c>
      <c r="W220" s="61">
        <v>0</v>
      </c>
      <c r="X220">
        <v>0</v>
      </c>
      <c r="Y220" s="12">
        <f t="shared" si="44"/>
        <v>24675300</v>
      </c>
      <c r="Z220" s="12">
        <f t="shared" si="46"/>
        <v>65447880</v>
      </c>
      <c r="AA220" s="61">
        <v>13338000</v>
      </c>
      <c r="AB220" s="61">
        <v>17784000</v>
      </c>
      <c r="AC220" s="61"/>
      <c r="AD220">
        <v>0</v>
      </c>
      <c r="AE220">
        <f t="shared" si="39"/>
        <v>96569880</v>
      </c>
      <c r="AF220" s="12">
        <f t="shared" si="40"/>
        <v>8259580</v>
      </c>
      <c r="AG22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1812880</v>
      </c>
      <c r="AH220" s="13">
        <f>IFERROR(AG220/(Z220+Table5[[#This Row],[Rider Penalty (Claim, Other Denda to Riders)]]),0)</f>
        <v>2.7699598520227086E-2</v>
      </c>
      <c r="AI220" s="12">
        <f t="shared" si="45"/>
        <v>6446700</v>
      </c>
      <c r="AJ220">
        <f t="shared" si="41"/>
        <v>0.20714285714285716</v>
      </c>
      <c r="AV220" s="109">
        <f>Table5[[#This Row],[Total Selling Comission/Sales (Weekly)]]/Table5[[#This Row],[Total Revenue Sharing % (Weekly)]]*100%</f>
        <v>0.49634915600016377</v>
      </c>
      <c r="AW220" s="109">
        <f>Table5[[#This Row],[Total Daily Incentive (Weekly)]]/Table5[[#This Row],[Total Revenue Sharing % (Weekly)]]*100%</f>
        <v>0.4759512454796091</v>
      </c>
      <c r="AX220" s="109">
        <f t="shared" si="47"/>
        <v>0.97230040147977292</v>
      </c>
    </row>
    <row r="221" spans="1:50" hidden="1">
      <c r="A221">
        <v>2024</v>
      </c>
      <c r="B221" t="s">
        <v>23</v>
      </c>
      <c r="C221" t="s">
        <v>23</v>
      </c>
      <c r="D221" t="s">
        <v>168</v>
      </c>
      <c r="E221" t="s">
        <v>28</v>
      </c>
      <c r="F221" t="s">
        <v>25</v>
      </c>
      <c r="H221" t="s">
        <v>162</v>
      </c>
      <c r="I221" t="s">
        <v>256</v>
      </c>
      <c r="J221" t="s">
        <v>356</v>
      </c>
      <c r="K221">
        <v>110</v>
      </c>
      <c r="L221">
        <v>28932</v>
      </c>
      <c r="M221" s="1">
        <v>268988000</v>
      </c>
      <c r="N221" s="1">
        <v>28921000</v>
      </c>
      <c r="O221" s="61">
        <v>5250000</v>
      </c>
      <c r="P221">
        <v>0</v>
      </c>
      <c r="R221">
        <v>0</v>
      </c>
      <c r="T221" s="12">
        <f t="shared" si="43"/>
        <v>34171000</v>
      </c>
      <c r="U221">
        <v>0</v>
      </c>
      <c r="V221" s="61">
        <f>574*33300</f>
        <v>19114200</v>
      </c>
      <c r="W221" s="61">
        <v>0</v>
      </c>
      <c r="X221">
        <v>0</v>
      </c>
      <c r="Y221" s="12">
        <f t="shared" si="44"/>
        <v>19114200</v>
      </c>
      <c r="Z221" s="12">
        <f t="shared" si="46"/>
        <v>61867240</v>
      </c>
      <c r="AA221" s="61">
        <v>1872003</v>
      </c>
      <c r="AB221" s="61">
        <f>574*24000</f>
        <v>13776000</v>
      </c>
      <c r="AC221" s="61"/>
      <c r="AD221">
        <v>0</v>
      </c>
      <c r="AE221">
        <f t="shared" si="39"/>
        <v>77515243</v>
      </c>
      <c r="AF221" s="12">
        <f t="shared" si="40"/>
        <v>24230043</v>
      </c>
      <c r="AG22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27696240</v>
      </c>
      <c r="AH221" s="13">
        <f>IFERROR(AG221/(Z221+Table5[[#This Row],[Rider Penalty (Claim, Other Denda to Riders)]]),0)</f>
        <v>0.44767214441762715</v>
      </c>
      <c r="AI221" s="12">
        <f t="shared" si="45"/>
        <v>-3466197</v>
      </c>
      <c r="AJ221">
        <f t="shared" si="41"/>
        <v>-0.22151050201102337</v>
      </c>
      <c r="AV221" s="109">
        <f>Table5[[#This Row],[Total Selling Comission/Sales (Weekly)]]/Table5[[#This Row],[Total Revenue Sharing % (Weekly)]]*100%</f>
        <v>0.46746872819928609</v>
      </c>
      <c r="AW221" s="109">
        <f>Table5[[#This Row],[Total Daily Incentive (Weekly)]]/Table5[[#This Row],[Total Revenue Sharing % (Weekly)]]*100%</f>
        <v>8.4859127383086749E-2</v>
      </c>
      <c r="AX221" s="109">
        <f t="shared" si="47"/>
        <v>0.55232785558237285</v>
      </c>
    </row>
    <row r="222" spans="1:50" hidden="1">
      <c r="A222">
        <v>2024</v>
      </c>
      <c r="B222" t="s">
        <v>23</v>
      </c>
      <c r="C222" t="s">
        <v>23</v>
      </c>
      <c r="D222" t="s">
        <v>168</v>
      </c>
      <c r="E222" t="s">
        <v>28</v>
      </c>
      <c r="F222" t="s">
        <v>25</v>
      </c>
      <c r="H222" t="s">
        <v>162</v>
      </c>
      <c r="I222" t="s">
        <v>275</v>
      </c>
      <c r="J222" t="s">
        <v>357</v>
      </c>
      <c r="K222">
        <v>85</v>
      </c>
      <c r="L222">
        <v>22653</v>
      </c>
      <c r="M222" s="1">
        <v>206375000</v>
      </c>
      <c r="N222" s="1">
        <v>22650500</v>
      </c>
      <c r="O222" s="61">
        <v>22900000</v>
      </c>
      <c r="P222">
        <v>0</v>
      </c>
      <c r="R222">
        <v>0</v>
      </c>
      <c r="T222" s="12">
        <f t="shared" si="43"/>
        <v>45550500</v>
      </c>
      <c r="U222">
        <v>0</v>
      </c>
      <c r="V222" s="61">
        <f>562*33300</f>
        <v>18714600</v>
      </c>
      <c r="W222" s="61">
        <v>0</v>
      </c>
      <c r="X222">
        <v>0</v>
      </c>
      <c r="Y222" s="12">
        <f t="shared" si="44"/>
        <v>18714600</v>
      </c>
      <c r="Z222" s="12">
        <f t="shared" si="46"/>
        <v>47466250</v>
      </c>
      <c r="AA222" s="61">
        <v>9990000</v>
      </c>
      <c r="AB222" s="61">
        <v>13488000</v>
      </c>
      <c r="AC222" s="61"/>
      <c r="AD222">
        <v>0</v>
      </c>
      <c r="AE222">
        <f t="shared" si="39"/>
        <v>70944250</v>
      </c>
      <c r="AF222" s="12">
        <f t="shared" si="40"/>
        <v>6679150</v>
      </c>
      <c r="AG22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1915750</v>
      </c>
      <c r="AH222" s="13">
        <f>IFERROR(AG222/(Z222+Table5[[#This Row],[Rider Penalty (Claim, Other Denda to Riders)]]),0)</f>
        <v>4.0360255971348062E-2</v>
      </c>
      <c r="AI222" s="12">
        <f t="shared" si="45"/>
        <v>4763400</v>
      </c>
      <c r="AJ222">
        <f t="shared" si="41"/>
        <v>0.20288780986455404</v>
      </c>
      <c r="AV222" s="109">
        <f>Table5[[#This Row],[Total Selling Comission/Sales (Weekly)]]/Table5[[#This Row],[Total Revenue Sharing % (Weekly)]]*100%</f>
        <v>0.47719168883153817</v>
      </c>
      <c r="AW222" s="109">
        <f>Table5[[#This Row],[Total Daily Incentive (Weekly)]]/Table5[[#This Row],[Total Revenue Sharing % (Weekly)]]*100%</f>
        <v>0.48244805519711376</v>
      </c>
      <c r="AX222" s="109">
        <f t="shared" si="47"/>
        <v>0.95963974402865193</v>
      </c>
    </row>
    <row r="223" spans="1:50" hidden="1">
      <c r="A223">
        <v>2024</v>
      </c>
      <c r="B223" t="s">
        <v>23</v>
      </c>
      <c r="C223" t="s">
        <v>23</v>
      </c>
      <c r="D223" t="s">
        <v>168</v>
      </c>
      <c r="E223" t="s">
        <v>28</v>
      </c>
      <c r="F223" t="s">
        <v>25</v>
      </c>
      <c r="H223" t="s">
        <v>156</v>
      </c>
      <c r="I223" t="s">
        <v>280</v>
      </c>
      <c r="J223" t="s">
        <v>358</v>
      </c>
      <c r="K223">
        <v>82</v>
      </c>
      <c r="L223">
        <v>19922</v>
      </c>
      <c r="M223">
        <v>174488000</v>
      </c>
      <c r="N223">
        <v>19922000</v>
      </c>
      <c r="O223">
        <v>20500000</v>
      </c>
      <c r="P223">
        <v>11500000</v>
      </c>
      <c r="R223">
        <v>0</v>
      </c>
      <c r="T223" s="12">
        <f t="shared" si="43"/>
        <v>51922000</v>
      </c>
      <c r="U223">
        <v>0</v>
      </c>
      <c r="V223" s="61">
        <f>231*33300</f>
        <v>7692300</v>
      </c>
      <c r="W223" s="61">
        <v>0</v>
      </c>
      <c r="X223">
        <v>0</v>
      </c>
      <c r="Y223" s="12">
        <f t="shared" si="44"/>
        <v>7692300</v>
      </c>
      <c r="Z223" s="12">
        <f t="shared" si="46"/>
        <v>40132240</v>
      </c>
      <c r="AA223">
        <f>231*18000</f>
        <v>4158000</v>
      </c>
      <c r="AB223">
        <f>231*24000</f>
        <v>5544000</v>
      </c>
      <c r="AD223">
        <v>0</v>
      </c>
      <c r="AE223">
        <f t="shared" si="39"/>
        <v>49834240</v>
      </c>
      <c r="AF223" s="12">
        <f t="shared" si="40"/>
        <v>-9780060</v>
      </c>
      <c r="AG22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-11789760</v>
      </c>
      <c r="AH223" s="13">
        <f>IFERROR(AG223/(Z223+Table5[[#This Row],[Rider Penalty (Claim, Other Denda to Riders)]]),0)</f>
        <v>-0.29377278716563043</v>
      </c>
      <c r="AI223" s="12">
        <f t="shared" si="45"/>
        <v>2009700</v>
      </c>
      <c r="AJ223">
        <f t="shared" si="41"/>
        <v>0.20714285714285716</v>
      </c>
      <c r="AV223" s="109">
        <f>Table5[[#This Row],[Total Selling Comission/Sales (Weekly)]]/Table5[[#This Row],[Total Revenue Sharing % (Weekly)]]*100%</f>
        <v>0.49640887226828107</v>
      </c>
      <c r="AW223" s="109">
        <f>Table5[[#This Row],[Total Daily Incentive (Weekly)]]/Table5[[#This Row],[Total Revenue Sharing % (Weekly)]]*100%</f>
        <v>0.51081125798111449</v>
      </c>
      <c r="AX223" s="109">
        <f t="shared" si="47"/>
        <v>1.0072201302493955</v>
      </c>
    </row>
    <row r="224" spans="1:50" hidden="1">
      <c r="A224">
        <v>2024</v>
      </c>
      <c r="B224" t="s">
        <v>23</v>
      </c>
      <c r="C224" t="s">
        <v>23</v>
      </c>
      <c r="D224" t="s">
        <v>168</v>
      </c>
      <c r="E224" t="s">
        <v>28</v>
      </c>
      <c r="F224" t="s">
        <v>25</v>
      </c>
      <c r="H224" t="s">
        <v>156</v>
      </c>
      <c r="I224" t="s">
        <v>279</v>
      </c>
      <c r="J224" t="s">
        <v>359</v>
      </c>
      <c r="K224">
        <v>69</v>
      </c>
      <c r="L224">
        <v>19725</v>
      </c>
      <c r="M224">
        <v>173408000</v>
      </c>
      <c r="N224">
        <v>19725000</v>
      </c>
      <c r="O224">
        <v>17300000</v>
      </c>
      <c r="P224">
        <v>0</v>
      </c>
      <c r="R224">
        <v>0</v>
      </c>
      <c r="T224" s="12">
        <f t="shared" si="43"/>
        <v>37025000</v>
      </c>
      <c r="U224">
        <v>0</v>
      </c>
      <c r="V224" s="61">
        <f>338*33300</f>
        <v>11255400</v>
      </c>
      <c r="W224" s="61">
        <v>0</v>
      </c>
      <c r="X224">
        <v>0</v>
      </c>
      <c r="Y224" s="12">
        <f t="shared" si="44"/>
        <v>11255400</v>
      </c>
      <c r="Z224" s="12">
        <f t="shared" si="46"/>
        <v>39883840</v>
      </c>
      <c r="AA224">
        <v>6102000</v>
      </c>
      <c r="AB224">
        <f>338*24000</f>
        <v>8112000</v>
      </c>
      <c r="AD224">
        <v>0</v>
      </c>
      <c r="AE224">
        <f t="shared" si="39"/>
        <v>54097840</v>
      </c>
      <c r="AF224" s="12">
        <f t="shared" si="40"/>
        <v>5817440</v>
      </c>
      <c r="AG22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2858840</v>
      </c>
      <c r="AH224" s="13">
        <f>IFERROR(AG224/(Z224+Table5[[#This Row],[Rider Penalty (Claim, Other Denda to Riders)]]),0)</f>
        <v>7.1679156269807517E-2</v>
      </c>
      <c r="AI224" s="12">
        <f t="shared" si="45"/>
        <v>2958600</v>
      </c>
      <c r="AJ224">
        <f t="shared" si="41"/>
        <v>0.20814689742507386</v>
      </c>
      <c r="AV224" s="109">
        <f>Table5[[#This Row],[Total Selling Comission/Sales (Weekly)]]/Table5[[#This Row],[Total Revenue Sharing % (Weekly)]]*100%</f>
        <v>0.49456120574147322</v>
      </c>
      <c r="AW224" s="109">
        <f>Table5[[#This Row],[Total Daily Incentive (Weekly)]]/Table5[[#This Row],[Total Revenue Sharing % (Weekly)]]*100%</f>
        <v>0.43375963798871925</v>
      </c>
      <c r="AX224" s="109">
        <f t="shared" si="47"/>
        <v>0.92832084373019252</v>
      </c>
    </row>
    <row r="225" spans="1:50" hidden="1">
      <c r="A225">
        <v>2024</v>
      </c>
      <c r="B225" t="s">
        <v>23</v>
      </c>
      <c r="C225" t="s">
        <v>23</v>
      </c>
      <c r="D225" t="s">
        <v>168</v>
      </c>
      <c r="E225" t="s">
        <v>28</v>
      </c>
      <c r="F225" t="s">
        <v>25</v>
      </c>
      <c r="H225" t="s">
        <v>156</v>
      </c>
      <c r="I225" t="s">
        <v>278</v>
      </c>
      <c r="J225" t="s">
        <v>360</v>
      </c>
      <c r="K225">
        <v>61</v>
      </c>
      <c r="L225">
        <v>15841</v>
      </c>
      <c r="M225">
        <v>139174000</v>
      </c>
      <c r="N225">
        <v>15841000</v>
      </c>
      <c r="O225">
        <v>15150000</v>
      </c>
      <c r="P225">
        <v>0</v>
      </c>
      <c r="R225">
        <v>0</v>
      </c>
      <c r="T225" s="12">
        <f t="shared" si="43"/>
        <v>30991000</v>
      </c>
      <c r="U225">
        <v>0</v>
      </c>
      <c r="V225" s="61">
        <f>303*33300</f>
        <v>10089900</v>
      </c>
      <c r="W225" s="61">
        <v>0</v>
      </c>
      <c r="X225">
        <v>0</v>
      </c>
      <c r="Y225" s="12">
        <f t="shared" si="44"/>
        <v>10089900</v>
      </c>
      <c r="Z225" s="12">
        <f t="shared" si="46"/>
        <v>32010020</v>
      </c>
      <c r="AA225">
        <f>303*18000</f>
        <v>5454000</v>
      </c>
      <c r="AB225">
        <f>303*24000</f>
        <v>7272000</v>
      </c>
      <c r="AD225">
        <v>0</v>
      </c>
      <c r="AE225">
        <f t="shared" si="39"/>
        <v>44736020</v>
      </c>
      <c r="AF225" s="12">
        <f t="shared" si="40"/>
        <v>3655120</v>
      </c>
      <c r="AG22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1019020</v>
      </c>
      <c r="AH225" s="13">
        <f>IFERROR(AG225/(Z225+Table5[[#This Row],[Rider Penalty (Claim, Other Denda to Riders)]]),0)</f>
        <v>3.183440685135467E-2</v>
      </c>
      <c r="AI225" s="12">
        <f t="shared" si="45"/>
        <v>2636100</v>
      </c>
      <c r="AJ225">
        <f t="shared" si="41"/>
        <v>0.20714285714285716</v>
      </c>
      <c r="AV225" s="109">
        <f>Table5[[#This Row],[Total Selling Comission/Sales (Weekly)]]/Table5[[#This Row],[Total Revenue Sharing % (Weekly)]]*100%</f>
        <v>0.49487629186111098</v>
      </c>
      <c r="AW225" s="109">
        <f>Table5[[#This Row],[Total Daily Incentive (Weekly)]]/Table5[[#This Row],[Total Revenue Sharing % (Weekly)]]*100%</f>
        <v>0.47328930128753433</v>
      </c>
      <c r="AX225" s="109">
        <f t="shared" si="47"/>
        <v>0.96816559314864536</v>
      </c>
    </row>
    <row r="226" spans="1:50" hidden="1">
      <c r="A226">
        <v>2024</v>
      </c>
      <c r="B226" t="s">
        <v>23</v>
      </c>
      <c r="C226" t="s">
        <v>23</v>
      </c>
      <c r="D226" t="s">
        <v>168</v>
      </c>
      <c r="E226" t="s">
        <v>28</v>
      </c>
      <c r="F226" t="s">
        <v>25</v>
      </c>
      <c r="H226" t="s">
        <v>156</v>
      </c>
      <c r="I226" t="s">
        <v>256</v>
      </c>
      <c r="J226" t="s">
        <v>361</v>
      </c>
      <c r="K226">
        <v>47</v>
      </c>
      <c r="L226">
        <v>14977</v>
      </c>
      <c r="M226">
        <v>131398000</v>
      </c>
      <c r="N226">
        <v>14977000</v>
      </c>
      <c r="O226">
        <v>13200000</v>
      </c>
      <c r="P226">
        <v>350000</v>
      </c>
      <c r="R226" s="16">
        <v>100000</v>
      </c>
      <c r="S226" s="16"/>
      <c r="T226" s="12">
        <f t="shared" si="43"/>
        <v>28627000</v>
      </c>
      <c r="U226">
        <v>0</v>
      </c>
      <c r="V226" s="61">
        <f>264*33300</f>
        <v>8791200</v>
      </c>
      <c r="W226" s="61">
        <v>0</v>
      </c>
      <c r="X226">
        <v>0</v>
      </c>
      <c r="Y226" s="12">
        <f t="shared" si="44"/>
        <v>8791200</v>
      </c>
      <c r="Z226" s="12">
        <f t="shared" si="46"/>
        <v>30221540</v>
      </c>
      <c r="AA226">
        <f>234*18000</f>
        <v>4212000</v>
      </c>
      <c r="AB226">
        <f>234*24000</f>
        <v>5616000</v>
      </c>
      <c r="AD226">
        <v>0</v>
      </c>
      <c r="AE226">
        <f t="shared" si="39"/>
        <v>40049540</v>
      </c>
      <c r="AF226" s="12">
        <f t="shared" si="40"/>
        <v>2631340</v>
      </c>
      <c r="AG22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1594540</v>
      </c>
      <c r="AH226" s="13">
        <f>IFERROR(AG226/(Z226+Table5[[#This Row],[Rider Penalty (Claim, Other Denda to Riders)]]),0)</f>
        <v>5.2761705723798326E-2</v>
      </c>
      <c r="AI226" s="12">
        <f t="shared" si="45"/>
        <v>1036800</v>
      </c>
      <c r="AJ226">
        <f t="shared" si="41"/>
        <v>0.10549450549450549</v>
      </c>
      <c r="AV226" s="109">
        <f>Table5[[#This Row],[Total Selling Comission/Sales (Weekly)]]/Table5[[#This Row],[Total Revenue Sharing % (Weekly)]]*100%</f>
        <v>0.49557368684719572</v>
      </c>
      <c r="AW226" s="109">
        <f>Table5[[#This Row],[Total Daily Incentive (Weekly)]]/Table5[[#This Row],[Total Revenue Sharing % (Weekly)]]*100%</f>
        <v>0.43677456542585191</v>
      </c>
      <c r="AX226" s="109">
        <f t="shared" si="47"/>
        <v>0.93234825227304763</v>
      </c>
    </row>
    <row r="227" spans="1:50" hidden="1">
      <c r="A227">
        <v>2024</v>
      </c>
      <c r="B227" t="s">
        <v>23</v>
      </c>
      <c r="C227" t="s">
        <v>23</v>
      </c>
      <c r="D227" t="s">
        <v>168</v>
      </c>
      <c r="E227" t="s">
        <v>28</v>
      </c>
      <c r="F227" t="s">
        <v>25</v>
      </c>
      <c r="G227" s="41"/>
      <c r="H227" s="41" t="s">
        <v>156</v>
      </c>
      <c r="I227" s="41" t="s">
        <v>275</v>
      </c>
      <c r="J227" s="41" t="s">
        <v>362</v>
      </c>
      <c r="K227" s="41">
        <v>45</v>
      </c>
      <c r="L227" s="41">
        <v>11825</v>
      </c>
      <c r="M227" s="41">
        <v>103616000</v>
      </c>
      <c r="N227" s="41">
        <v>11825000</v>
      </c>
      <c r="O227" s="41">
        <v>10450000</v>
      </c>
      <c r="P227" s="41">
        <v>3850000</v>
      </c>
      <c r="Q227" s="41"/>
      <c r="R227" s="54">
        <v>300000</v>
      </c>
      <c r="S227" s="54"/>
      <c r="T227" s="57">
        <f t="shared" si="43"/>
        <v>26425000</v>
      </c>
      <c r="U227" s="41">
        <v>0</v>
      </c>
      <c r="V227" s="55">
        <f>209*33300</f>
        <v>6959700</v>
      </c>
      <c r="W227" s="61">
        <v>0</v>
      </c>
      <c r="X227" s="41">
        <v>0</v>
      </c>
      <c r="Y227" s="57">
        <f t="shared" si="44"/>
        <v>6959700</v>
      </c>
      <c r="Z227" s="57">
        <f t="shared" si="46"/>
        <v>23831680</v>
      </c>
      <c r="AA227" s="41">
        <f>209*18000</f>
        <v>3762000</v>
      </c>
      <c r="AB227" s="41">
        <f>209*24000</f>
        <v>5016000</v>
      </c>
      <c r="AC227" s="41"/>
      <c r="AD227" s="41">
        <v>0</v>
      </c>
      <c r="AE227" s="41">
        <f t="shared" si="39"/>
        <v>32609680</v>
      </c>
      <c r="AF227" s="57">
        <f t="shared" si="40"/>
        <v>-775020</v>
      </c>
      <c r="AG22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-2593320</v>
      </c>
      <c r="AH227" s="59">
        <f>IFERROR(AG227/(Z227+Table5[[#This Row],[Rider Penalty (Claim, Other Denda to Riders)]]),0)</f>
        <v>-0.10881817815613502</v>
      </c>
      <c r="AI227" s="57">
        <f t="shared" si="45"/>
        <v>1818300</v>
      </c>
      <c r="AJ227" s="41">
        <f t="shared" si="41"/>
        <v>0.20714285714285716</v>
      </c>
      <c r="AV227" s="109">
        <f>Table5[[#This Row],[Total Selling Comission/Sales (Weekly)]]/Table5[[#This Row],[Total Revenue Sharing % (Weekly)]]*100%</f>
        <v>0.49618826704621749</v>
      </c>
      <c r="AW227" s="109">
        <f>Table5[[#This Row],[Total Daily Incentive (Weekly)]]/Table5[[#This Row],[Total Revenue Sharing % (Weekly)]]*100%</f>
        <v>0.43849195692456427</v>
      </c>
      <c r="AX227" s="109">
        <f t="shared" si="47"/>
        <v>0.93468022397078176</v>
      </c>
    </row>
    <row r="228" spans="1:50" hidden="1">
      <c r="A228">
        <v>2024</v>
      </c>
      <c r="B228" t="s">
        <v>23</v>
      </c>
      <c r="C228" t="s">
        <v>23</v>
      </c>
      <c r="D228" t="s">
        <v>168</v>
      </c>
      <c r="E228" t="s">
        <v>28</v>
      </c>
      <c r="F228" t="s">
        <v>25</v>
      </c>
      <c r="G228" s="41"/>
      <c r="H228" s="41" t="s">
        <v>161</v>
      </c>
      <c r="I228" s="41" t="s">
        <v>279</v>
      </c>
      <c r="J228" s="41" t="s">
        <v>363</v>
      </c>
      <c r="K228">
        <v>33</v>
      </c>
      <c r="L228">
        <v>9257</v>
      </c>
      <c r="M228">
        <v>81074000</v>
      </c>
      <c r="N228">
        <v>9257000</v>
      </c>
      <c r="O228">
        <v>8450000</v>
      </c>
      <c r="P228">
        <v>0</v>
      </c>
      <c r="R228">
        <v>0</v>
      </c>
      <c r="T228" s="12">
        <f t="shared" si="43"/>
        <v>17707000</v>
      </c>
      <c r="U228">
        <v>0</v>
      </c>
      <c r="V228" s="61">
        <f>169*33300</f>
        <v>5627700</v>
      </c>
      <c r="W228" s="61">
        <v>0</v>
      </c>
      <c r="X228">
        <v>0</v>
      </c>
      <c r="Y228" s="12">
        <f t="shared" si="44"/>
        <v>5627700</v>
      </c>
      <c r="Z228" s="12">
        <f t="shared" si="46"/>
        <v>18647020</v>
      </c>
      <c r="AA228">
        <v>3680000</v>
      </c>
      <c r="AB228">
        <f>91*24000</f>
        <v>2184000</v>
      </c>
      <c r="AD228">
        <v>0</v>
      </c>
      <c r="AE228">
        <f t="shared" si="39"/>
        <v>24511020</v>
      </c>
      <c r="AF228" s="12">
        <f t="shared" si="40"/>
        <v>1176320</v>
      </c>
      <c r="AG22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940020</v>
      </c>
      <c r="AH228" s="13">
        <f>IFERROR(AG228/(Z228+Table5[[#This Row],[Rider Penalty (Claim, Other Denda to Riders)]]),0)</f>
        <v>5.0411272149651791E-2</v>
      </c>
      <c r="AI228" s="12">
        <f t="shared" si="45"/>
        <v>236300</v>
      </c>
      <c r="AJ228">
        <f t="shared" si="41"/>
        <v>4.0296725784447478E-2</v>
      </c>
      <c r="AV228" s="109">
        <f>Table5[[#This Row],[Total Selling Comission/Sales (Weekly)]]/Table5[[#This Row],[Total Revenue Sharing % (Weekly)]]*100%</f>
        <v>0.49643321023949133</v>
      </c>
      <c r="AW228" s="109">
        <f>Table5[[#This Row],[Total Daily Incentive (Weekly)]]/Table5[[#This Row],[Total Revenue Sharing % (Weekly)]]*100%</f>
        <v>0.45315551761085687</v>
      </c>
      <c r="AX228" s="109">
        <f t="shared" si="47"/>
        <v>0.9495887278503482</v>
      </c>
    </row>
    <row r="229" spans="1:50" hidden="1">
      <c r="A229">
        <v>2024</v>
      </c>
      <c r="B229" t="s">
        <v>23</v>
      </c>
      <c r="C229" t="s">
        <v>23</v>
      </c>
      <c r="D229" t="s">
        <v>168</v>
      </c>
      <c r="E229" t="s">
        <v>28</v>
      </c>
      <c r="F229" t="s">
        <v>25</v>
      </c>
      <c r="G229" s="41"/>
      <c r="H229" s="41" t="s">
        <v>161</v>
      </c>
      <c r="I229" s="41" t="s">
        <v>278</v>
      </c>
      <c r="J229" s="41" t="s">
        <v>364</v>
      </c>
      <c r="K229" s="41">
        <v>29</v>
      </c>
      <c r="L229" s="41">
        <v>7117</v>
      </c>
      <c r="M229" s="41">
        <v>62230000</v>
      </c>
      <c r="N229" s="41">
        <v>7117000</v>
      </c>
      <c r="O229" s="41">
        <v>6200000</v>
      </c>
      <c r="P229" s="41">
        <v>0</v>
      </c>
      <c r="Q229" s="41"/>
      <c r="R229" s="41">
        <v>0</v>
      </c>
      <c r="S229" s="41"/>
      <c r="T229" s="57">
        <f t="shared" si="43"/>
        <v>13317000</v>
      </c>
      <c r="U229" s="41">
        <v>0</v>
      </c>
      <c r="V229" s="55">
        <f>109*33300</f>
        <v>3629700</v>
      </c>
      <c r="W229" s="61">
        <v>0</v>
      </c>
      <c r="X229" s="41">
        <v>0</v>
      </c>
      <c r="Y229" s="57">
        <f t="shared" si="44"/>
        <v>3629700</v>
      </c>
      <c r="Z229" s="57">
        <f t="shared" si="46"/>
        <v>14312900</v>
      </c>
      <c r="AA229" s="41">
        <f>109*40000</f>
        <v>4360000</v>
      </c>
      <c r="AB229" s="41">
        <f>109*24000</f>
        <v>2616000</v>
      </c>
      <c r="AC229" s="41"/>
      <c r="AD229" s="41">
        <v>0</v>
      </c>
      <c r="AE229" s="41">
        <f t="shared" si="39"/>
        <v>21288900</v>
      </c>
      <c r="AF229" s="57">
        <f t="shared" si="40"/>
        <v>4342200</v>
      </c>
      <c r="AG22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995900</v>
      </c>
      <c r="AH229" s="59">
        <f>IFERROR(AG229/(Z229+Table5[[#This Row],[Rider Penalty (Claim, Other Denda to Riders)]]),0)</f>
        <v>6.9580588140768118E-2</v>
      </c>
      <c r="AI229" s="57">
        <f t="shared" si="45"/>
        <v>3346300</v>
      </c>
      <c r="AJ229" s="41">
        <f t="shared" si="41"/>
        <v>0.47968749999999999</v>
      </c>
      <c r="AV229" s="109">
        <f>Table5[[#This Row],[Total Selling Comission/Sales (Weekly)]]/Table5[[#This Row],[Total Revenue Sharing % (Weekly)]]*100%</f>
        <v>0.49724374515297387</v>
      </c>
      <c r="AW229" s="109">
        <f>Table5[[#This Row],[Total Daily Incentive (Weekly)]]/Table5[[#This Row],[Total Revenue Sharing % (Weekly)]]*100%</f>
        <v>0.43317566670625801</v>
      </c>
      <c r="AX229" s="109">
        <f t="shared" si="47"/>
        <v>0.93041941185923183</v>
      </c>
    </row>
    <row r="230" spans="1:50" hidden="1">
      <c r="A230">
        <v>2024</v>
      </c>
      <c r="B230" t="s">
        <v>23</v>
      </c>
      <c r="C230" t="s">
        <v>23</v>
      </c>
      <c r="D230" t="s">
        <v>168</v>
      </c>
      <c r="E230" t="s">
        <v>28</v>
      </c>
      <c r="F230" t="s">
        <v>25</v>
      </c>
      <c r="G230" s="41"/>
      <c r="H230" s="41" t="s">
        <v>161</v>
      </c>
      <c r="I230" s="41" t="s">
        <v>256</v>
      </c>
      <c r="J230" t="s">
        <v>365</v>
      </c>
      <c r="K230">
        <v>24</v>
      </c>
      <c r="L230">
        <v>7213</v>
      </c>
      <c r="M230">
        <v>63068000</v>
      </c>
      <c r="N230">
        <v>7213000</v>
      </c>
      <c r="O230">
        <v>6550000</v>
      </c>
      <c r="P230">
        <v>0</v>
      </c>
      <c r="R230">
        <v>0</v>
      </c>
      <c r="T230" s="12">
        <f t="shared" si="43"/>
        <v>13763000</v>
      </c>
      <c r="U230">
        <v>0</v>
      </c>
      <c r="V230" s="61">
        <f>102*33300</f>
        <v>3396600</v>
      </c>
      <c r="W230" s="61">
        <v>0</v>
      </c>
      <c r="X230">
        <v>0</v>
      </c>
      <c r="Y230" s="12">
        <f t="shared" si="44"/>
        <v>3396600</v>
      </c>
      <c r="Z230" s="12">
        <f t="shared" si="46"/>
        <v>14505640</v>
      </c>
      <c r="AA230">
        <f>102*40000</f>
        <v>4080000</v>
      </c>
      <c r="AB230">
        <f>102*24000</f>
        <v>2448000</v>
      </c>
      <c r="AD230">
        <v>0</v>
      </c>
      <c r="AE230">
        <f t="shared" si="39"/>
        <v>21033640</v>
      </c>
      <c r="AF230" s="12">
        <f t="shared" si="40"/>
        <v>3874040</v>
      </c>
      <c r="AG23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742640</v>
      </c>
      <c r="AH230" s="13">
        <f>IFERROR(AG230/(Z230+Table5[[#This Row],[Rider Penalty (Claim, Other Denda to Riders)]]),0)</f>
        <v>5.1196637997358269E-2</v>
      </c>
      <c r="AI230" s="12">
        <f t="shared" si="45"/>
        <v>3131400</v>
      </c>
      <c r="AJ230">
        <f t="shared" si="41"/>
        <v>0.47968749999999999</v>
      </c>
      <c r="AV230" s="109">
        <f>Table5[[#This Row],[Total Selling Comission/Sales (Weekly)]]/Table5[[#This Row],[Total Revenue Sharing % (Weekly)]]*100%</f>
        <v>0.49725486086791071</v>
      </c>
      <c r="AW230" s="109">
        <f>Table5[[#This Row],[Total Daily Incentive (Weekly)]]/Table5[[#This Row],[Total Revenue Sharing % (Weekly)]]*100%</f>
        <v>0.45154850113473105</v>
      </c>
      <c r="AX230" s="109">
        <f t="shared" si="47"/>
        <v>0.9488033620026417</v>
      </c>
    </row>
    <row r="231" spans="1:50" hidden="1">
      <c r="A231">
        <v>2024</v>
      </c>
      <c r="B231" t="s">
        <v>23</v>
      </c>
      <c r="C231" t="s">
        <v>23</v>
      </c>
      <c r="D231" t="s">
        <v>168</v>
      </c>
      <c r="E231" t="s">
        <v>28</v>
      </c>
      <c r="F231" t="s">
        <v>25</v>
      </c>
      <c r="G231" s="41"/>
      <c r="H231" s="41" t="s">
        <v>161</v>
      </c>
      <c r="I231" s="41" t="s">
        <v>275</v>
      </c>
      <c r="J231" s="41" t="s">
        <v>366</v>
      </c>
      <c r="K231" s="41">
        <v>30</v>
      </c>
      <c r="L231" s="41">
        <v>10231</v>
      </c>
      <c r="M231" s="41">
        <v>90470000</v>
      </c>
      <c r="N231" s="41">
        <v>10231000</v>
      </c>
      <c r="O231" s="41">
        <v>9850000</v>
      </c>
      <c r="P231" s="41">
        <v>0</v>
      </c>
      <c r="Q231" s="41"/>
      <c r="R231" s="41">
        <v>0</v>
      </c>
      <c r="S231" s="41"/>
      <c r="T231" s="57">
        <f t="shared" si="43"/>
        <v>20081000</v>
      </c>
      <c r="U231" s="41">
        <v>0</v>
      </c>
      <c r="V231" s="55">
        <f>197*33000</f>
        <v>6501000</v>
      </c>
      <c r="W231" s="61">
        <v>0</v>
      </c>
      <c r="X231" s="41">
        <v>0</v>
      </c>
      <c r="Y231" s="57">
        <f t="shared" si="44"/>
        <v>6501000</v>
      </c>
      <c r="Z231" s="57">
        <f t="shared" si="46"/>
        <v>20808100</v>
      </c>
      <c r="AA231" s="41">
        <f>197*18000</f>
        <v>3546000</v>
      </c>
      <c r="AB231" s="41">
        <f>197*24000</f>
        <v>4728000</v>
      </c>
      <c r="AC231" s="41"/>
      <c r="AD231" s="41">
        <v>0</v>
      </c>
      <c r="AE231" s="41">
        <f t="shared" si="39"/>
        <v>29082100</v>
      </c>
      <c r="AF231" s="57">
        <f t="shared" si="40"/>
        <v>2500100</v>
      </c>
      <c r="AG23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727100</v>
      </c>
      <c r="AH231" s="59">
        <f>IFERROR(AG231/(Z231+Table5[[#This Row],[Rider Penalty (Claim, Other Denda to Riders)]]),0)</f>
        <v>3.4943123110711696E-2</v>
      </c>
      <c r="AI231" s="57">
        <f t="shared" si="45"/>
        <v>1773000</v>
      </c>
      <c r="AJ231" s="41">
        <f t="shared" si="41"/>
        <v>0.21428571428571427</v>
      </c>
      <c r="AV231" s="109">
        <f>Table5[[#This Row],[Total Selling Comission/Sales (Weekly)]]/Table5[[#This Row],[Total Revenue Sharing % (Weekly)]]*100%</f>
        <v>0.491683527088009</v>
      </c>
      <c r="AW231" s="109">
        <f>Table5[[#This Row],[Total Daily Incentive (Weekly)]]/Table5[[#This Row],[Total Revenue Sharing % (Weekly)]]*100%</f>
        <v>0.47337334980127932</v>
      </c>
      <c r="AX231" s="109">
        <f t="shared" si="47"/>
        <v>0.96505687688928832</v>
      </c>
    </row>
    <row r="232" spans="1:50" hidden="1">
      <c r="A232">
        <v>2024</v>
      </c>
      <c r="B232" t="s">
        <v>23</v>
      </c>
      <c r="C232" t="s">
        <v>23</v>
      </c>
      <c r="D232" t="s">
        <v>168</v>
      </c>
      <c r="E232" t="s">
        <v>28</v>
      </c>
      <c r="F232" t="s">
        <v>25</v>
      </c>
      <c r="H232" t="s">
        <v>160</v>
      </c>
      <c r="I232" t="s">
        <v>279</v>
      </c>
      <c r="J232" t="s">
        <v>367</v>
      </c>
      <c r="K232">
        <v>32</v>
      </c>
      <c r="L232">
        <v>4825</v>
      </c>
      <c r="M232">
        <v>42830000</v>
      </c>
      <c r="N232">
        <v>4825000</v>
      </c>
      <c r="O232">
        <v>4020000</v>
      </c>
      <c r="P232">
        <v>610000</v>
      </c>
      <c r="R232">
        <v>0</v>
      </c>
      <c r="T232" s="12">
        <f t="shared" si="43"/>
        <v>9455000</v>
      </c>
      <c r="U232">
        <v>0</v>
      </c>
      <c r="V232" s="61">
        <f>61*33300</f>
        <v>2031300</v>
      </c>
      <c r="W232" s="61">
        <v>0</v>
      </c>
      <c r="X232">
        <v>0</v>
      </c>
      <c r="Y232" s="12">
        <f t="shared" si="44"/>
        <v>2031300</v>
      </c>
      <c r="Z232" s="12">
        <f t="shared" si="46"/>
        <v>9850900</v>
      </c>
      <c r="AA232">
        <v>2325000</v>
      </c>
      <c r="AB232">
        <f>61*24000</f>
        <v>1464000</v>
      </c>
      <c r="AD232">
        <v>0</v>
      </c>
      <c r="AE232">
        <f t="shared" si="39"/>
        <v>13639900</v>
      </c>
      <c r="AF232" s="12">
        <f t="shared" si="40"/>
        <v>2153600</v>
      </c>
      <c r="AG23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395900</v>
      </c>
      <c r="AH232" s="13">
        <f>IFERROR(AG232/(Z232+Table5[[#This Row],[Rider Penalty (Claim, Other Denda to Riders)]]),0)</f>
        <v>4.0189221289425335E-2</v>
      </c>
      <c r="AI232" s="12">
        <f t="shared" si="45"/>
        <v>1757700</v>
      </c>
      <c r="AJ232">
        <f t="shared" si="41"/>
        <v>0.46389548693586696</v>
      </c>
      <c r="AV232" s="109">
        <f>Table5[[#This Row],[Total Selling Comission/Sales (Weekly)]]/Table5[[#This Row],[Total Revenue Sharing % (Weekly)]]*100%</f>
        <v>0.48980296216589347</v>
      </c>
      <c r="AW232" s="109">
        <f>Table5[[#This Row],[Total Daily Incentive (Weekly)]]/Table5[[#This Row],[Total Revenue Sharing % (Weekly)]]*100%</f>
        <v>0.40808454049883769</v>
      </c>
      <c r="AX232" s="109">
        <f t="shared" si="47"/>
        <v>0.89788750266473116</v>
      </c>
    </row>
    <row r="233" spans="1:50" hidden="1">
      <c r="A233" s="41">
        <v>2025</v>
      </c>
      <c r="B233" s="41" t="s">
        <v>23</v>
      </c>
      <c r="C233" s="41" t="s">
        <v>174</v>
      </c>
      <c r="D233" s="41" t="s">
        <v>168</v>
      </c>
      <c r="E233" s="41" t="s">
        <v>24</v>
      </c>
      <c r="F233" s="41" t="s">
        <v>24</v>
      </c>
      <c r="G233" s="54">
        <v>16</v>
      </c>
      <c r="H233" s="54" t="s">
        <v>160</v>
      </c>
      <c r="I233" s="54" t="s">
        <v>256</v>
      </c>
      <c r="J233" s="54" t="s">
        <v>193</v>
      </c>
      <c r="K233" s="41">
        <v>53</v>
      </c>
      <c r="L233" s="41">
        <v>11851</v>
      </c>
      <c r="M233" s="41">
        <v>107535000</v>
      </c>
      <c r="N233" s="41">
        <v>9480500</v>
      </c>
      <c r="O233" s="41">
        <v>14850000</v>
      </c>
      <c r="P233" s="41">
        <v>0</v>
      </c>
      <c r="Q233" s="41"/>
      <c r="R233" s="41">
        <v>0</v>
      </c>
      <c r="S233" s="41"/>
      <c r="T233" s="57">
        <f t="shared" si="43"/>
        <v>24330500</v>
      </c>
      <c r="U233" s="41">
        <v>0</v>
      </c>
      <c r="V233" s="48">
        <v>10395000</v>
      </c>
      <c r="W233" s="86">
        <v>0</v>
      </c>
      <c r="X233" s="41">
        <v>0</v>
      </c>
      <c r="Y233" s="57">
        <f t="shared" si="44"/>
        <v>10395000</v>
      </c>
      <c r="Z233" s="57">
        <f>21%*M233</f>
        <v>22582350</v>
      </c>
      <c r="AA233" s="41">
        <v>7100000</v>
      </c>
      <c r="AB233">
        <f>7/30*15642348</f>
        <v>3649881.2</v>
      </c>
      <c r="AD233" s="41">
        <v>950000</v>
      </c>
      <c r="AE233" s="41">
        <f t="shared" si="39"/>
        <v>34282231.200000003</v>
      </c>
      <c r="AF233" s="57">
        <f t="shared" si="40"/>
        <v>-443268.79999999702</v>
      </c>
      <c r="AG23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-798150</v>
      </c>
      <c r="AH233" s="59">
        <f>IFERROR(AG233/(Z233+Table5[[#This Row],[Rider Penalty (Claim, Other Denda to Riders)]]),0)</f>
        <v>-3.3917139597192801E-2</v>
      </c>
      <c r="AI233" s="57">
        <f t="shared" si="45"/>
        <v>354881.19999999925</v>
      </c>
      <c r="AJ233" s="41">
        <f t="shared" si="41"/>
        <v>3.3012569478442166E-2</v>
      </c>
      <c r="AV233" s="109">
        <f>Table5[[#This Row],[Total Selling Comission/Sales (Weekly)]]/Table5[[#This Row],[Total Revenue Sharing % (Weekly)]]*100%</f>
        <v>0.4198190179498591</v>
      </c>
      <c r="AW233" s="109">
        <f>Table5[[#This Row],[Total Daily Incentive (Weekly)]]/Table5[[#This Row],[Total Revenue Sharing % (Weekly)]]*100%</f>
        <v>0.65759320885558858</v>
      </c>
      <c r="AX233" s="109">
        <f t="shared" si="47"/>
        <v>1.0774122268054476</v>
      </c>
    </row>
    <row r="234" spans="1:50" hidden="1">
      <c r="A234">
        <v>2025</v>
      </c>
      <c r="B234" t="s">
        <v>23</v>
      </c>
      <c r="C234" t="s">
        <v>173</v>
      </c>
      <c r="D234" t="s">
        <v>168</v>
      </c>
      <c r="E234" t="s">
        <v>24</v>
      </c>
      <c r="F234" s="1" t="s">
        <v>282</v>
      </c>
      <c r="G234" s="54">
        <v>16</v>
      </c>
      <c r="H234" s="54" t="s">
        <v>160</v>
      </c>
      <c r="I234" s="54" t="s">
        <v>256</v>
      </c>
      <c r="J234" s="54" t="s">
        <v>193</v>
      </c>
      <c r="K234">
        <v>17</v>
      </c>
      <c r="L234">
        <v>5015</v>
      </c>
      <c r="M234">
        <v>45136000</v>
      </c>
      <c r="N234">
        <v>4012000</v>
      </c>
      <c r="O234">
        <v>4700000</v>
      </c>
      <c r="P234">
        <v>0</v>
      </c>
      <c r="R234">
        <v>0</v>
      </c>
      <c r="T234" s="12">
        <f t="shared" si="43"/>
        <v>8712000</v>
      </c>
      <c r="U234">
        <v>0</v>
      </c>
      <c r="V234" s="1">
        <v>3290000</v>
      </c>
      <c r="W234" s="1">
        <v>0</v>
      </c>
      <c r="X234">
        <v>0</v>
      </c>
      <c r="Y234" s="12">
        <f t="shared" si="44"/>
        <v>3290000</v>
      </c>
      <c r="Z234" s="12">
        <f>21%*M234</f>
        <v>9478560</v>
      </c>
      <c r="AA234">
        <v>2300000</v>
      </c>
      <c r="AB234">
        <f>7/30*4985729</f>
        <v>1163336.7666666666</v>
      </c>
      <c r="AD234">
        <v>0</v>
      </c>
      <c r="AE234">
        <f t="shared" si="39"/>
        <v>12941896.766666666</v>
      </c>
      <c r="AF234" s="12">
        <f t="shared" si="40"/>
        <v>939896.76666666567</v>
      </c>
      <c r="AG23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766560</v>
      </c>
      <c r="AH234" s="13">
        <f>IFERROR(AG234/(Z234+Table5[[#This Row],[Rider Penalty (Claim, Other Denda to Riders)]]),0)</f>
        <v>8.0873044006684561E-2</v>
      </c>
      <c r="AI234" s="12">
        <f t="shared" si="45"/>
        <v>173336.7666666666</v>
      </c>
      <c r="AJ234">
        <f t="shared" si="41"/>
        <v>5.0049064917673837E-2</v>
      </c>
      <c r="AV234" s="109">
        <f>Table5[[#This Row],[Total Selling Comission/Sales (Weekly)]]/Table5[[#This Row],[Total Revenue Sharing % (Weekly)]]*100%</f>
        <v>0.42327104539086108</v>
      </c>
      <c r="AW234" s="109">
        <f>Table5[[#This Row],[Total Daily Incentive (Weekly)]]/Table5[[#This Row],[Total Revenue Sharing % (Weekly)]]*100%</f>
        <v>0.49585591060245438</v>
      </c>
      <c r="AX234" s="109">
        <f t="shared" si="47"/>
        <v>0.9191269559933154</v>
      </c>
    </row>
    <row r="235" spans="1:50" hidden="1">
      <c r="A235" s="41">
        <v>2025</v>
      </c>
      <c r="B235" s="41" t="s">
        <v>170</v>
      </c>
      <c r="C235" s="41" t="s">
        <v>170</v>
      </c>
      <c r="D235" s="41" t="s">
        <v>169</v>
      </c>
      <c r="E235" s="41" t="s">
        <v>24</v>
      </c>
      <c r="F235" s="41" t="s">
        <v>24</v>
      </c>
      <c r="G235" s="54">
        <v>16</v>
      </c>
      <c r="H235" s="54" t="s">
        <v>160</v>
      </c>
      <c r="I235" s="54" t="s">
        <v>256</v>
      </c>
      <c r="J235" s="54" t="s">
        <v>193</v>
      </c>
      <c r="K235">
        <v>9</v>
      </c>
      <c r="L235">
        <v>803</v>
      </c>
      <c r="M235">
        <v>6900000</v>
      </c>
      <c r="N235">
        <v>642400</v>
      </c>
      <c r="O235">
        <v>2300000</v>
      </c>
      <c r="P235">
        <v>0</v>
      </c>
      <c r="R235">
        <v>0</v>
      </c>
      <c r="T235" s="12">
        <f t="shared" si="43"/>
        <v>2942400</v>
      </c>
      <c r="U235">
        <v>0</v>
      </c>
      <c r="V235" s="1">
        <v>1610000</v>
      </c>
      <c r="W235" s="1">
        <v>0</v>
      </c>
      <c r="X235">
        <v>0</v>
      </c>
      <c r="Y235" s="12">
        <f t="shared" si="44"/>
        <v>1610000</v>
      </c>
      <c r="Z235" s="12">
        <f>30%*M235</f>
        <v>2070000</v>
      </c>
      <c r="AA235">
        <v>1075000</v>
      </c>
      <c r="AB235">
        <v>0</v>
      </c>
      <c r="AD235">
        <v>300000</v>
      </c>
      <c r="AE235">
        <f t="shared" si="39"/>
        <v>3445000</v>
      </c>
      <c r="AF235" s="12">
        <f t="shared" si="40"/>
        <v>-1107400</v>
      </c>
      <c r="AG23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-572400</v>
      </c>
      <c r="AH235" s="13">
        <f>IFERROR(AG235/(Z235+Table5[[#This Row],[Rider Penalty (Claim, Other Denda to Riders)]]),0)</f>
        <v>-0.24151898734177216</v>
      </c>
      <c r="AI235" s="12">
        <f t="shared" si="45"/>
        <v>-535000</v>
      </c>
      <c r="AJ235">
        <f t="shared" si="41"/>
        <v>-0.49767441860465117</v>
      </c>
      <c r="AV235" s="109"/>
      <c r="AW235" s="109"/>
      <c r="AX235" s="109"/>
    </row>
    <row r="236" spans="1:50" hidden="1">
      <c r="A236" s="41">
        <v>2024</v>
      </c>
      <c r="B236" t="s">
        <v>23</v>
      </c>
      <c r="C236" t="s">
        <v>23</v>
      </c>
      <c r="D236" t="s">
        <v>168</v>
      </c>
      <c r="E236" t="s">
        <v>28</v>
      </c>
      <c r="F236" t="s">
        <v>25</v>
      </c>
      <c r="H236" t="s">
        <v>160</v>
      </c>
      <c r="I236" t="s">
        <v>278</v>
      </c>
      <c r="J236" t="s">
        <v>368</v>
      </c>
      <c r="K236" s="41">
        <v>23</v>
      </c>
      <c r="L236" s="41">
        <v>5454</v>
      </c>
      <c r="M236" s="41">
        <v>47882000</v>
      </c>
      <c r="N236" s="41">
        <v>5454000</v>
      </c>
      <c r="O236" s="41">
        <v>3650000</v>
      </c>
      <c r="P236" s="41">
        <v>650000</v>
      </c>
      <c r="Q236" s="41"/>
      <c r="R236" s="41">
        <v>0</v>
      </c>
      <c r="S236" s="41"/>
      <c r="T236" s="57">
        <f t="shared" ref="T236:T267" si="48">SUM(N236:R236)</f>
        <v>9754000</v>
      </c>
      <c r="U236" s="41">
        <v>0</v>
      </c>
      <c r="V236" s="55">
        <f>99*33000</f>
        <v>3267000</v>
      </c>
      <c r="W236" s="86">
        <v>0</v>
      </c>
      <c r="X236" s="41">
        <v>0</v>
      </c>
      <c r="Y236" s="57">
        <f t="shared" ref="Y236:Y237" si="49">SUM(U236:X236)</f>
        <v>3267000</v>
      </c>
      <c r="Z236" s="57">
        <f t="shared" ref="Z236:Z250" si="50">23%*M236</f>
        <v>11012860</v>
      </c>
      <c r="AA236" s="41">
        <v>2605000</v>
      </c>
      <c r="AB236" s="41">
        <f>99*24000</f>
        <v>2376000</v>
      </c>
      <c r="AC236" s="41"/>
      <c r="AD236" s="41">
        <v>0</v>
      </c>
      <c r="AE236" s="41">
        <f t="shared" ref="AE236:AE299" si="51">SUM(Z236:AD236)</f>
        <v>15993860</v>
      </c>
      <c r="AF236" s="57">
        <f t="shared" ref="AF236:AF299" si="52">AE236-(T236+Y236)</f>
        <v>2972860</v>
      </c>
      <c r="AG23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1258860</v>
      </c>
      <c r="AH236" s="59">
        <f>IFERROR(AG236/(Z236+Table5[[#This Row],[Rider Penalty (Claim, Other Denda to Riders)]]),0)</f>
        <v>0.11430818152596146</v>
      </c>
      <c r="AI236" s="57">
        <f t="shared" si="45"/>
        <v>1714000</v>
      </c>
      <c r="AJ236" s="41">
        <f t="shared" ref="AJ236:AJ299" si="53">IFERROR(AI236/(AA236+AB236),0)</f>
        <v>0.34410760891387271</v>
      </c>
      <c r="AV236" s="109">
        <f>Table5[[#This Row],[Total Selling Comission/Sales (Weekly)]]/Table5[[#This Row],[Total Revenue Sharing % (Weekly)]]*100%</f>
        <v>0.4952392021691005</v>
      </c>
      <c r="AW236" s="109">
        <f>Table5[[#This Row],[Total Daily Incentive (Weekly)]]/Table5[[#This Row],[Total Revenue Sharing % (Weekly)]]*100%</f>
        <v>0.3314307091890753</v>
      </c>
      <c r="AX236" s="109">
        <f t="shared" ref="AX236:AX250" si="54">(N236+O236)/Z236*100%</f>
        <v>0.8266699113581758</v>
      </c>
    </row>
    <row r="237" spans="1:50" hidden="1">
      <c r="A237" s="41">
        <v>2024</v>
      </c>
      <c r="B237" s="41" t="s">
        <v>23</v>
      </c>
      <c r="C237" s="41" t="s">
        <v>23</v>
      </c>
      <c r="D237" s="41" t="s">
        <v>168</v>
      </c>
      <c r="E237" s="41" t="s">
        <v>28</v>
      </c>
      <c r="F237" s="41" t="s">
        <v>25</v>
      </c>
      <c r="G237" s="41"/>
      <c r="H237" s="41" t="s">
        <v>160</v>
      </c>
      <c r="I237" s="41" t="s">
        <v>256</v>
      </c>
      <c r="J237" s="41" t="s">
        <v>369</v>
      </c>
      <c r="K237" s="41">
        <v>19</v>
      </c>
      <c r="L237" s="41">
        <v>4652</v>
      </c>
      <c r="M237" s="41">
        <v>40668000</v>
      </c>
      <c r="N237" s="41">
        <v>4652000</v>
      </c>
      <c r="O237" s="41">
        <v>4165000</v>
      </c>
      <c r="P237" s="41">
        <f>360000+2500000</f>
        <v>2860000</v>
      </c>
      <c r="Q237" s="41"/>
      <c r="R237" s="41">
        <v>0</v>
      </c>
      <c r="S237" s="41"/>
      <c r="T237" s="57">
        <f t="shared" si="48"/>
        <v>11677000</v>
      </c>
      <c r="U237" s="41">
        <v>0</v>
      </c>
      <c r="V237" s="55">
        <v>0</v>
      </c>
      <c r="W237" s="86">
        <v>0</v>
      </c>
      <c r="X237" s="41">
        <v>0</v>
      </c>
      <c r="Y237" s="57">
        <f t="shared" si="49"/>
        <v>0</v>
      </c>
      <c r="Z237" s="57">
        <f t="shared" si="50"/>
        <v>9353640</v>
      </c>
      <c r="AA237" s="41">
        <v>0</v>
      </c>
      <c r="AB237" s="41">
        <v>0</v>
      </c>
      <c r="AC237" s="41"/>
      <c r="AD237" s="41">
        <v>0</v>
      </c>
      <c r="AE237" s="41">
        <f t="shared" si="51"/>
        <v>9353640</v>
      </c>
      <c r="AF237" s="57">
        <f t="shared" si="52"/>
        <v>-2323360</v>
      </c>
      <c r="AG23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-2323360</v>
      </c>
      <c r="AH237" s="59">
        <f>IFERROR(AG237/(Z237+Table5[[#This Row],[Rider Penalty (Claim, Other Denda to Riders)]]),0)</f>
        <v>-0.24839100072271331</v>
      </c>
      <c r="AI237" s="57">
        <f t="shared" si="45"/>
        <v>0</v>
      </c>
      <c r="AJ237" s="41">
        <f t="shared" si="53"/>
        <v>0</v>
      </c>
      <c r="AV237" s="109">
        <f>Table5[[#This Row],[Total Selling Comission/Sales (Weekly)]]/Table5[[#This Row],[Total Revenue Sharing % (Weekly)]]*100%</f>
        <v>0.49734648757061423</v>
      </c>
      <c r="AW237" s="109">
        <f>Table5[[#This Row],[Total Daily Incentive (Weekly)]]/Table5[[#This Row],[Total Revenue Sharing % (Weekly)]]*100%</f>
        <v>0.44528119534213417</v>
      </c>
      <c r="AX237" s="109">
        <f t="shared" si="54"/>
        <v>0.94262768291274845</v>
      </c>
    </row>
    <row r="238" spans="1:50" hidden="1">
      <c r="A238" s="41">
        <v>2024</v>
      </c>
      <c r="B238" s="41" t="s">
        <v>23</v>
      </c>
      <c r="C238" s="41" t="s">
        <v>23</v>
      </c>
      <c r="D238" s="41" t="s">
        <v>168</v>
      </c>
      <c r="E238" s="41" t="s">
        <v>28</v>
      </c>
      <c r="F238" s="41" t="s">
        <v>25</v>
      </c>
      <c r="G238" s="41"/>
      <c r="H238" s="41" t="s">
        <v>160</v>
      </c>
      <c r="I238" s="41" t="s">
        <v>275</v>
      </c>
      <c r="J238" s="41" t="s">
        <v>370</v>
      </c>
      <c r="K238" s="41">
        <v>22</v>
      </c>
      <c r="L238" s="41">
        <v>2998</v>
      </c>
      <c r="M238" s="41">
        <v>25038000</v>
      </c>
      <c r="N238" s="41">
        <v>2821000</v>
      </c>
      <c r="O238" s="41">
        <v>4770000</v>
      </c>
      <c r="P238" s="41">
        <v>0</v>
      </c>
      <c r="Q238" s="41"/>
      <c r="R238" s="41">
        <v>0</v>
      </c>
      <c r="S238" s="41"/>
      <c r="T238" s="57">
        <f t="shared" si="48"/>
        <v>7591000</v>
      </c>
      <c r="U238" s="41">
        <v>0</v>
      </c>
      <c r="V238" s="55">
        <v>0</v>
      </c>
      <c r="W238" s="86">
        <v>0</v>
      </c>
      <c r="X238" s="41">
        <v>0</v>
      </c>
      <c r="Y238" s="57">
        <v>0</v>
      </c>
      <c r="Z238" s="57">
        <f t="shared" si="50"/>
        <v>5758740</v>
      </c>
      <c r="AA238" s="41">
        <v>0</v>
      </c>
      <c r="AB238" s="41">
        <v>0</v>
      </c>
      <c r="AC238" s="41"/>
      <c r="AD238" s="41">
        <v>0</v>
      </c>
      <c r="AE238" s="41">
        <f t="shared" si="51"/>
        <v>5758740</v>
      </c>
      <c r="AF238" s="57">
        <f t="shared" si="52"/>
        <v>-1832260</v>
      </c>
      <c r="AG23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-1832260</v>
      </c>
      <c r="AH238" s="59">
        <f>IFERROR(AG238/(Z238+Table5[[#This Row],[Rider Penalty (Claim, Other Denda to Riders)]]),0)</f>
        <v>-0.31817029419629989</v>
      </c>
      <c r="AI238" s="57">
        <f t="shared" ref="AI238:AI269" si="55">AA238+AB238-V238</f>
        <v>0</v>
      </c>
      <c r="AJ238" s="41">
        <f t="shared" si="53"/>
        <v>0</v>
      </c>
      <c r="AV238" s="109">
        <f>Table5[[#This Row],[Total Selling Comission/Sales (Weekly)]]/Table5[[#This Row],[Total Revenue Sharing % (Weekly)]]*100%</f>
        <v>0.48986410221680438</v>
      </c>
      <c r="AW238" s="109">
        <f>Table5[[#This Row],[Total Daily Incentive (Weekly)]]/Table5[[#This Row],[Total Revenue Sharing % (Weekly)]]*100%</f>
        <v>0.82830619197949551</v>
      </c>
      <c r="AX238" s="109">
        <f t="shared" si="54"/>
        <v>1.3181702941962998</v>
      </c>
    </row>
    <row r="239" spans="1:50" hidden="1">
      <c r="A239" s="41">
        <v>2024</v>
      </c>
      <c r="B239" s="41" t="s">
        <v>23</v>
      </c>
      <c r="C239" s="41" t="s">
        <v>23</v>
      </c>
      <c r="D239" s="41" t="s">
        <v>168</v>
      </c>
      <c r="E239" s="41" t="s">
        <v>28</v>
      </c>
      <c r="F239" s="41" t="s">
        <v>25</v>
      </c>
      <c r="G239" s="41"/>
      <c r="H239" s="41" t="s">
        <v>159</v>
      </c>
      <c r="I239" s="41" t="s">
        <v>280</v>
      </c>
      <c r="J239" s="41" t="s">
        <v>371</v>
      </c>
      <c r="K239" s="41">
        <v>19</v>
      </c>
      <c r="L239" s="41">
        <v>2925</v>
      </c>
      <c r="M239" s="41">
        <v>25206000</v>
      </c>
      <c r="N239" s="41">
        <v>2925000</v>
      </c>
      <c r="O239" s="41">
        <v>4365000</v>
      </c>
      <c r="P239" s="41">
        <v>200000</v>
      </c>
      <c r="Q239" s="41"/>
      <c r="R239" s="41">
        <v>0</v>
      </c>
      <c r="S239" s="41"/>
      <c r="T239" s="57">
        <f t="shared" si="48"/>
        <v>7490000</v>
      </c>
      <c r="U239" s="41">
        <v>0</v>
      </c>
      <c r="V239" s="55">
        <v>0</v>
      </c>
      <c r="W239" s="86">
        <v>0</v>
      </c>
      <c r="X239" s="41">
        <v>0</v>
      </c>
      <c r="Y239" s="57">
        <f t="shared" ref="Y239:Y302" si="56">SUM(U239:X239)</f>
        <v>0</v>
      </c>
      <c r="Z239" s="57">
        <f t="shared" si="50"/>
        <v>5797380</v>
      </c>
      <c r="AA239" s="41">
        <v>0</v>
      </c>
      <c r="AB239" s="41">
        <v>0</v>
      </c>
      <c r="AC239" s="41"/>
      <c r="AD239" s="41">
        <v>0</v>
      </c>
      <c r="AE239" s="41">
        <f t="shared" si="51"/>
        <v>5797380</v>
      </c>
      <c r="AF239" s="57">
        <f t="shared" si="52"/>
        <v>-1692620</v>
      </c>
      <c r="AG23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-1692620</v>
      </c>
      <c r="AH239" s="59">
        <f>IFERROR(AG239/(Z239+Table5[[#This Row],[Rider Penalty (Claim, Other Denda to Riders)]]),0)</f>
        <v>-0.29196292118163725</v>
      </c>
      <c r="AI239" s="57">
        <f t="shared" si="55"/>
        <v>0</v>
      </c>
      <c r="AJ239" s="41">
        <f t="shared" si="53"/>
        <v>0</v>
      </c>
      <c r="AV239" s="109">
        <f>Table5[[#This Row],[Total Selling Comission/Sales (Weekly)]]/Table5[[#This Row],[Total Revenue Sharing % (Weekly)]]*100%</f>
        <v>0.50453825693675414</v>
      </c>
      <c r="AW239" s="109">
        <f>Table5[[#This Row],[Total Daily Incentive (Weekly)]]/Table5[[#This Row],[Total Revenue Sharing % (Weekly)]]*100%</f>
        <v>0.75292632189023312</v>
      </c>
      <c r="AX239" s="109">
        <f t="shared" si="54"/>
        <v>1.2574645788269874</v>
      </c>
    </row>
    <row r="240" spans="1:50" hidden="1">
      <c r="A240" s="41">
        <v>2024</v>
      </c>
      <c r="B240" s="41" t="s">
        <v>23</v>
      </c>
      <c r="C240" s="41" t="s">
        <v>23</v>
      </c>
      <c r="D240" s="41" t="s">
        <v>168</v>
      </c>
      <c r="E240" s="41" t="s">
        <v>28</v>
      </c>
      <c r="F240" s="41" t="s">
        <v>25</v>
      </c>
      <c r="G240" s="41"/>
      <c r="H240" s="41" t="s">
        <v>159</v>
      </c>
      <c r="I240" s="41" t="s">
        <v>279</v>
      </c>
      <c r="J240" s="41" t="s">
        <v>372</v>
      </c>
      <c r="K240" s="41">
        <v>12</v>
      </c>
      <c r="L240" s="41">
        <v>1456</v>
      </c>
      <c r="M240" s="41">
        <v>12782000</v>
      </c>
      <c r="N240" s="41">
        <v>1456000</v>
      </c>
      <c r="O240" s="41">
        <v>1605000</v>
      </c>
      <c r="P240" s="41">
        <v>130000</v>
      </c>
      <c r="Q240" s="41"/>
      <c r="R240" s="41">
        <v>0</v>
      </c>
      <c r="S240" s="41"/>
      <c r="T240" s="57">
        <f t="shared" si="48"/>
        <v>3191000</v>
      </c>
      <c r="U240" s="41">
        <v>0</v>
      </c>
      <c r="V240" s="55">
        <v>0</v>
      </c>
      <c r="W240" s="86">
        <v>0</v>
      </c>
      <c r="X240" s="41">
        <v>0</v>
      </c>
      <c r="Y240" s="57">
        <f t="shared" si="56"/>
        <v>0</v>
      </c>
      <c r="Z240" s="57">
        <f t="shared" si="50"/>
        <v>2939860</v>
      </c>
      <c r="AA240" s="41">
        <v>0</v>
      </c>
      <c r="AB240" s="41">
        <v>0</v>
      </c>
      <c r="AC240" s="41"/>
      <c r="AD240" s="41">
        <v>0</v>
      </c>
      <c r="AE240" s="41">
        <f t="shared" si="51"/>
        <v>2939860</v>
      </c>
      <c r="AF240" s="57">
        <f t="shared" si="52"/>
        <v>-251140</v>
      </c>
      <c r="AG24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-251140</v>
      </c>
      <c r="AH240" s="59">
        <f>IFERROR(AG240/(Z240+Table5[[#This Row],[Rider Penalty (Claim, Other Denda to Riders)]]),0)</f>
        <v>-8.5425836604464164E-2</v>
      </c>
      <c r="AI240" s="57">
        <f t="shared" si="55"/>
        <v>0</v>
      </c>
      <c r="AJ240" s="41">
        <f t="shared" si="53"/>
        <v>0</v>
      </c>
      <c r="AV240" s="109">
        <f>Table5[[#This Row],[Total Selling Comission/Sales (Weekly)]]/Table5[[#This Row],[Total Revenue Sharing % (Weekly)]]*100%</f>
        <v>0.49526167912757751</v>
      </c>
      <c r="AW240" s="109">
        <f>Table5[[#This Row],[Total Daily Incentive (Weekly)]]/Table5[[#This Row],[Total Revenue Sharing % (Weekly)]]*100%</f>
        <v>0.54594436469763863</v>
      </c>
      <c r="AX240" s="109">
        <f t="shared" si="54"/>
        <v>1.0412060438252162</v>
      </c>
    </row>
    <row r="241" spans="1:50" hidden="1">
      <c r="A241" s="41">
        <v>2024</v>
      </c>
      <c r="B241" s="41" t="s">
        <v>23</v>
      </c>
      <c r="C241" s="41" t="s">
        <v>23</v>
      </c>
      <c r="D241" s="41" t="s">
        <v>168</v>
      </c>
      <c r="E241" s="41" t="s">
        <v>28</v>
      </c>
      <c r="F241" s="41" t="s">
        <v>25</v>
      </c>
      <c r="G241" s="41"/>
      <c r="H241" s="41" t="s">
        <v>159</v>
      </c>
      <c r="I241" s="41" t="s">
        <v>278</v>
      </c>
      <c r="J241" s="41" t="s">
        <v>373</v>
      </c>
      <c r="K241" s="41">
        <v>6</v>
      </c>
      <c r="L241" s="41">
        <v>316</v>
      </c>
      <c r="M241" s="41">
        <v>2792000</v>
      </c>
      <c r="N241" s="41">
        <v>316000</v>
      </c>
      <c r="O241" s="41">
        <v>0</v>
      </c>
      <c r="P241" s="41">
        <v>0</v>
      </c>
      <c r="Q241" s="41"/>
      <c r="R241" s="41">
        <v>0</v>
      </c>
      <c r="S241" s="41"/>
      <c r="T241" s="57">
        <f t="shared" si="48"/>
        <v>316000</v>
      </c>
      <c r="U241" s="41">
        <v>0</v>
      </c>
      <c r="V241" s="55">
        <v>0</v>
      </c>
      <c r="W241" s="86">
        <v>0</v>
      </c>
      <c r="X241" s="41">
        <v>0</v>
      </c>
      <c r="Y241" s="57">
        <f t="shared" si="56"/>
        <v>0</v>
      </c>
      <c r="Z241" s="57">
        <f t="shared" si="50"/>
        <v>642160</v>
      </c>
      <c r="AA241" s="41">
        <v>0</v>
      </c>
      <c r="AB241" s="41">
        <v>0</v>
      </c>
      <c r="AC241" s="41"/>
      <c r="AD241" s="41">
        <v>0</v>
      </c>
      <c r="AE241" s="41">
        <f t="shared" si="51"/>
        <v>642160</v>
      </c>
      <c r="AF241" s="57">
        <f t="shared" si="52"/>
        <v>326160</v>
      </c>
      <c r="AG24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326160</v>
      </c>
      <c r="AH241" s="59">
        <f>IFERROR(AG241/(Z241+Table5[[#This Row],[Rider Penalty (Claim, Other Denda to Riders)]]),0)</f>
        <v>0.50791080104646813</v>
      </c>
      <c r="AI241" s="57">
        <f t="shared" si="55"/>
        <v>0</v>
      </c>
      <c r="AJ241" s="41">
        <f t="shared" si="53"/>
        <v>0</v>
      </c>
      <c r="AV241" s="109">
        <f>Table5[[#This Row],[Total Selling Comission/Sales (Weekly)]]/Table5[[#This Row],[Total Revenue Sharing % (Weekly)]]*100%</f>
        <v>0.49208919895353181</v>
      </c>
      <c r="AW241" s="109">
        <f>Table5[[#This Row],[Total Daily Incentive (Weekly)]]/Table5[[#This Row],[Total Revenue Sharing % (Weekly)]]*100%</f>
        <v>0</v>
      </c>
      <c r="AX241" s="109">
        <f t="shared" si="54"/>
        <v>0.49208919895353181</v>
      </c>
    </row>
    <row r="242" spans="1:50" hidden="1">
      <c r="A242" s="41">
        <v>2024</v>
      </c>
      <c r="B242" s="41" t="s">
        <v>23</v>
      </c>
      <c r="C242" s="41" t="s">
        <v>23</v>
      </c>
      <c r="D242" s="41" t="s">
        <v>168</v>
      </c>
      <c r="E242" s="41" t="s">
        <v>28</v>
      </c>
      <c r="F242" s="41" t="s">
        <v>25</v>
      </c>
      <c r="G242" s="41"/>
      <c r="H242" s="41" t="s">
        <v>159</v>
      </c>
      <c r="I242" s="41" t="s">
        <v>256</v>
      </c>
      <c r="J242" s="41" t="s">
        <v>374</v>
      </c>
      <c r="K242" s="41">
        <v>5</v>
      </c>
      <c r="L242" s="41">
        <v>612</v>
      </c>
      <c r="M242" s="41">
        <v>5458000</v>
      </c>
      <c r="N242" s="41">
        <v>612000</v>
      </c>
      <c r="O242" s="41">
        <v>150000</v>
      </c>
      <c r="P242" s="41">
        <v>0</v>
      </c>
      <c r="Q242" s="41"/>
      <c r="R242" s="41">
        <v>0</v>
      </c>
      <c r="S242" s="41"/>
      <c r="T242" s="57">
        <f t="shared" si="48"/>
        <v>762000</v>
      </c>
      <c r="U242" s="41">
        <v>0</v>
      </c>
      <c r="V242" s="55">
        <v>0</v>
      </c>
      <c r="W242" s="86">
        <v>0</v>
      </c>
      <c r="X242" s="41">
        <v>0</v>
      </c>
      <c r="Y242" s="57">
        <f t="shared" si="56"/>
        <v>0</v>
      </c>
      <c r="Z242" s="57">
        <f t="shared" si="50"/>
        <v>1255340</v>
      </c>
      <c r="AA242" s="41">
        <v>0</v>
      </c>
      <c r="AB242" s="41">
        <v>0</v>
      </c>
      <c r="AC242" s="41"/>
      <c r="AD242" s="41">
        <v>0</v>
      </c>
      <c r="AE242" s="41">
        <f t="shared" si="51"/>
        <v>1255340</v>
      </c>
      <c r="AF242" s="57">
        <f t="shared" si="52"/>
        <v>493340</v>
      </c>
      <c r="AG24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493340</v>
      </c>
      <c r="AH242" s="59">
        <f>IFERROR(AG242/(Z242+Table5[[#This Row],[Rider Penalty (Claim, Other Denda to Riders)]]),0)</f>
        <v>0.39299313333439545</v>
      </c>
      <c r="AI242" s="57">
        <f t="shared" si="55"/>
        <v>0</v>
      </c>
      <c r="AJ242" s="41">
        <f t="shared" si="53"/>
        <v>0</v>
      </c>
      <c r="AV242" s="109">
        <f>Table5[[#This Row],[Total Selling Comission/Sales (Weekly)]]/Table5[[#This Row],[Total Revenue Sharing % (Weekly)]]*100%</f>
        <v>0.48751732598339892</v>
      </c>
      <c r="AW242" s="109">
        <f>Table5[[#This Row],[Total Daily Incentive (Weekly)]]/Table5[[#This Row],[Total Revenue Sharing % (Weekly)]]*100%</f>
        <v>0.11948954068220562</v>
      </c>
      <c r="AX242" s="109">
        <f t="shared" si="54"/>
        <v>0.60700686666560455</v>
      </c>
    </row>
    <row r="243" spans="1:50" hidden="1">
      <c r="A243" s="41">
        <v>2024</v>
      </c>
      <c r="B243" s="41" t="s">
        <v>23</v>
      </c>
      <c r="C243" s="41" t="s">
        <v>23</v>
      </c>
      <c r="D243" s="41" t="s">
        <v>168</v>
      </c>
      <c r="E243" s="41" t="s">
        <v>28</v>
      </c>
      <c r="F243" s="41" t="s">
        <v>25</v>
      </c>
      <c r="G243" s="41"/>
      <c r="H243" s="41" t="s">
        <v>158</v>
      </c>
      <c r="I243" s="41" t="s">
        <v>279</v>
      </c>
      <c r="J243" s="41" t="s">
        <v>375</v>
      </c>
      <c r="K243" s="41">
        <v>3</v>
      </c>
      <c r="L243" s="41">
        <v>356</v>
      </c>
      <c r="M243" s="41">
        <v>3082000</v>
      </c>
      <c r="N243" s="41">
        <v>356000</v>
      </c>
      <c r="O243" s="41">
        <v>50000</v>
      </c>
      <c r="P243" s="41">
        <v>0</v>
      </c>
      <c r="Q243" s="41"/>
      <c r="R243" s="41">
        <v>0</v>
      </c>
      <c r="S243" s="41"/>
      <c r="T243" s="57">
        <f t="shared" si="48"/>
        <v>406000</v>
      </c>
      <c r="U243" s="41">
        <v>0</v>
      </c>
      <c r="V243" s="55">
        <v>0</v>
      </c>
      <c r="W243" s="86">
        <v>0</v>
      </c>
      <c r="X243" s="41">
        <v>0</v>
      </c>
      <c r="Y243" s="57">
        <f t="shared" si="56"/>
        <v>0</v>
      </c>
      <c r="Z243" s="57">
        <f t="shared" si="50"/>
        <v>708860</v>
      </c>
      <c r="AA243" s="41">
        <v>0</v>
      </c>
      <c r="AB243" s="41">
        <v>0</v>
      </c>
      <c r="AC243" s="41"/>
      <c r="AD243" s="41">
        <v>0</v>
      </c>
      <c r="AE243" s="41">
        <f t="shared" si="51"/>
        <v>708860</v>
      </c>
      <c r="AF243" s="57">
        <f t="shared" si="52"/>
        <v>302860</v>
      </c>
      <c r="AG24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302860</v>
      </c>
      <c r="AH243" s="59">
        <f>IFERROR(AG243/(Z243+Table5[[#This Row],[Rider Penalty (Claim, Other Denda to Riders)]]),0)</f>
        <v>0.42724938633862825</v>
      </c>
      <c r="AI243" s="57">
        <f t="shared" si="55"/>
        <v>0</v>
      </c>
      <c r="AJ243" s="41">
        <f t="shared" si="53"/>
        <v>0</v>
      </c>
      <c r="AV243" s="109">
        <f>Table5[[#This Row],[Total Selling Comission/Sales (Weekly)]]/Table5[[#This Row],[Total Revenue Sharing % (Weekly)]]*100%</f>
        <v>0.50221482380159688</v>
      </c>
      <c r="AW243" s="109">
        <f>Table5[[#This Row],[Total Daily Incentive (Weekly)]]/Table5[[#This Row],[Total Revenue Sharing % (Weekly)]]*100%</f>
        <v>7.053578985977485E-2</v>
      </c>
      <c r="AX243" s="109">
        <f t="shared" si="54"/>
        <v>0.57275061366137181</v>
      </c>
    </row>
    <row r="244" spans="1:50" hidden="1">
      <c r="A244" s="41">
        <v>2024</v>
      </c>
      <c r="B244" s="41" t="s">
        <v>23</v>
      </c>
      <c r="C244" s="41" t="s">
        <v>23</v>
      </c>
      <c r="D244" s="41" t="s">
        <v>168</v>
      </c>
      <c r="E244" s="41" t="s">
        <v>28</v>
      </c>
      <c r="F244" s="41" t="s">
        <v>25</v>
      </c>
      <c r="G244" s="41"/>
      <c r="H244" s="41" t="s">
        <v>158</v>
      </c>
      <c r="I244" s="41" t="s">
        <v>278</v>
      </c>
      <c r="J244" s="41" t="s">
        <v>376</v>
      </c>
      <c r="K244" s="41">
        <v>5</v>
      </c>
      <c r="L244" s="41">
        <v>857</v>
      </c>
      <c r="M244" s="41">
        <v>7504000</v>
      </c>
      <c r="N244" s="41">
        <v>857000</v>
      </c>
      <c r="O244" s="41">
        <v>120000</v>
      </c>
      <c r="P244" s="41">
        <v>0</v>
      </c>
      <c r="Q244" s="41"/>
      <c r="R244" s="41">
        <v>0</v>
      </c>
      <c r="S244" s="41"/>
      <c r="T244" s="57">
        <f t="shared" si="48"/>
        <v>977000</v>
      </c>
      <c r="U244" s="41">
        <v>0</v>
      </c>
      <c r="V244" s="55">
        <v>0</v>
      </c>
      <c r="W244" s="86">
        <v>0</v>
      </c>
      <c r="X244" s="41">
        <v>0</v>
      </c>
      <c r="Y244" s="57">
        <f t="shared" si="56"/>
        <v>0</v>
      </c>
      <c r="Z244" s="57">
        <f t="shared" si="50"/>
        <v>1725920</v>
      </c>
      <c r="AA244" s="41">
        <v>0</v>
      </c>
      <c r="AB244" s="41">
        <v>0</v>
      </c>
      <c r="AC244" s="41"/>
      <c r="AD244" s="41">
        <v>0</v>
      </c>
      <c r="AE244" s="41">
        <f t="shared" si="51"/>
        <v>1725920</v>
      </c>
      <c r="AF244" s="57">
        <f t="shared" si="52"/>
        <v>748920</v>
      </c>
      <c r="AG24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748920</v>
      </c>
      <c r="AH244" s="59">
        <f>IFERROR(AG244/(Z244+Table5[[#This Row],[Rider Penalty (Claim, Other Denda to Riders)]]),0)</f>
        <v>0.4339250950217855</v>
      </c>
      <c r="AI244" s="57">
        <f t="shared" si="55"/>
        <v>0</v>
      </c>
      <c r="AJ244" s="41">
        <f t="shared" si="53"/>
        <v>0</v>
      </c>
      <c r="AV244" s="109">
        <f>Table5[[#This Row],[Total Selling Comission/Sales (Weekly)]]/Table5[[#This Row],[Total Revenue Sharing % (Weekly)]]*100%</f>
        <v>0.49654676925929359</v>
      </c>
      <c r="AW244" s="109">
        <f>Table5[[#This Row],[Total Daily Incentive (Weekly)]]/Table5[[#This Row],[Total Revenue Sharing % (Weekly)]]*100%</f>
        <v>6.9528135718920928E-2</v>
      </c>
      <c r="AX244" s="109">
        <f t="shared" si="54"/>
        <v>0.56607490497821455</v>
      </c>
    </row>
    <row r="245" spans="1:50" hidden="1">
      <c r="A245" s="41">
        <v>2024</v>
      </c>
      <c r="B245" s="41" t="s">
        <v>23</v>
      </c>
      <c r="C245" s="41" t="s">
        <v>23</v>
      </c>
      <c r="D245" s="41" t="s">
        <v>168</v>
      </c>
      <c r="E245" s="41" t="s">
        <v>28</v>
      </c>
      <c r="F245" s="41" t="s">
        <v>25</v>
      </c>
      <c r="G245" s="41"/>
      <c r="H245" s="41" t="s">
        <v>158</v>
      </c>
      <c r="I245" s="41" t="s">
        <v>256</v>
      </c>
      <c r="J245" s="41" t="s">
        <v>377</v>
      </c>
      <c r="K245" s="41">
        <v>4</v>
      </c>
      <c r="L245" s="41">
        <v>768</v>
      </c>
      <c r="M245" s="41">
        <v>6732000</v>
      </c>
      <c r="N245" s="41">
        <v>768000</v>
      </c>
      <c r="O245" s="41">
        <v>110000</v>
      </c>
      <c r="P245" s="41">
        <v>0</v>
      </c>
      <c r="Q245" s="41"/>
      <c r="R245" s="41">
        <v>0</v>
      </c>
      <c r="S245" s="41"/>
      <c r="T245" s="57">
        <f t="shared" si="48"/>
        <v>878000</v>
      </c>
      <c r="U245" s="41">
        <v>0</v>
      </c>
      <c r="V245" s="55">
        <v>0</v>
      </c>
      <c r="W245" s="86">
        <v>0</v>
      </c>
      <c r="X245" s="41">
        <v>0</v>
      </c>
      <c r="Y245" s="57">
        <f t="shared" si="56"/>
        <v>0</v>
      </c>
      <c r="Z245" s="57">
        <f t="shared" si="50"/>
        <v>1548360</v>
      </c>
      <c r="AA245" s="41">
        <v>0</v>
      </c>
      <c r="AB245" s="41">
        <v>0</v>
      </c>
      <c r="AC245" s="41"/>
      <c r="AD245" s="41">
        <v>0</v>
      </c>
      <c r="AE245" s="41">
        <f t="shared" si="51"/>
        <v>1548360</v>
      </c>
      <c r="AF245" s="57">
        <f t="shared" si="52"/>
        <v>670360</v>
      </c>
      <c r="AG24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670360</v>
      </c>
      <c r="AH245" s="59">
        <f>IFERROR(AG245/(Z245+Table5[[#This Row],[Rider Penalty (Claim, Other Denda to Riders)]]),0)</f>
        <v>0.43294840993050709</v>
      </c>
      <c r="AI245" s="57">
        <f t="shared" si="55"/>
        <v>0</v>
      </c>
      <c r="AJ245" s="41">
        <f t="shared" si="53"/>
        <v>0</v>
      </c>
      <c r="AV245" s="109">
        <f>Table5[[#This Row],[Total Selling Comission/Sales (Weekly)]]/Table5[[#This Row],[Total Revenue Sharing % (Weekly)]]*100%</f>
        <v>0.49600868015190264</v>
      </c>
      <c r="AW245" s="109">
        <f>Table5[[#This Row],[Total Daily Incentive (Weekly)]]/Table5[[#This Row],[Total Revenue Sharing % (Weekly)]]*100%</f>
        <v>7.1042909917590227E-2</v>
      </c>
      <c r="AX245" s="109">
        <f t="shared" si="54"/>
        <v>0.56705159006949291</v>
      </c>
    </row>
    <row r="246" spans="1:50" hidden="1">
      <c r="A246" s="41">
        <v>2024</v>
      </c>
      <c r="B246" s="41" t="s">
        <v>23</v>
      </c>
      <c r="C246" s="41" t="s">
        <v>23</v>
      </c>
      <c r="D246" s="41" t="s">
        <v>168</v>
      </c>
      <c r="E246" s="41" t="s">
        <v>28</v>
      </c>
      <c r="F246" s="41" t="s">
        <v>25</v>
      </c>
      <c r="G246" s="41"/>
      <c r="H246" s="41" t="s">
        <v>158</v>
      </c>
      <c r="I246" s="41" t="s">
        <v>275</v>
      </c>
      <c r="J246" s="41" t="s">
        <v>378</v>
      </c>
      <c r="K246" s="41">
        <v>4</v>
      </c>
      <c r="L246" s="41">
        <v>973</v>
      </c>
      <c r="M246" s="41">
        <v>8460000</v>
      </c>
      <c r="N246" s="41">
        <v>973000</v>
      </c>
      <c r="O246" s="41">
        <v>170000</v>
      </c>
      <c r="P246" s="41">
        <v>0</v>
      </c>
      <c r="Q246" s="41"/>
      <c r="R246" s="41">
        <v>0</v>
      </c>
      <c r="S246" s="41"/>
      <c r="T246" s="57">
        <f t="shared" si="48"/>
        <v>1143000</v>
      </c>
      <c r="U246" s="41">
        <v>0</v>
      </c>
      <c r="V246" s="55">
        <v>0</v>
      </c>
      <c r="W246" s="86">
        <v>0</v>
      </c>
      <c r="X246" s="41">
        <v>0</v>
      </c>
      <c r="Y246" s="57">
        <f t="shared" si="56"/>
        <v>0</v>
      </c>
      <c r="Z246" s="57">
        <f t="shared" si="50"/>
        <v>1945800</v>
      </c>
      <c r="AA246" s="41">
        <v>0</v>
      </c>
      <c r="AB246" s="41">
        <v>0</v>
      </c>
      <c r="AC246" s="41"/>
      <c r="AD246" s="41">
        <v>0</v>
      </c>
      <c r="AE246" s="41">
        <f t="shared" si="51"/>
        <v>1945800</v>
      </c>
      <c r="AF246" s="57">
        <f t="shared" si="52"/>
        <v>802800</v>
      </c>
      <c r="AG24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802800</v>
      </c>
      <c r="AH246" s="59">
        <f>IFERROR(AG246/(Z246+Table5[[#This Row],[Rider Penalty (Claim, Other Denda to Riders)]]),0)</f>
        <v>0.4125809435707678</v>
      </c>
      <c r="AI246" s="57">
        <f t="shared" si="55"/>
        <v>0</v>
      </c>
      <c r="AJ246" s="41">
        <f t="shared" si="53"/>
        <v>0</v>
      </c>
      <c r="AV246" s="109">
        <f>Table5[[#This Row],[Total Selling Comission/Sales (Weekly)]]/Table5[[#This Row],[Total Revenue Sharing % (Weekly)]]*100%</f>
        <v>0.50005139274334465</v>
      </c>
      <c r="AW246" s="109">
        <f>Table5[[#This Row],[Total Daily Incentive (Weekly)]]/Table5[[#This Row],[Total Revenue Sharing % (Weekly)]]*100%</f>
        <v>8.7367663685887553E-2</v>
      </c>
      <c r="AX246" s="109">
        <f t="shared" si="54"/>
        <v>0.5874190564292322</v>
      </c>
    </row>
    <row r="247" spans="1:50" hidden="1">
      <c r="A247" s="41">
        <v>2024</v>
      </c>
      <c r="B247" s="41" t="s">
        <v>23</v>
      </c>
      <c r="C247" s="41" t="s">
        <v>23</v>
      </c>
      <c r="D247" s="41" t="s">
        <v>168</v>
      </c>
      <c r="E247" s="41" t="s">
        <v>28</v>
      </c>
      <c r="F247" s="41" t="s">
        <v>25</v>
      </c>
      <c r="G247" s="41"/>
      <c r="H247" s="41" t="s">
        <v>21</v>
      </c>
      <c r="I247" s="41" t="s">
        <v>280</v>
      </c>
      <c r="J247" s="41" t="s">
        <v>379</v>
      </c>
      <c r="K247" s="41">
        <v>5</v>
      </c>
      <c r="L247" s="41">
        <v>1044</v>
      </c>
      <c r="M247" s="41">
        <v>8932000</v>
      </c>
      <c r="N247" s="41">
        <v>1044000</v>
      </c>
      <c r="O247" s="41">
        <v>150000</v>
      </c>
      <c r="P247" s="41">
        <v>0</v>
      </c>
      <c r="Q247" s="41"/>
      <c r="R247" s="41">
        <v>0</v>
      </c>
      <c r="S247" s="41"/>
      <c r="T247" s="57">
        <f t="shared" si="48"/>
        <v>1194000</v>
      </c>
      <c r="U247" s="41">
        <v>0</v>
      </c>
      <c r="V247" s="55">
        <v>0</v>
      </c>
      <c r="W247" s="86">
        <v>0</v>
      </c>
      <c r="X247" s="41">
        <v>0</v>
      </c>
      <c r="Y247" s="57">
        <f t="shared" si="56"/>
        <v>0</v>
      </c>
      <c r="Z247" s="57">
        <f t="shared" si="50"/>
        <v>2054360</v>
      </c>
      <c r="AA247" s="41">
        <v>0</v>
      </c>
      <c r="AB247" s="41">
        <v>0</v>
      </c>
      <c r="AC247" s="41"/>
      <c r="AD247" s="41">
        <v>0</v>
      </c>
      <c r="AE247" s="41">
        <f t="shared" si="51"/>
        <v>2054360</v>
      </c>
      <c r="AF247" s="57">
        <f t="shared" si="52"/>
        <v>860360</v>
      </c>
      <c r="AG24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860360</v>
      </c>
      <c r="AH247" s="59">
        <f>IFERROR(AG247/(Z247+Table5[[#This Row],[Rider Penalty (Claim, Other Denda to Riders)]]),0)</f>
        <v>0.41879709495901402</v>
      </c>
      <c r="AI247" s="57">
        <f t="shared" si="55"/>
        <v>0</v>
      </c>
      <c r="AJ247" s="41">
        <f t="shared" si="53"/>
        <v>0</v>
      </c>
      <c r="AV247" s="109">
        <f>Table5[[#This Row],[Total Selling Comission/Sales (Weekly)]]/Table5[[#This Row],[Total Revenue Sharing % (Weekly)]]*100%</f>
        <v>0.50818746470920384</v>
      </c>
      <c r="AW247" s="109">
        <f>Table5[[#This Row],[Total Daily Incentive (Weekly)]]/Table5[[#This Row],[Total Revenue Sharing % (Weekly)]]*100%</f>
        <v>7.3015440331782158E-2</v>
      </c>
      <c r="AX247" s="109">
        <f t="shared" si="54"/>
        <v>0.58120290504098604</v>
      </c>
    </row>
    <row r="248" spans="1:50" hidden="1">
      <c r="A248" s="41">
        <v>2024</v>
      </c>
      <c r="B248" s="54" t="s">
        <v>23</v>
      </c>
      <c r="C248" s="54" t="s">
        <v>23</v>
      </c>
      <c r="D248" s="54" t="s">
        <v>168</v>
      </c>
      <c r="E248" s="54" t="s">
        <v>28</v>
      </c>
      <c r="F248" s="54" t="s">
        <v>25</v>
      </c>
      <c r="G248" s="54"/>
      <c r="H248" s="54" t="s">
        <v>21</v>
      </c>
      <c r="I248" s="54" t="s">
        <v>279</v>
      </c>
      <c r="J248" s="54" t="s">
        <v>380</v>
      </c>
      <c r="K248" s="54">
        <v>3</v>
      </c>
      <c r="L248" s="54">
        <v>283</v>
      </c>
      <c r="M248" s="54">
        <v>2458000</v>
      </c>
      <c r="N248" s="54">
        <v>303000</v>
      </c>
      <c r="O248" s="54">
        <v>450000</v>
      </c>
      <c r="P248" s="54">
        <v>0</v>
      </c>
      <c r="Q248" s="54"/>
      <c r="R248" s="54">
        <v>0</v>
      </c>
      <c r="S248" s="54"/>
      <c r="T248" s="54">
        <f t="shared" si="48"/>
        <v>753000</v>
      </c>
      <c r="U248" s="54">
        <v>0</v>
      </c>
      <c r="V248" s="110">
        <v>0</v>
      </c>
      <c r="W248" s="111">
        <v>0</v>
      </c>
      <c r="X248" s="54">
        <v>0</v>
      </c>
      <c r="Y248" s="54">
        <f t="shared" si="56"/>
        <v>0</v>
      </c>
      <c r="Z248" s="54">
        <f t="shared" si="50"/>
        <v>565340</v>
      </c>
      <c r="AA248" s="54">
        <v>0</v>
      </c>
      <c r="AB248" s="54">
        <v>0</v>
      </c>
      <c r="AC248" s="54"/>
      <c r="AD248" s="54">
        <v>0</v>
      </c>
      <c r="AE248" s="54">
        <f t="shared" si="51"/>
        <v>565340</v>
      </c>
      <c r="AF248" s="54">
        <f t="shared" si="52"/>
        <v>-187660</v>
      </c>
      <c r="AG248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-187660</v>
      </c>
      <c r="AH248" s="54">
        <f>IFERROR(AG248/(Z248+Table5[[#This Row],[Rider Penalty (Claim, Other Denda to Riders)]]),0)</f>
        <v>-0.33194184030848695</v>
      </c>
      <c r="AI248" s="54">
        <f t="shared" si="55"/>
        <v>0</v>
      </c>
      <c r="AJ248" s="54">
        <f t="shared" si="53"/>
        <v>0</v>
      </c>
      <c r="AV248" s="109">
        <f>Table5[[#This Row],[Total Selling Comission/Sales (Weekly)]]/Table5[[#This Row],[Total Revenue Sharing % (Weekly)]]*100%</f>
        <v>0.5359606608412637</v>
      </c>
      <c r="AW248" s="109">
        <f>Table5[[#This Row],[Total Daily Incentive (Weekly)]]/Table5[[#This Row],[Total Revenue Sharing % (Weekly)]]*100%</f>
        <v>0.79598117946722324</v>
      </c>
      <c r="AX248" s="109">
        <f t="shared" si="54"/>
        <v>1.3319418403084868</v>
      </c>
    </row>
    <row r="249" spans="1:50" hidden="1">
      <c r="A249" s="41">
        <v>2025</v>
      </c>
      <c r="B249" s="54" t="s">
        <v>23</v>
      </c>
      <c r="C249" s="54" t="s">
        <v>23</v>
      </c>
      <c r="D249" s="54" t="s">
        <v>168</v>
      </c>
      <c r="E249" s="54" t="s">
        <v>28</v>
      </c>
      <c r="F249" s="54" t="s">
        <v>25</v>
      </c>
      <c r="G249" s="54">
        <v>16</v>
      </c>
      <c r="H249" s="54" t="s">
        <v>160</v>
      </c>
      <c r="I249" s="54" t="s">
        <v>278</v>
      </c>
      <c r="J249" s="54" t="s">
        <v>193</v>
      </c>
      <c r="K249" s="54">
        <v>244</v>
      </c>
      <c r="L249" s="54">
        <v>78589</v>
      </c>
      <c r="M249" s="54">
        <v>687965000</v>
      </c>
      <c r="N249" s="54">
        <v>78570500</v>
      </c>
      <c r="O249" s="54">
        <v>57075000</v>
      </c>
      <c r="P249" s="54">
        <v>0</v>
      </c>
      <c r="Q249" s="54"/>
      <c r="R249" s="54">
        <v>0</v>
      </c>
      <c r="S249" s="54"/>
      <c r="T249" s="54">
        <f t="shared" si="48"/>
        <v>135645500</v>
      </c>
      <c r="U249" s="54">
        <v>700000</v>
      </c>
      <c r="V249" s="110">
        <v>57575000</v>
      </c>
      <c r="W249" s="111">
        <v>0</v>
      </c>
      <c r="X249" s="54">
        <v>295129</v>
      </c>
      <c r="Y249" s="54">
        <f t="shared" si="56"/>
        <v>58570129</v>
      </c>
      <c r="Z249" s="54">
        <f t="shared" si="50"/>
        <v>158231950</v>
      </c>
      <c r="AA249" s="54">
        <f>7/30*131927871</f>
        <v>30783169.900000002</v>
      </c>
      <c r="AB249" s="54">
        <f>7/30*131927871</f>
        <v>30783169.900000002</v>
      </c>
      <c r="AC249" s="54"/>
      <c r="AD249" s="54">
        <v>0</v>
      </c>
      <c r="AE249" s="54">
        <f t="shared" si="51"/>
        <v>219798289.80000001</v>
      </c>
      <c r="AF249" s="54">
        <f t="shared" si="52"/>
        <v>25582660.800000012</v>
      </c>
      <c r="AG249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21591321</v>
      </c>
      <c r="AH249" s="54">
        <f>IFERROR(AG249/(Z249+Table5[[#This Row],[Rider Penalty (Claim, Other Denda to Riders)]]),0)</f>
        <v>0.13645361129658073</v>
      </c>
      <c r="AI249" s="54">
        <f t="shared" si="55"/>
        <v>3991339.8000000045</v>
      </c>
      <c r="AJ249" s="54">
        <f t="shared" si="53"/>
        <v>6.482990239416514E-2</v>
      </c>
      <c r="AK249" s="88" t="s">
        <v>381</v>
      </c>
      <c r="AV249" s="109">
        <f>Table5[[#This Row],[Total Selling Comission/Sales (Weekly)]]/Table5[[#This Row],[Total Revenue Sharing % (Weekly)]]*100%</f>
        <v>0.49655268736813268</v>
      </c>
      <c r="AW249" s="109">
        <f>Table5[[#This Row],[Total Daily Incentive (Weekly)]]/Table5[[#This Row],[Total Revenue Sharing % (Weekly)]]*100%</f>
        <v>0.36070464909267691</v>
      </c>
      <c r="AX249" s="109">
        <f t="shared" si="54"/>
        <v>0.85725733646080959</v>
      </c>
    </row>
    <row r="250" spans="1:50" hidden="1">
      <c r="A250">
        <v>2025</v>
      </c>
      <c r="B250" t="s">
        <v>23</v>
      </c>
      <c r="C250" t="s">
        <v>172</v>
      </c>
      <c r="D250" t="s">
        <v>168</v>
      </c>
      <c r="E250" s="41" t="s">
        <v>28</v>
      </c>
      <c r="F250" s="41" t="s">
        <v>31</v>
      </c>
      <c r="G250" s="41">
        <v>16</v>
      </c>
      <c r="H250" s="54" t="s">
        <v>160</v>
      </c>
      <c r="I250" s="54" t="s">
        <v>278</v>
      </c>
      <c r="J250" s="54" t="s">
        <v>193</v>
      </c>
      <c r="K250" s="41">
        <v>21</v>
      </c>
      <c r="L250" s="41">
        <v>6367</v>
      </c>
      <c r="M250" s="54">
        <v>56210000</v>
      </c>
      <c r="N250" s="54">
        <v>6367000</v>
      </c>
      <c r="O250" s="54">
        <v>4725000</v>
      </c>
      <c r="P250" s="54">
        <v>0</v>
      </c>
      <c r="Q250" s="54"/>
      <c r="R250" s="54">
        <v>0</v>
      </c>
      <c r="S250" s="54"/>
      <c r="T250" s="54">
        <f t="shared" si="48"/>
        <v>11092000</v>
      </c>
      <c r="U250" s="54">
        <v>0</v>
      </c>
      <c r="V250" s="110">
        <v>4865000</v>
      </c>
      <c r="W250" s="111">
        <v>0</v>
      </c>
      <c r="X250" s="54">
        <v>411871</v>
      </c>
      <c r="Y250" s="54">
        <f t="shared" si="56"/>
        <v>5276871</v>
      </c>
      <c r="Z250" s="54">
        <f t="shared" si="50"/>
        <v>12928300</v>
      </c>
      <c r="AA250" s="54">
        <v>2502000</v>
      </c>
      <c r="AB250" s="16">
        <f>7/30*11165419</f>
        <v>2605264.4333333336</v>
      </c>
      <c r="AC250" s="16"/>
      <c r="AD250" s="54">
        <v>0</v>
      </c>
      <c r="AE250" s="54">
        <f t="shared" si="51"/>
        <v>18035564.433333334</v>
      </c>
      <c r="AF250" s="54">
        <f t="shared" si="52"/>
        <v>1666693.4333333336</v>
      </c>
      <c r="AG250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1424429</v>
      </c>
      <c r="AH250" s="54">
        <f>IFERROR(AG250/(Z250+Table5[[#This Row],[Rider Penalty (Claim, Other Denda to Riders)]]),0)</f>
        <v>0.11017914188253676</v>
      </c>
      <c r="AI250" s="57">
        <f t="shared" si="55"/>
        <v>242264.43333333358</v>
      </c>
      <c r="AJ250" s="41">
        <f t="shared" si="53"/>
        <v>4.7435263338267378E-2</v>
      </c>
      <c r="AK250" s="88" t="s">
        <v>381</v>
      </c>
      <c r="AV250" s="109">
        <f>Table5[[#This Row],[Total Selling Comission/Sales (Weekly)]]/Table5[[#This Row],[Total Revenue Sharing % (Weekly)]]*100%</f>
        <v>0.49248547759566225</v>
      </c>
      <c r="AW250" s="109">
        <f>Table5[[#This Row],[Total Daily Incentive (Weekly)]]/Table5[[#This Row],[Total Revenue Sharing % (Weekly)]]*100%</f>
        <v>0.36547728626346854</v>
      </c>
      <c r="AX250" s="109">
        <f t="shared" si="54"/>
        <v>0.85796276385913073</v>
      </c>
    </row>
    <row r="251" spans="1:50" hidden="1">
      <c r="A251" s="41">
        <v>2025</v>
      </c>
      <c r="B251" s="41" t="s">
        <v>27</v>
      </c>
      <c r="C251" s="41" t="s">
        <v>27</v>
      </c>
      <c r="D251" s="41" t="s">
        <v>169</v>
      </c>
      <c r="E251" s="41" t="s">
        <v>28</v>
      </c>
      <c r="F251" s="48" t="s">
        <v>28</v>
      </c>
      <c r="G251" s="41">
        <v>16</v>
      </c>
      <c r="H251" s="54" t="s">
        <v>160</v>
      </c>
      <c r="I251" s="54" t="s">
        <v>278</v>
      </c>
      <c r="J251" s="54" t="s">
        <v>193</v>
      </c>
      <c r="K251" s="54">
        <v>4</v>
      </c>
      <c r="L251" s="54">
        <v>450</v>
      </c>
      <c r="M251" s="113">
        <v>4843000</v>
      </c>
      <c r="N251" s="54">
        <v>450000</v>
      </c>
      <c r="O251" s="54">
        <v>450000</v>
      </c>
      <c r="P251" s="54">
        <v>0</v>
      </c>
      <c r="Q251" s="54"/>
      <c r="R251" s="54">
        <v>0</v>
      </c>
      <c r="S251" s="54"/>
      <c r="T251" s="54">
        <f t="shared" si="48"/>
        <v>900000</v>
      </c>
      <c r="U251" s="54">
        <v>0</v>
      </c>
      <c r="V251" s="110">
        <v>980000</v>
      </c>
      <c r="W251" s="111">
        <v>0</v>
      </c>
      <c r="X251" s="54">
        <v>0</v>
      </c>
      <c r="Y251" s="54">
        <f t="shared" si="56"/>
        <v>980000</v>
      </c>
      <c r="Z251" s="54">
        <f>30%*M251</f>
        <v>1452900</v>
      </c>
      <c r="AA251" s="54">
        <v>280000</v>
      </c>
      <c r="AB251" s="41">
        <v>0</v>
      </c>
      <c r="AC251" s="41"/>
      <c r="AD251" s="41">
        <v>0</v>
      </c>
      <c r="AE251" s="41">
        <f t="shared" si="51"/>
        <v>1732900</v>
      </c>
      <c r="AF251" s="57">
        <f t="shared" si="52"/>
        <v>-147100</v>
      </c>
      <c r="AG25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552900</v>
      </c>
      <c r="AH251" s="59">
        <f>IFERROR(AG251/(Z251+Table5[[#This Row],[Rider Penalty (Claim, Other Denda to Riders)]]),0)</f>
        <v>0.38054924633491638</v>
      </c>
      <c r="AI251" s="57">
        <f t="shared" si="55"/>
        <v>-700000</v>
      </c>
      <c r="AJ251" s="41">
        <f t="shared" si="53"/>
        <v>-2.5</v>
      </c>
      <c r="AK251" s="88" t="s">
        <v>381</v>
      </c>
      <c r="AV251" s="109"/>
      <c r="AW251" s="109"/>
      <c r="AX251" s="109"/>
    </row>
    <row r="252" spans="1:50" hidden="1">
      <c r="A252" s="41">
        <v>2025</v>
      </c>
      <c r="B252" s="41" t="s">
        <v>29</v>
      </c>
      <c r="C252" s="41" t="s">
        <v>29</v>
      </c>
      <c r="D252" s="41" t="s">
        <v>169</v>
      </c>
      <c r="E252" s="41" t="s">
        <v>28</v>
      </c>
      <c r="F252" s="41" t="s">
        <v>28</v>
      </c>
      <c r="G252" s="41">
        <v>16</v>
      </c>
      <c r="H252" s="54" t="s">
        <v>160</v>
      </c>
      <c r="I252" s="54" t="s">
        <v>278</v>
      </c>
      <c r="J252" s="54" t="s">
        <v>193</v>
      </c>
      <c r="K252" s="16">
        <v>3</v>
      </c>
      <c r="L252" s="16">
        <v>144</v>
      </c>
      <c r="M252" s="113">
        <v>1332000</v>
      </c>
      <c r="N252" s="16">
        <v>144000</v>
      </c>
      <c r="O252" s="16">
        <v>250000</v>
      </c>
      <c r="P252" s="16">
        <v>0</v>
      </c>
      <c r="Q252" s="16"/>
      <c r="R252" s="16">
        <v>0</v>
      </c>
      <c r="S252" s="16"/>
      <c r="T252" s="16">
        <f t="shared" si="48"/>
        <v>394000</v>
      </c>
      <c r="U252" s="16">
        <v>0</v>
      </c>
      <c r="V252" s="112">
        <v>490000</v>
      </c>
      <c r="W252" s="111">
        <v>0</v>
      </c>
      <c r="X252" s="16">
        <v>0</v>
      </c>
      <c r="Y252" s="16">
        <f t="shared" si="56"/>
        <v>490000</v>
      </c>
      <c r="Z252" s="54">
        <f>30%*M252</f>
        <v>399600</v>
      </c>
      <c r="AA252" s="16">
        <v>140000</v>
      </c>
      <c r="AB252">
        <v>0</v>
      </c>
      <c r="AD252">
        <v>0</v>
      </c>
      <c r="AE252">
        <f t="shared" si="51"/>
        <v>539600</v>
      </c>
      <c r="AF252" s="12">
        <f t="shared" si="52"/>
        <v>-344400</v>
      </c>
      <c r="AG25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5600</v>
      </c>
      <c r="AH252" s="13">
        <f>IFERROR(AG252/(Z252+Table5[[#This Row],[Rider Penalty (Claim, Other Denda to Riders)]]),0)</f>
        <v>1.4014014014014014E-2</v>
      </c>
      <c r="AI252" s="12">
        <f t="shared" si="55"/>
        <v>-350000</v>
      </c>
      <c r="AJ252">
        <f t="shared" si="53"/>
        <v>-2.5</v>
      </c>
      <c r="AK252" s="88" t="s">
        <v>381</v>
      </c>
      <c r="AV252" s="109"/>
      <c r="AW252" s="109"/>
      <c r="AX252" s="109"/>
    </row>
    <row r="253" spans="1:50" hidden="1">
      <c r="A253" s="41">
        <v>2025</v>
      </c>
      <c r="B253" s="41" t="s">
        <v>171</v>
      </c>
      <c r="C253" s="41" t="s">
        <v>171</v>
      </c>
      <c r="D253" s="41" t="s">
        <v>168</v>
      </c>
      <c r="E253" s="41" t="s">
        <v>28</v>
      </c>
      <c r="F253" s="41" t="s">
        <v>28</v>
      </c>
      <c r="G253" s="41">
        <v>16</v>
      </c>
      <c r="H253" s="54" t="s">
        <v>160</v>
      </c>
      <c r="I253" s="54" t="s">
        <v>278</v>
      </c>
      <c r="J253" s="54" t="s">
        <v>193</v>
      </c>
      <c r="K253" s="16">
        <v>5</v>
      </c>
      <c r="L253" s="16">
        <v>384</v>
      </c>
      <c r="M253" s="113">
        <v>2298000</v>
      </c>
      <c r="N253" s="16">
        <v>227200</v>
      </c>
      <c r="O253" s="16">
        <v>525000</v>
      </c>
      <c r="P253" s="16">
        <v>0</v>
      </c>
      <c r="Q253" s="16"/>
      <c r="R253" s="16">
        <v>0</v>
      </c>
      <c r="S253" s="16"/>
      <c r="T253" s="16">
        <f t="shared" si="48"/>
        <v>752200</v>
      </c>
      <c r="U253" s="16">
        <v>0</v>
      </c>
      <c r="V253" s="112">
        <v>1225000</v>
      </c>
      <c r="W253" s="111">
        <v>0</v>
      </c>
      <c r="X253" s="16">
        <v>8</v>
      </c>
      <c r="Y253" s="16">
        <f t="shared" si="56"/>
        <v>1225008</v>
      </c>
      <c r="Z253" s="54">
        <f>30%*M253</f>
        <v>689400</v>
      </c>
      <c r="AA253" s="16">
        <v>350000</v>
      </c>
      <c r="AB253">
        <v>0</v>
      </c>
      <c r="AD253">
        <v>0</v>
      </c>
      <c r="AE253">
        <f t="shared" si="51"/>
        <v>1039400</v>
      </c>
      <c r="AF253" s="12">
        <f t="shared" si="52"/>
        <v>-937808</v>
      </c>
      <c r="AG25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-62808</v>
      </c>
      <c r="AH253" s="13">
        <f>IFERROR(AG253/(Z253+Table5[[#This Row],[Rider Penalty (Claim, Other Denda to Riders)]]),0)</f>
        <v>-9.1105308964316803E-2</v>
      </c>
      <c r="AI253" s="12">
        <f t="shared" si="55"/>
        <v>-875000</v>
      </c>
      <c r="AJ253">
        <f t="shared" si="53"/>
        <v>-2.5</v>
      </c>
      <c r="AK253" s="88" t="s">
        <v>381</v>
      </c>
      <c r="AV253" s="109"/>
      <c r="AW253" s="109"/>
      <c r="AX253" s="109"/>
    </row>
    <row r="254" spans="1:50" hidden="1">
      <c r="A254" s="41">
        <v>2025</v>
      </c>
      <c r="B254" s="41" t="s">
        <v>201</v>
      </c>
      <c r="C254" s="41" t="s">
        <v>201</v>
      </c>
      <c r="D254" s="41" t="s">
        <v>169</v>
      </c>
      <c r="E254" s="41" t="s">
        <v>28</v>
      </c>
      <c r="F254" s="41" t="s">
        <v>28</v>
      </c>
      <c r="G254" s="41">
        <v>16</v>
      </c>
      <c r="H254" s="54" t="s">
        <v>160</v>
      </c>
      <c r="I254" s="54" t="s">
        <v>278</v>
      </c>
      <c r="J254" s="54" t="s">
        <v>193</v>
      </c>
      <c r="K254" s="16">
        <v>2</v>
      </c>
      <c r="L254" s="16">
        <v>14</v>
      </c>
      <c r="M254" s="16">
        <v>158000</v>
      </c>
      <c r="N254" s="16">
        <v>14000</v>
      </c>
      <c r="O254" s="16">
        <v>100000</v>
      </c>
      <c r="P254" s="16">
        <v>0</v>
      </c>
      <c r="Q254" s="16"/>
      <c r="R254" s="16">
        <v>0</v>
      </c>
      <c r="S254" s="16"/>
      <c r="T254" s="16">
        <f t="shared" si="48"/>
        <v>114000</v>
      </c>
      <c r="U254" s="16">
        <v>0</v>
      </c>
      <c r="V254" s="112">
        <v>280000</v>
      </c>
      <c r="W254" s="111">
        <v>0</v>
      </c>
      <c r="X254" s="16">
        <v>0</v>
      </c>
      <c r="Y254" s="16">
        <f t="shared" si="56"/>
        <v>280000</v>
      </c>
      <c r="Z254" s="54">
        <f>30%*M254</f>
        <v>47400</v>
      </c>
      <c r="AA254" s="16">
        <v>80000</v>
      </c>
      <c r="AB254">
        <v>0</v>
      </c>
      <c r="AD254">
        <v>0</v>
      </c>
      <c r="AE254">
        <f t="shared" si="51"/>
        <v>127400</v>
      </c>
      <c r="AF254" s="12">
        <f t="shared" si="52"/>
        <v>-266600</v>
      </c>
      <c r="AG25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-66600</v>
      </c>
      <c r="AH254" s="13">
        <f>IFERROR(AG254/(Z254+Table5[[#This Row],[Rider Penalty (Claim, Other Denda to Riders)]]),0)</f>
        <v>-1.4050632911392404</v>
      </c>
      <c r="AI254" s="12">
        <f t="shared" si="55"/>
        <v>-200000</v>
      </c>
      <c r="AJ254">
        <f t="shared" si="53"/>
        <v>-2.5</v>
      </c>
      <c r="AK254" s="88" t="s">
        <v>381</v>
      </c>
      <c r="AV254" s="109"/>
      <c r="AW254" s="109"/>
      <c r="AX254" s="109"/>
    </row>
    <row r="255" spans="1:50" hidden="1">
      <c r="A255" s="41">
        <v>2025</v>
      </c>
      <c r="B255" s="41" t="s">
        <v>175</v>
      </c>
      <c r="C255" s="41" t="s">
        <v>175</v>
      </c>
      <c r="D255" s="41" t="s">
        <v>169</v>
      </c>
      <c r="E255" s="41" t="s">
        <v>28</v>
      </c>
      <c r="F255" s="41" t="s">
        <v>28</v>
      </c>
      <c r="G255" s="41">
        <v>16</v>
      </c>
      <c r="H255" s="54" t="s">
        <v>160</v>
      </c>
      <c r="I255" s="54" t="s">
        <v>278</v>
      </c>
      <c r="J255" s="54" t="s">
        <v>193</v>
      </c>
      <c r="K255" s="16">
        <v>4</v>
      </c>
      <c r="L255" s="16">
        <v>220</v>
      </c>
      <c r="M255" s="16">
        <v>1482000</v>
      </c>
      <c r="N255" s="16">
        <v>220000</v>
      </c>
      <c r="O255" s="16">
        <v>375000</v>
      </c>
      <c r="P255" s="16">
        <v>0</v>
      </c>
      <c r="Q255" s="16"/>
      <c r="R255" s="16">
        <v>0</v>
      </c>
      <c r="S255" s="16"/>
      <c r="T255" s="16">
        <f t="shared" si="48"/>
        <v>595000</v>
      </c>
      <c r="U255" s="16">
        <v>0</v>
      </c>
      <c r="V255" s="112">
        <v>875000</v>
      </c>
      <c r="W255" s="111">
        <v>0</v>
      </c>
      <c r="X255" s="16">
        <v>0</v>
      </c>
      <c r="Y255" s="16">
        <f t="shared" si="56"/>
        <v>875000</v>
      </c>
      <c r="Z255" s="57">
        <f>29%*M255</f>
        <v>429779.99999999994</v>
      </c>
      <c r="AA255" s="16">
        <v>250000</v>
      </c>
      <c r="AB255">
        <v>0</v>
      </c>
      <c r="AD255">
        <v>0</v>
      </c>
      <c r="AE255">
        <f t="shared" si="51"/>
        <v>679780</v>
      </c>
      <c r="AF255" s="12">
        <f t="shared" si="52"/>
        <v>-790220</v>
      </c>
      <c r="AG25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-165220.00000000006</v>
      </c>
      <c r="AH255" s="13">
        <f>IFERROR(AG255/(Z255+Table5[[#This Row],[Rider Penalty (Claim, Other Denda to Riders)]]),0)</f>
        <v>-0.38442924286844449</v>
      </c>
      <c r="AI255" s="12">
        <f t="shared" si="55"/>
        <v>-625000</v>
      </c>
      <c r="AJ255">
        <f t="shared" si="53"/>
        <v>-2.5</v>
      </c>
      <c r="AK255" s="88" t="s">
        <v>381</v>
      </c>
      <c r="AV255" s="109"/>
      <c r="AW255" s="109"/>
      <c r="AX255" s="109"/>
    </row>
    <row r="256" spans="1:50" hidden="1">
      <c r="A256" s="41">
        <v>2025</v>
      </c>
      <c r="B256" s="41" t="s">
        <v>199</v>
      </c>
      <c r="C256" s="41" t="s">
        <v>199</v>
      </c>
      <c r="D256" s="41" t="s">
        <v>169</v>
      </c>
      <c r="E256" s="41" t="s">
        <v>28</v>
      </c>
      <c r="F256" s="41" t="s">
        <v>28</v>
      </c>
      <c r="G256" s="41">
        <v>16</v>
      </c>
      <c r="H256" s="54" t="s">
        <v>160</v>
      </c>
      <c r="I256" s="54" t="s">
        <v>278</v>
      </c>
      <c r="J256" s="54" t="s">
        <v>193</v>
      </c>
      <c r="K256" s="16">
        <v>1</v>
      </c>
      <c r="L256" s="16">
        <v>27</v>
      </c>
      <c r="M256" s="16">
        <v>290000</v>
      </c>
      <c r="N256" s="16">
        <v>27000</v>
      </c>
      <c r="O256" s="16">
        <v>125000</v>
      </c>
      <c r="P256" s="16">
        <v>0</v>
      </c>
      <c r="Q256" s="16"/>
      <c r="R256" s="16">
        <v>0</v>
      </c>
      <c r="S256" s="16"/>
      <c r="T256" s="16">
        <f t="shared" si="48"/>
        <v>152000</v>
      </c>
      <c r="U256" s="16">
        <v>0</v>
      </c>
      <c r="V256" s="112">
        <v>245000</v>
      </c>
      <c r="W256" s="111">
        <v>0</v>
      </c>
      <c r="X256" s="16">
        <v>0</v>
      </c>
      <c r="Y256" s="16">
        <f t="shared" si="56"/>
        <v>245000</v>
      </c>
      <c r="Z256" s="54">
        <f>30%*M256</f>
        <v>87000</v>
      </c>
      <c r="AA256" s="16">
        <v>70000</v>
      </c>
      <c r="AB256">
        <v>0</v>
      </c>
      <c r="AD256">
        <v>0</v>
      </c>
      <c r="AE256">
        <f t="shared" si="51"/>
        <v>157000</v>
      </c>
      <c r="AF256" s="12">
        <f t="shared" si="52"/>
        <v>-240000</v>
      </c>
      <c r="AG25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-65000</v>
      </c>
      <c r="AH256" s="13">
        <f>IFERROR(AG256/(Z256+Table5[[#This Row],[Rider Penalty (Claim, Other Denda to Riders)]]),0)</f>
        <v>-0.74712643678160917</v>
      </c>
      <c r="AI256" s="12">
        <f t="shared" si="55"/>
        <v>-175000</v>
      </c>
      <c r="AJ256">
        <f t="shared" si="53"/>
        <v>-2.5</v>
      </c>
      <c r="AV256" s="109"/>
      <c r="AW256" s="109"/>
      <c r="AX256" s="109"/>
    </row>
    <row r="257" spans="1:50" hidden="1">
      <c r="A257" s="41">
        <v>2025</v>
      </c>
      <c r="B257" s="54" t="s">
        <v>23</v>
      </c>
      <c r="C257" s="54" t="s">
        <v>23</v>
      </c>
      <c r="D257" s="54" t="s">
        <v>168</v>
      </c>
      <c r="E257" s="54" t="s">
        <v>28</v>
      </c>
      <c r="F257" s="54" t="s">
        <v>25</v>
      </c>
      <c r="G257" s="41">
        <v>17</v>
      </c>
      <c r="H257" s="41" t="s">
        <v>160</v>
      </c>
      <c r="I257" s="54" t="s">
        <v>279</v>
      </c>
      <c r="J257" s="41" t="s">
        <v>194</v>
      </c>
      <c r="K257" s="54">
        <v>253</v>
      </c>
      <c r="L257" s="54">
        <v>83695</v>
      </c>
      <c r="M257" s="54">
        <v>731507000</v>
      </c>
      <c r="N257" s="54">
        <v>83678500</v>
      </c>
      <c r="O257" s="54">
        <v>61675000</v>
      </c>
      <c r="P257" s="54">
        <v>49875000</v>
      </c>
      <c r="Q257" s="54">
        <v>1600000</v>
      </c>
      <c r="R257" s="54">
        <v>4100000</v>
      </c>
      <c r="S257" s="54"/>
      <c r="T257" s="54">
        <f t="shared" si="48"/>
        <v>200928500</v>
      </c>
      <c r="U257" s="54">
        <f>(100000*7)+(6*75000)</f>
        <v>1150000</v>
      </c>
      <c r="V257" s="110">
        <v>59325000</v>
      </c>
      <c r="W257" s="111">
        <v>0</v>
      </c>
      <c r="X257" s="54">
        <v>295129</v>
      </c>
      <c r="Y257" s="54">
        <f t="shared" si="56"/>
        <v>60770129</v>
      </c>
      <c r="Z257" s="54">
        <f>23%*M257</f>
        <v>168246610</v>
      </c>
      <c r="AA257" s="54">
        <f>7/30*131927871</f>
        <v>30783169.900000002</v>
      </c>
      <c r="AB257" s="54">
        <f>7/30*131927871</f>
        <v>30783169.900000002</v>
      </c>
      <c r="AC257" s="54"/>
      <c r="AD257" s="41">
        <v>0</v>
      </c>
      <c r="AE257" s="54">
        <f t="shared" si="51"/>
        <v>229812949.80000001</v>
      </c>
      <c r="AF257" s="57">
        <f t="shared" si="52"/>
        <v>-31885679.199999988</v>
      </c>
      <c r="AG25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-34127019</v>
      </c>
      <c r="AH257" s="59">
        <f>IFERROR(AG257/(Z257+Table5[[#This Row],[Rider Penalty (Claim, Other Denda to Riders)]]),0)</f>
        <v>-0.20283926671687472</v>
      </c>
      <c r="AI257" s="57">
        <f t="shared" si="55"/>
        <v>2241339.8000000045</v>
      </c>
      <c r="AJ257" s="41">
        <f t="shared" si="53"/>
        <v>3.6405279366632161E-2</v>
      </c>
      <c r="AK257" s="88" t="s">
        <v>382</v>
      </c>
      <c r="AV257" s="109">
        <f>Table5[[#This Row],[Total Selling Comission/Sales (Weekly)]]/Table5[[#This Row],[Total Revenue Sharing % (Weekly)]]*100%</f>
        <v>0.49735623202155455</v>
      </c>
      <c r="AW257" s="109">
        <f>Table5[[#This Row],[Total Daily Incentive (Weekly)]]/Table5[[#This Row],[Total Revenue Sharing % (Weekly)]]*100%</f>
        <v>0.36657499369526675</v>
      </c>
      <c r="AX257" s="109">
        <f>(N257+O257)/Z257*100%</f>
        <v>0.86393122571682124</v>
      </c>
    </row>
    <row r="258" spans="1:50" hidden="1">
      <c r="A258">
        <v>2025</v>
      </c>
      <c r="B258" t="s">
        <v>23</v>
      </c>
      <c r="C258" t="s">
        <v>172</v>
      </c>
      <c r="D258" t="s">
        <v>168</v>
      </c>
      <c r="E258" s="41" t="s">
        <v>28</v>
      </c>
      <c r="F258" s="41" t="s">
        <v>31</v>
      </c>
      <c r="G258" s="41">
        <v>17</v>
      </c>
      <c r="H258" s="41" t="s">
        <v>160</v>
      </c>
      <c r="I258" s="54" t="s">
        <v>279</v>
      </c>
      <c r="J258" s="41" t="s">
        <v>194</v>
      </c>
      <c r="K258" s="16">
        <v>25</v>
      </c>
      <c r="L258" s="16">
        <v>7428</v>
      </c>
      <c r="M258" s="16">
        <v>65582000</v>
      </c>
      <c r="N258" s="16">
        <v>7422000</v>
      </c>
      <c r="O258" s="16">
        <v>5650000</v>
      </c>
      <c r="P258" s="16">
        <v>3000000</v>
      </c>
      <c r="Q258" s="16"/>
      <c r="R258" s="16">
        <v>600000</v>
      </c>
      <c r="S258" s="16"/>
      <c r="T258" s="16">
        <f t="shared" si="48"/>
        <v>16672000</v>
      </c>
      <c r="U258" s="16">
        <v>0</v>
      </c>
      <c r="V258" s="112">
        <v>5495000</v>
      </c>
      <c r="W258" s="111">
        <v>0</v>
      </c>
      <c r="X258" s="16">
        <v>411871</v>
      </c>
      <c r="Y258" s="16">
        <f t="shared" si="56"/>
        <v>5906871</v>
      </c>
      <c r="Z258" s="16">
        <f>23%*M258</f>
        <v>15083860</v>
      </c>
      <c r="AA258" s="16">
        <v>3498000</v>
      </c>
      <c r="AB258" s="16">
        <f>7/30*11165419</f>
        <v>2605264.4333333336</v>
      </c>
      <c r="AC258" s="16"/>
      <c r="AD258">
        <v>0</v>
      </c>
      <c r="AE258">
        <f t="shared" si="51"/>
        <v>21187124.433333334</v>
      </c>
      <c r="AF258" s="12">
        <f t="shared" si="52"/>
        <v>-1391746.5666666664</v>
      </c>
      <c r="AG25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-2000011</v>
      </c>
      <c r="AH258" s="13">
        <f>IFERROR(AG258/(Z258+Table5[[#This Row],[Rider Penalty (Claim, Other Denda to Riders)]]),0)</f>
        <v>-0.132592784605532</v>
      </c>
      <c r="AI258" s="12">
        <f t="shared" si="55"/>
        <v>608264.43333333358</v>
      </c>
      <c r="AJ258">
        <f t="shared" si="53"/>
        <v>9.9662146377152205E-2</v>
      </c>
      <c r="AK258" s="88" t="s">
        <v>382</v>
      </c>
      <c r="AV258" s="109">
        <f>Table5[[#This Row],[Total Selling Comission/Sales (Weekly)]]/Table5[[#This Row],[Total Revenue Sharing % (Weekly)]]*100%</f>
        <v>0.49204911740098356</v>
      </c>
      <c r="AW258" s="109">
        <f>Table5[[#This Row],[Total Daily Incentive (Weekly)]]/Table5[[#This Row],[Total Revenue Sharing % (Weekly)]]*100%</f>
        <v>0.37457255636156794</v>
      </c>
      <c r="AX258" s="109">
        <f>(N258+O258)/Z258*100%</f>
        <v>0.8666216737625515</v>
      </c>
    </row>
    <row r="259" spans="1:50" hidden="1">
      <c r="A259" s="117">
        <v>2025</v>
      </c>
      <c r="B259" s="117" t="s">
        <v>23</v>
      </c>
      <c r="C259" s="117" t="s">
        <v>174</v>
      </c>
      <c r="D259" s="117" t="s">
        <v>168</v>
      </c>
      <c r="E259" s="117" t="s">
        <v>24</v>
      </c>
      <c r="F259" s="117" t="s">
        <v>24</v>
      </c>
      <c r="G259" s="118">
        <v>17</v>
      </c>
      <c r="H259" s="118" t="s">
        <v>160</v>
      </c>
      <c r="I259" s="118" t="s">
        <v>278</v>
      </c>
      <c r="J259" s="118" t="s">
        <v>194</v>
      </c>
      <c r="K259" s="54">
        <v>51</v>
      </c>
      <c r="L259" s="54">
        <v>10383</v>
      </c>
      <c r="M259" s="54">
        <v>93926000</v>
      </c>
      <c r="N259" s="54">
        <v>8306400</v>
      </c>
      <c r="O259" s="54">
        <v>1875000</v>
      </c>
      <c r="P259" s="54">
        <v>7000000</v>
      </c>
      <c r="Q259" s="54"/>
      <c r="R259" s="54">
        <v>0</v>
      </c>
      <c r="S259" s="54"/>
      <c r="T259" s="57">
        <f t="shared" si="48"/>
        <v>17181400</v>
      </c>
      <c r="U259" s="54">
        <v>840000</v>
      </c>
      <c r="V259" s="110">
        <v>9555000</v>
      </c>
      <c r="W259" s="112">
        <v>0</v>
      </c>
      <c r="X259" s="54">
        <v>0</v>
      </c>
      <c r="Y259" s="57">
        <f t="shared" si="56"/>
        <v>10395000</v>
      </c>
      <c r="Z259" s="54">
        <f>21%*M259</f>
        <v>19724460</v>
      </c>
      <c r="AA259" s="54">
        <v>4680000</v>
      </c>
      <c r="AB259">
        <f>7/30*15642348</f>
        <v>3649881.2</v>
      </c>
      <c r="AD259" s="41">
        <v>750000</v>
      </c>
      <c r="AE259" s="41">
        <f t="shared" si="51"/>
        <v>28804341.199999999</v>
      </c>
      <c r="AF259" s="57">
        <f t="shared" si="52"/>
        <v>1227941.1999999993</v>
      </c>
      <c r="AG25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2453060</v>
      </c>
      <c r="AH259" s="59">
        <f>IFERROR(AG259/(Z259+Table5[[#This Row],[Rider Penalty (Claim, Other Denda to Riders)]]),0)</f>
        <v>0.11981073005100012</v>
      </c>
      <c r="AI259" s="57">
        <f t="shared" si="55"/>
        <v>-1225118.7999999998</v>
      </c>
      <c r="AJ259" s="41">
        <f t="shared" si="53"/>
        <v>-0.14707518277691642</v>
      </c>
      <c r="AV259" s="109">
        <f>Table5[[#This Row],[Total Selling Comission/Sales (Weekly)]]/Table5[[#This Row],[Total Revenue Sharing % (Weekly)]]*100%</f>
        <v>0.42112179496929192</v>
      </c>
      <c r="AW259" s="109">
        <f>Table5[[#This Row],[Total Daily Incentive (Weekly)]]/Table5[[#This Row],[Total Revenue Sharing % (Weekly)]]*100%</f>
        <v>9.5059636613625931E-2</v>
      </c>
      <c r="AX259" s="109">
        <f>(N259+O259)/Z259*100%</f>
        <v>0.51618143158291785</v>
      </c>
    </row>
    <row r="260" spans="1:50" hidden="1">
      <c r="A260" s="119">
        <v>2025</v>
      </c>
      <c r="B260" s="119" t="s">
        <v>23</v>
      </c>
      <c r="C260" s="119" t="s">
        <v>173</v>
      </c>
      <c r="D260" s="119" t="s">
        <v>168</v>
      </c>
      <c r="E260" s="119" t="s">
        <v>24</v>
      </c>
      <c r="F260" s="120" t="s">
        <v>282</v>
      </c>
      <c r="G260" s="118">
        <v>17</v>
      </c>
      <c r="H260" s="118" t="s">
        <v>160</v>
      </c>
      <c r="I260" s="118" t="s">
        <v>278</v>
      </c>
      <c r="J260" s="118" t="s">
        <v>194</v>
      </c>
      <c r="K260" s="16">
        <v>16</v>
      </c>
      <c r="L260" s="16">
        <v>4600</v>
      </c>
      <c r="M260" s="16">
        <v>41868000</v>
      </c>
      <c r="N260" s="16">
        <v>3680000</v>
      </c>
      <c r="O260" s="16">
        <v>1275000</v>
      </c>
      <c r="P260" s="16">
        <v>250000</v>
      </c>
      <c r="Q260" s="16"/>
      <c r="R260" s="16">
        <v>0</v>
      </c>
      <c r="S260" s="16"/>
      <c r="T260" s="12">
        <f t="shared" si="48"/>
        <v>5205000</v>
      </c>
      <c r="U260" s="16">
        <v>0</v>
      </c>
      <c r="V260" s="112">
        <v>1155000</v>
      </c>
      <c r="W260" s="112">
        <v>0</v>
      </c>
      <c r="X260" s="16">
        <v>0</v>
      </c>
      <c r="Y260" s="12">
        <f t="shared" si="56"/>
        <v>1155000</v>
      </c>
      <c r="Z260" s="16">
        <f>21%*M260</f>
        <v>8792280</v>
      </c>
      <c r="AA260" s="16">
        <v>1548000</v>
      </c>
      <c r="AB260">
        <f>7/30*4985729</f>
        <v>1163336.7666666666</v>
      </c>
      <c r="AD260">
        <v>200000</v>
      </c>
      <c r="AE260">
        <f t="shared" si="51"/>
        <v>11703616.766666666</v>
      </c>
      <c r="AF260" s="12">
        <f t="shared" si="52"/>
        <v>5343616.7666666657</v>
      </c>
      <c r="AG26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3787280</v>
      </c>
      <c r="AH260" s="13">
        <f>IFERROR(AG260/(Z260+Table5[[#This Row],[Rider Penalty (Claim, Other Denda to Riders)]]),0)</f>
        <v>0.42117015929219287</v>
      </c>
      <c r="AI260" s="12">
        <f t="shared" si="55"/>
        <v>1556336.7666666666</v>
      </c>
      <c r="AJ260" s="109">
        <f t="shared" si="53"/>
        <v>0.57401086644800536</v>
      </c>
      <c r="AV260" s="109">
        <f>Table5[[#This Row],[Total Selling Comission/Sales (Weekly)]]/Table5[[#This Row],[Total Revenue Sharing % (Weekly)]]*100%</f>
        <v>0.41854899980437382</v>
      </c>
      <c r="AW260" s="109">
        <f>Table5[[#This Row],[Total Daily Incentive (Weekly)]]/Table5[[#This Row],[Total Revenue Sharing % (Weekly)]]*100%</f>
        <v>0.14501358009526538</v>
      </c>
      <c r="AX260" s="109">
        <f>(N260+O260)/Z260*100%</f>
        <v>0.5635625798996392</v>
      </c>
    </row>
    <row r="261" spans="1:50" hidden="1">
      <c r="A261" s="41">
        <v>2025</v>
      </c>
      <c r="B261" s="41" t="s">
        <v>170</v>
      </c>
      <c r="C261" s="41" t="s">
        <v>170</v>
      </c>
      <c r="D261" s="41" t="s">
        <v>169</v>
      </c>
      <c r="E261" s="41" t="s">
        <v>24</v>
      </c>
      <c r="F261" s="41" t="s">
        <v>24</v>
      </c>
      <c r="G261" s="41">
        <v>17</v>
      </c>
      <c r="H261" s="41" t="s">
        <v>160</v>
      </c>
      <c r="I261" s="54" t="s">
        <v>279</v>
      </c>
      <c r="J261" s="41" t="s">
        <v>194</v>
      </c>
      <c r="K261" s="16">
        <v>6</v>
      </c>
      <c r="L261" s="16">
        <v>490</v>
      </c>
      <c r="M261" s="16">
        <v>4245000</v>
      </c>
      <c r="N261" s="16">
        <v>0</v>
      </c>
      <c r="O261" s="16">
        <v>392000</v>
      </c>
      <c r="P261" s="16">
        <v>500000</v>
      </c>
      <c r="Q261" s="16"/>
      <c r="R261" s="16">
        <v>0</v>
      </c>
      <c r="S261" s="16"/>
      <c r="T261" s="12">
        <f t="shared" si="48"/>
        <v>892000</v>
      </c>
      <c r="U261" s="16">
        <v>0</v>
      </c>
      <c r="V261" s="112">
        <v>1155000</v>
      </c>
      <c r="W261" s="112">
        <v>0</v>
      </c>
      <c r="X261" s="16">
        <v>0</v>
      </c>
      <c r="Y261" s="12">
        <f t="shared" si="56"/>
        <v>1155000</v>
      </c>
      <c r="Z261" s="16">
        <f>30%*M261</f>
        <v>1273500</v>
      </c>
      <c r="AA261" s="16">
        <v>396000</v>
      </c>
      <c r="AB261" s="16">
        <v>0</v>
      </c>
      <c r="AC261" s="16"/>
      <c r="AD261">
        <v>400000</v>
      </c>
      <c r="AE261">
        <f t="shared" si="51"/>
        <v>2069500</v>
      </c>
      <c r="AF261" s="12">
        <f t="shared" si="52"/>
        <v>22500</v>
      </c>
      <c r="AG26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781500</v>
      </c>
      <c r="AH261" s="13">
        <f>IFERROR(AG261/(Z261+Table5[[#This Row],[Rider Penalty (Claim, Other Denda to Riders)]]),0)</f>
        <v>0.46698536002390201</v>
      </c>
      <c r="AI261" s="12">
        <f t="shared" si="55"/>
        <v>-759000</v>
      </c>
      <c r="AJ261">
        <f t="shared" si="53"/>
        <v>-1.9166666666666667</v>
      </c>
      <c r="AV261" s="109"/>
      <c r="AW261" s="109"/>
      <c r="AX261" s="109"/>
    </row>
    <row r="262" spans="1:50" hidden="1">
      <c r="A262" s="41">
        <v>2025</v>
      </c>
      <c r="B262" s="41" t="s">
        <v>27</v>
      </c>
      <c r="C262" s="41" t="s">
        <v>27</v>
      </c>
      <c r="D262" s="41" t="s">
        <v>169</v>
      </c>
      <c r="E262" s="41" t="s">
        <v>28</v>
      </c>
      <c r="F262" s="48" t="s">
        <v>28</v>
      </c>
      <c r="G262" s="41">
        <v>17</v>
      </c>
      <c r="H262" s="41" t="s">
        <v>160</v>
      </c>
      <c r="I262" s="54" t="s">
        <v>279</v>
      </c>
      <c r="J262" s="41" t="s">
        <v>194</v>
      </c>
      <c r="K262" s="114">
        <v>4</v>
      </c>
      <c r="L262" s="114">
        <v>558</v>
      </c>
      <c r="M262" s="113">
        <v>4772000</v>
      </c>
      <c r="N262" s="54">
        <v>558000</v>
      </c>
      <c r="O262" s="54">
        <v>500000</v>
      </c>
      <c r="P262" s="54">
        <v>0</v>
      </c>
      <c r="Q262" s="54"/>
      <c r="R262" s="54">
        <v>0</v>
      </c>
      <c r="S262" s="54"/>
      <c r="T262" s="57">
        <f t="shared" si="48"/>
        <v>1058000</v>
      </c>
      <c r="U262" s="54">
        <v>0</v>
      </c>
      <c r="V262" s="110">
        <v>980000</v>
      </c>
      <c r="W262" s="111">
        <v>0</v>
      </c>
      <c r="X262" s="54">
        <v>0</v>
      </c>
      <c r="Y262" s="12">
        <f t="shared" si="56"/>
        <v>980000</v>
      </c>
      <c r="Z262" s="54">
        <f>30%*M262</f>
        <v>1431600</v>
      </c>
      <c r="AA262" s="54">
        <v>280000</v>
      </c>
      <c r="AB262" s="54">
        <v>0</v>
      </c>
      <c r="AC262" s="54"/>
      <c r="AD262" s="41">
        <v>0</v>
      </c>
      <c r="AE262" s="41">
        <f t="shared" si="51"/>
        <v>1711600</v>
      </c>
      <c r="AF262" s="57">
        <f t="shared" si="52"/>
        <v>-326400</v>
      </c>
      <c r="AG26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373600</v>
      </c>
      <c r="AH262" s="59">
        <f>IFERROR(AG262/(Z262+Table5[[#This Row],[Rider Penalty (Claim, Other Denda to Riders)]]),0)</f>
        <v>0.26096675048896339</v>
      </c>
      <c r="AI262" s="57">
        <f t="shared" si="55"/>
        <v>-700000</v>
      </c>
      <c r="AJ262" s="41">
        <f t="shared" si="53"/>
        <v>-2.5</v>
      </c>
      <c r="AK262" s="88" t="s">
        <v>382</v>
      </c>
      <c r="AV262" s="109"/>
      <c r="AW262" s="109"/>
      <c r="AX262" s="109"/>
    </row>
    <row r="263" spans="1:50" hidden="1">
      <c r="A263" s="41">
        <v>2025</v>
      </c>
      <c r="B263" s="41" t="s">
        <v>29</v>
      </c>
      <c r="C263" s="41" t="s">
        <v>29</v>
      </c>
      <c r="D263" s="41" t="s">
        <v>169</v>
      </c>
      <c r="E263" s="41" t="s">
        <v>28</v>
      </c>
      <c r="F263" s="41" t="s">
        <v>28</v>
      </c>
      <c r="G263" s="41">
        <v>17</v>
      </c>
      <c r="H263" s="41" t="s">
        <v>160</v>
      </c>
      <c r="I263" s="54" t="s">
        <v>279</v>
      </c>
      <c r="J263" s="41" t="s">
        <v>194</v>
      </c>
      <c r="K263" s="16">
        <v>4</v>
      </c>
      <c r="L263" s="16">
        <v>237</v>
      </c>
      <c r="M263" s="113">
        <v>2170000</v>
      </c>
      <c r="N263" s="16">
        <v>237000</v>
      </c>
      <c r="O263" s="16">
        <v>500000</v>
      </c>
      <c r="P263" s="16">
        <v>0</v>
      </c>
      <c r="Q263" s="16"/>
      <c r="R263" s="16">
        <v>0</v>
      </c>
      <c r="S263" s="16"/>
      <c r="T263" s="12">
        <f t="shared" si="48"/>
        <v>737000</v>
      </c>
      <c r="U263" s="16">
        <v>0</v>
      </c>
      <c r="V263" s="112">
        <v>875000</v>
      </c>
      <c r="W263" s="111">
        <v>0</v>
      </c>
      <c r="X263" s="16">
        <v>0</v>
      </c>
      <c r="Y263" s="12">
        <f t="shared" si="56"/>
        <v>875000</v>
      </c>
      <c r="Z263" s="54">
        <f>30%*M263</f>
        <v>651000</v>
      </c>
      <c r="AA263" s="16">
        <v>250000</v>
      </c>
      <c r="AB263" s="16">
        <v>0</v>
      </c>
      <c r="AC263" s="16"/>
      <c r="AD263">
        <v>0</v>
      </c>
      <c r="AE263">
        <f t="shared" si="51"/>
        <v>901000</v>
      </c>
      <c r="AF263" s="12">
        <f t="shared" si="52"/>
        <v>-711000</v>
      </c>
      <c r="AG26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-86000</v>
      </c>
      <c r="AH263" s="13">
        <f>IFERROR(AG263/(Z263+Table5[[#This Row],[Rider Penalty (Claim, Other Denda to Riders)]]),0)</f>
        <v>-0.13210445468509985</v>
      </c>
      <c r="AI263" s="12">
        <f t="shared" si="55"/>
        <v>-625000</v>
      </c>
      <c r="AJ263">
        <f t="shared" si="53"/>
        <v>-2.5</v>
      </c>
      <c r="AK263" s="88" t="s">
        <v>382</v>
      </c>
      <c r="AV263" s="109"/>
      <c r="AW263" s="109"/>
      <c r="AX263" s="109"/>
    </row>
    <row r="264" spans="1:50" hidden="1">
      <c r="A264" s="41">
        <v>2025</v>
      </c>
      <c r="B264" s="41" t="s">
        <v>171</v>
      </c>
      <c r="C264" s="41" t="s">
        <v>171</v>
      </c>
      <c r="D264" s="41" t="s">
        <v>168</v>
      </c>
      <c r="E264" s="41" t="s">
        <v>28</v>
      </c>
      <c r="F264" s="41" t="s">
        <v>28</v>
      </c>
      <c r="G264" s="41">
        <v>17</v>
      </c>
      <c r="H264" s="41" t="s">
        <v>160</v>
      </c>
      <c r="I264" s="54" t="s">
        <v>279</v>
      </c>
      <c r="J264" s="41" t="s">
        <v>194</v>
      </c>
      <c r="K264" s="16">
        <v>2</v>
      </c>
      <c r="L264" s="16">
        <v>205</v>
      </c>
      <c r="M264" s="113">
        <v>1414000</v>
      </c>
      <c r="N264" s="16">
        <v>139600</v>
      </c>
      <c r="O264" s="16">
        <v>200000</v>
      </c>
      <c r="P264" s="16">
        <v>0</v>
      </c>
      <c r="Q264" s="16"/>
      <c r="R264" s="16">
        <v>0</v>
      </c>
      <c r="S264" s="16"/>
      <c r="T264" s="12">
        <f t="shared" si="48"/>
        <v>339600</v>
      </c>
      <c r="U264" s="16">
        <v>0</v>
      </c>
      <c r="V264" s="112">
        <v>490000</v>
      </c>
      <c r="W264" s="111">
        <v>0</v>
      </c>
      <c r="X264" s="16">
        <v>0</v>
      </c>
      <c r="Y264" s="12">
        <f t="shared" si="56"/>
        <v>490000</v>
      </c>
      <c r="Z264" s="54">
        <f>30%*M264</f>
        <v>424200</v>
      </c>
      <c r="AA264" s="16">
        <v>140000</v>
      </c>
      <c r="AB264" s="16">
        <v>0</v>
      </c>
      <c r="AC264" s="16"/>
      <c r="AD264">
        <v>0</v>
      </c>
      <c r="AE264">
        <f t="shared" si="51"/>
        <v>564200</v>
      </c>
      <c r="AF264" s="12">
        <f t="shared" si="52"/>
        <v>-265400</v>
      </c>
      <c r="AG26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84600</v>
      </c>
      <c r="AH264" s="13">
        <f>IFERROR(AG264/(Z264+Table5[[#This Row],[Rider Penalty (Claim, Other Denda to Riders)]]),0)</f>
        <v>0.19943422913719944</v>
      </c>
      <c r="AI264" s="12">
        <f t="shared" si="55"/>
        <v>-350000</v>
      </c>
      <c r="AJ264">
        <f t="shared" si="53"/>
        <v>-2.5</v>
      </c>
      <c r="AK264" s="88" t="s">
        <v>382</v>
      </c>
      <c r="AV264" s="109"/>
      <c r="AW264" s="109"/>
      <c r="AX264" s="109"/>
    </row>
    <row r="265" spans="1:50" hidden="1">
      <c r="A265" s="41">
        <v>2025</v>
      </c>
      <c r="B265" s="41" t="s">
        <v>175</v>
      </c>
      <c r="C265" s="41" t="s">
        <v>175</v>
      </c>
      <c r="D265" s="41" t="s">
        <v>169</v>
      </c>
      <c r="E265" s="41" t="s">
        <v>28</v>
      </c>
      <c r="F265" s="41" t="s">
        <v>28</v>
      </c>
      <c r="G265" s="41">
        <v>17</v>
      </c>
      <c r="H265" s="41" t="s">
        <v>160</v>
      </c>
      <c r="I265" s="54" t="s">
        <v>279</v>
      </c>
      <c r="J265" s="41" t="s">
        <v>194</v>
      </c>
      <c r="K265">
        <v>6</v>
      </c>
      <c r="L265" s="114">
        <v>484</v>
      </c>
      <c r="M265" s="113">
        <v>3288000</v>
      </c>
      <c r="N265">
        <v>484000</v>
      </c>
      <c r="O265">
        <v>550000</v>
      </c>
      <c r="P265">
        <v>0</v>
      </c>
      <c r="R265">
        <v>0</v>
      </c>
      <c r="T265" s="12">
        <f t="shared" si="48"/>
        <v>1034000</v>
      </c>
      <c r="U265">
        <v>0</v>
      </c>
      <c r="V265" s="61">
        <v>945000</v>
      </c>
      <c r="W265" s="86">
        <v>0</v>
      </c>
      <c r="X265">
        <v>0</v>
      </c>
      <c r="Y265" s="12">
        <f t="shared" si="56"/>
        <v>945000</v>
      </c>
      <c r="Z265" s="57">
        <f>29%*M265</f>
        <v>953519.99999999988</v>
      </c>
      <c r="AA265">
        <v>270000</v>
      </c>
      <c r="AB265">
        <v>0</v>
      </c>
      <c r="AD265">
        <v>0</v>
      </c>
      <c r="AE265">
        <f t="shared" si="51"/>
        <v>1223520</v>
      </c>
      <c r="AF265" s="12">
        <f t="shared" si="52"/>
        <v>-755480</v>
      </c>
      <c r="AG26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-80480.000000000116</v>
      </c>
      <c r="AH265" s="13">
        <f>IFERROR(AG265/(Z265+Table5[[#This Row],[Rider Penalty (Claim, Other Denda to Riders)]]),0)</f>
        <v>-8.4403053947478948E-2</v>
      </c>
      <c r="AI265" s="12">
        <f t="shared" si="55"/>
        <v>-675000</v>
      </c>
      <c r="AJ265">
        <f t="shared" si="53"/>
        <v>-2.5</v>
      </c>
      <c r="AK265" s="88" t="s">
        <v>382</v>
      </c>
      <c r="AV265" s="109"/>
      <c r="AW265" s="109"/>
      <c r="AX265" s="109"/>
    </row>
    <row r="266" spans="1:50" hidden="1">
      <c r="A266" s="41">
        <v>2025</v>
      </c>
      <c r="B266" s="41" t="s">
        <v>199</v>
      </c>
      <c r="C266" s="41" t="s">
        <v>199</v>
      </c>
      <c r="D266" s="41" t="s">
        <v>169</v>
      </c>
      <c r="E266" s="41" t="s">
        <v>28</v>
      </c>
      <c r="F266" s="41" t="s">
        <v>28</v>
      </c>
      <c r="G266">
        <v>17</v>
      </c>
      <c r="H266" t="s">
        <v>160</v>
      </c>
      <c r="I266" t="s">
        <v>279</v>
      </c>
      <c r="J266" t="s">
        <v>194</v>
      </c>
      <c r="K266">
        <v>3</v>
      </c>
      <c r="L266">
        <v>17</v>
      </c>
      <c r="M266">
        <v>220000</v>
      </c>
      <c r="N266">
        <v>17000</v>
      </c>
      <c r="O266">
        <v>100000</v>
      </c>
      <c r="P266">
        <v>0</v>
      </c>
      <c r="R266">
        <v>0</v>
      </c>
      <c r="T266" s="12">
        <f t="shared" si="48"/>
        <v>117000</v>
      </c>
      <c r="U266">
        <v>0</v>
      </c>
      <c r="V266" s="61">
        <v>315000</v>
      </c>
      <c r="W266" s="86">
        <v>0</v>
      </c>
      <c r="X266" s="86">
        <v>0</v>
      </c>
      <c r="Y266" s="12">
        <f t="shared" si="56"/>
        <v>315000</v>
      </c>
      <c r="Z266" s="54">
        <f>30%*M266</f>
        <v>66000</v>
      </c>
      <c r="AA266">
        <v>90000</v>
      </c>
      <c r="AB266">
        <v>0</v>
      </c>
      <c r="AD266">
        <v>0</v>
      </c>
      <c r="AE266">
        <f t="shared" si="51"/>
        <v>156000</v>
      </c>
      <c r="AF266" s="12">
        <f t="shared" si="52"/>
        <v>-276000</v>
      </c>
      <c r="AG26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-51000</v>
      </c>
      <c r="AH266" s="13">
        <f>IFERROR(AG266/(Z266+Table5[[#This Row],[Rider Penalty (Claim, Other Denda to Riders)]]),0)</f>
        <v>-0.77272727272727271</v>
      </c>
      <c r="AI266" s="12">
        <f t="shared" si="55"/>
        <v>-225000</v>
      </c>
      <c r="AJ266">
        <f t="shared" si="53"/>
        <v>-2.5</v>
      </c>
      <c r="AK266" s="88" t="s">
        <v>382</v>
      </c>
      <c r="AV266" s="109"/>
      <c r="AW266" s="109"/>
      <c r="AX266" s="109"/>
    </row>
    <row r="267" spans="1:50" hidden="1">
      <c r="A267" s="41">
        <v>2025</v>
      </c>
      <c r="B267" s="54" t="s">
        <v>23</v>
      </c>
      <c r="C267" s="54" t="s">
        <v>23</v>
      </c>
      <c r="D267" s="54" t="s">
        <v>168</v>
      </c>
      <c r="E267" s="54" t="s">
        <v>28</v>
      </c>
      <c r="F267" s="54" t="s">
        <v>25</v>
      </c>
      <c r="G267" s="41">
        <v>18</v>
      </c>
      <c r="H267" s="41" t="s">
        <v>160</v>
      </c>
      <c r="I267" s="41"/>
      <c r="J267" s="58" t="s">
        <v>197</v>
      </c>
      <c r="K267" s="54">
        <v>245</v>
      </c>
      <c r="L267" s="54">
        <v>47416</v>
      </c>
      <c r="M267" s="54">
        <v>414389000</v>
      </c>
      <c r="N267" s="54">
        <f>4/8*99197500</f>
        <v>49598750</v>
      </c>
      <c r="O267" s="54">
        <f>4/8*65650000</f>
        <v>32825000</v>
      </c>
      <c r="P267" s="54">
        <v>0</v>
      </c>
      <c r="Q267" s="54"/>
      <c r="R267" s="54">
        <v>0</v>
      </c>
      <c r="S267" s="54"/>
      <c r="T267" s="54">
        <f t="shared" si="48"/>
        <v>82423750</v>
      </c>
      <c r="U267" s="54">
        <f>4/8*(6*100000)+(7*75000)</f>
        <v>825000</v>
      </c>
      <c r="V267" s="110">
        <f>4/8*70280000</f>
        <v>35140000</v>
      </c>
      <c r="W267" s="86">
        <v>0</v>
      </c>
      <c r="X267" s="86">
        <f>4/8*295129</f>
        <v>147564.5</v>
      </c>
      <c r="Y267" s="54">
        <f t="shared" si="56"/>
        <v>36112564.5</v>
      </c>
      <c r="Z267" s="54">
        <f>23%*M267</f>
        <v>95309470</v>
      </c>
      <c r="AA267" s="54">
        <f>4/30*131927871</f>
        <v>17590382.800000001</v>
      </c>
      <c r="AB267" s="54">
        <f>4/30*131927871</f>
        <v>17590382.800000001</v>
      </c>
      <c r="AC267" s="54"/>
      <c r="AD267" s="41">
        <v>0</v>
      </c>
      <c r="AE267" s="41">
        <f t="shared" si="51"/>
        <v>130490235.59999999</v>
      </c>
      <c r="AF267" s="57">
        <f t="shared" si="52"/>
        <v>11953921.099999994</v>
      </c>
      <c r="AG26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11913155.5</v>
      </c>
      <c r="AH267" s="59">
        <f>IFERROR(AG267/(Z267+Table5[[#This Row],[Rider Penalty (Claim, Other Denda to Riders)]]),0)</f>
        <v>0.12499445752872196</v>
      </c>
      <c r="AI267" s="57">
        <f t="shared" si="55"/>
        <v>40765.60000000149</v>
      </c>
      <c r="AJ267" s="41">
        <f t="shared" si="53"/>
        <v>1.1587468124912405E-3</v>
      </c>
      <c r="AK267" s="88" t="s">
        <v>383</v>
      </c>
      <c r="AV267" s="109">
        <f>Table5[[#This Row],[Total Selling Comission/Sales (Weekly)]]/Table5[[#This Row],[Total Revenue Sharing % (Weekly)]]*100%</f>
        <v>0.52039687137070434</v>
      </c>
      <c r="AW267" s="109">
        <f>Table5[[#This Row],[Total Daily Incentive (Weekly)]]/Table5[[#This Row],[Total Revenue Sharing % (Weekly)]]*100%</f>
        <v>0.34440439129500983</v>
      </c>
      <c r="AX267" s="109">
        <f>(N267+O267)/Z267*100%</f>
        <v>0.86480126266571411</v>
      </c>
    </row>
    <row r="268" spans="1:50" hidden="1">
      <c r="A268" s="41">
        <v>2025</v>
      </c>
      <c r="B268" s="54" t="s">
        <v>23</v>
      </c>
      <c r="C268" s="54" t="s">
        <v>23</v>
      </c>
      <c r="D268" s="54" t="s">
        <v>168</v>
      </c>
      <c r="E268" s="54" t="s">
        <v>28</v>
      </c>
      <c r="F268" s="54" t="s">
        <v>25</v>
      </c>
      <c r="G268" s="41">
        <v>18</v>
      </c>
      <c r="H268" s="41" t="s">
        <v>161</v>
      </c>
      <c r="I268" s="41" t="s">
        <v>275</v>
      </c>
      <c r="J268" s="58" t="s">
        <v>384</v>
      </c>
      <c r="K268" s="54">
        <v>244</v>
      </c>
      <c r="L268" s="54">
        <v>50133</v>
      </c>
      <c r="M268" s="54">
        <v>437952000</v>
      </c>
      <c r="N268" s="54">
        <f>4/8*99197500</f>
        <v>49598750</v>
      </c>
      <c r="O268" s="54">
        <f>4/8*65650000</f>
        <v>32825000</v>
      </c>
      <c r="P268" s="54">
        <v>0</v>
      </c>
      <c r="Q268" s="54"/>
      <c r="R268" s="54">
        <v>0</v>
      </c>
      <c r="S268" s="54"/>
      <c r="T268" s="57">
        <f t="shared" ref="T268:T279" si="57">SUM(N268:R268)</f>
        <v>82423750</v>
      </c>
      <c r="U268" s="54">
        <f>4/8*(6*100000)+(7*75000)</f>
        <v>825000</v>
      </c>
      <c r="V268" s="110">
        <f>4/8*70280000</f>
        <v>35140000</v>
      </c>
      <c r="W268" s="86"/>
      <c r="X268" s="1">
        <f>4/8*295129</f>
        <v>147564.5</v>
      </c>
      <c r="Y268" s="57">
        <f t="shared" si="56"/>
        <v>36112564.5</v>
      </c>
      <c r="Z268" s="54">
        <f>23%*M268</f>
        <v>100728960</v>
      </c>
      <c r="AA268" s="54">
        <f>4/8*36144000</f>
        <v>18072000</v>
      </c>
      <c r="AB268" s="54">
        <f>4/31*151015429</f>
        <v>19485861.806451611</v>
      </c>
      <c r="AC268" s="54"/>
      <c r="AD268" s="41">
        <v>0</v>
      </c>
      <c r="AE268" s="41">
        <f t="shared" si="51"/>
        <v>138286821.80645162</v>
      </c>
      <c r="AF268" s="57">
        <f t="shared" si="52"/>
        <v>19750507.306451619</v>
      </c>
      <c r="AG26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17332645.5</v>
      </c>
      <c r="AH268" s="59">
        <f>IFERROR(AG268/(Z268+Table5[[#This Row],[Rider Penalty (Claim, Other Denda to Riders)]]),0)</f>
        <v>0.17207211808798581</v>
      </c>
      <c r="AI268" s="57">
        <f t="shared" si="55"/>
        <v>2417861.8064516112</v>
      </c>
      <c r="AJ268" s="41">
        <f t="shared" si="53"/>
        <v>6.4376982345578468E-2</v>
      </c>
      <c r="AK268" s="88"/>
      <c r="AV268" s="109">
        <f>Table5[[#This Row],[Total Selling Comission/Sales (Weekly)]]/Table5[[#This Row],[Total Revenue Sharing % (Weekly)]]*100%</f>
        <v>0.49239811470306055</v>
      </c>
      <c r="AW268" s="109">
        <f>Table5[[#This Row],[Total Daily Incentive (Weekly)]]/Table5[[#This Row],[Total Revenue Sharing % (Weekly)]]*100%</f>
        <v>0.32587450520684419</v>
      </c>
      <c r="AX268" s="109">
        <f>(N268+O268)/Z268*100%</f>
        <v>0.81827261990990474</v>
      </c>
    </row>
    <row r="269" spans="1:50" hidden="1">
      <c r="A269">
        <v>2025</v>
      </c>
      <c r="B269" t="s">
        <v>23</v>
      </c>
      <c r="C269" t="s">
        <v>172</v>
      </c>
      <c r="D269" t="s">
        <v>168</v>
      </c>
      <c r="E269" s="41" t="s">
        <v>28</v>
      </c>
      <c r="F269" s="41" t="s">
        <v>31</v>
      </c>
      <c r="G269" s="41">
        <v>18</v>
      </c>
      <c r="H269" s="41" t="s">
        <v>160</v>
      </c>
      <c r="I269" s="41"/>
      <c r="J269" s="58" t="s">
        <v>197</v>
      </c>
      <c r="K269" s="16">
        <v>23</v>
      </c>
      <c r="L269" s="16">
        <v>4993</v>
      </c>
      <c r="M269" s="16">
        <v>44231000</v>
      </c>
      <c r="N269" s="16">
        <f>4/8*8201500</f>
        <v>4100750</v>
      </c>
      <c r="O269" s="16">
        <f>4/8*5775000</f>
        <v>2887500</v>
      </c>
      <c r="P269" s="16">
        <v>0</v>
      </c>
      <c r="Q269" s="16"/>
      <c r="R269" s="16">
        <v>0</v>
      </c>
      <c r="S269" s="16"/>
      <c r="T269" s="16">
        <f t="shared" si="57"/>
        <v>6988250</v>
      </c>
      <c r="U269" s="16">
        <v>0</v>
      </c>
      <c r="V269" s="122">
        <f>4/8*5740000</f>
        <v>2870000</v>
      </c>
      <c r="W269" s="111">
        <v>0</v>
      </c>
      <c r="X269" s="16">
        <f>4/8*411871</f>
        <v>205935.5</v>
      </c>
      <c r="Y269" s="16">
        <f t="shared" si="56"/>
        <v>3075935.5</v>
      </c>
      <c r="Z269" s="16">
        <f>23%*M269</f>
        <v>10173130</v>
      </c>
      <c r="AA269" s="16">
        <f>4/8*2952000</f>
        <v>1476000</v>
      </c>
      <c r="AB269" s="16">
        <f>4/30*11165419</f>
        <v>1488722.5333333332</v>
      </c>
      <c r="AC269" s="16"/>
      <c r="AD269">
        <v>0</v>
      </c>
      <c r="AE269">
        <f t="shared" si="51"/>
        <v>13137852.533333333</v>
      </c>
      <c r="AF269" s="12">
        <f t="shared" si="52"/>
        <v>3073667.0333333332</v>
      </c>
      <c r="AG26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2978944.5</v>
      </c>
      <c r="AH269" s="13">
        <f>IFERROR(AG269/(Z269+Table5[[#This Row],[Rider Penalty (Claim, Other Denda to Riders)]]),0)</f>
        <v>0.29282477467603385</v>
      </c>
      <c r="AI269" s="12">
        <f t="shared" si="55"/>
        <v>94722.533333333209</v>
      </c>
      <c r="AJ269">
        <f t="shared" si="53"/>
        <v>3.1949881403179274E-2</v>
      </c>
      <c r="AK269" s="88" t="s">
        <v>383</v>
      </c>
      <c r="AV269" s="109">
        <f>Table5[[#This Row],[Total Selling Comission/Sales (Weekly)]]/Table5[[#This Row],[Total Revenue Sharing % (Weekly)]]*100%</f>
        <v>0.403096195566163</v>
      </c>
      <c r="AW269" s="109">
        <f>Table5[[#This Row],[Total Daily Incentive (Weekly)]]/Table5[[#This Row],[Total Revenue Sharing % (Weekly)]]*100%</f>
        <v>0.28383594822832303</v>
      </c>
      <c r="AX269" s="109">
        <f>(N269+O269)/Z269*100%</f>
        <v>0.68693214379448608</v>
      </c>
    </row>
    <row r="270" spans="1:50" hidden="1">
      <c r="A270">
        <v>2025</v>
      </c>
      <c r="B270" t="s">
        <v>23</v>
      </c>
      <c r="C270" t="s">
        <v>172</v>
      </c>
      <c r="D270" t="s">
        <v>168</v>
      </c>
      <c r="E270" s="41" t="s">
        <v>28</v>
      </c>
      <c r="F270" s="41" t="s">
        <v>31</v>
      </c>
      <c r="G270" s="41">
        <v>18</v>
      </c>
      <c r="H270" s="41" t="s">
        <v>161</v>
      </c>
      <c r="I270" s="41" t="s">
        <v>275</v>
      </c>
      <c r="J270" s="58" t="s">
        <v>384</v>
      </c>
      <c r="K270" s="54">
        <v>23</v>
      </c>
      <c r="L270" s="54">
        <v>4893</v>
      </c>
      <c r="M270" s="54">
        <v>43178000</v>
      </c>
      <c r="N270" s="16">
        <f>4/8*8201500</f>
        <v>4100750</v>
      </c>
      <c r="O270" s="16">
        <f>4/8*5775000</f>
        <v>2887500</v>
      </c>
      <c r="P270" s="16">
        <v>0</v>
      </c>
      <c r="Q270" s="16"/>
      <c r="R270" s="16">
        <v>0</v>
      </c>
      <c r="S270" s="16"/>
      <c r="T270" s="57">
        <f t="shared" si="57"/>
        <v>6988250</v>
      </c>
      <c r="U270" s="16">
        <v>0</v>
      </c>
      <c r="V270" s="136">
        <f>4/8*5740000</f>
        <v>2870000</v>
      </c>
      <c r="W270" s="111">
        <v>0</v>
      </c>
      <c r="X270" s="16">
        <f>4/8*411871</f>
        <v>205935.5</v>
      </c>
      <c r="Y270" s="57">
        <f t="shared" si="56"/>
        <v>3075935.5</v>
      </c>
      <c r="Z270" s="54">
        <f>23%*M270</f>
        <v>9930940</v>
      </c>
      <c r="AA270" s="16">
        <f>4/8*2952000</f>
        <v>1476000</v>
      </c>
      <c r="AB270" s="16">
        <f>4/31*13114286</f>
        <v>1692165.935483871</v>
      </c>
      <c r="AC270" s="16"/>
      <c r="AD270">
        <v>0</v>
      </c>
      <c r="AE270" s="41">
        <f t="shared" si="51"/>
        <v>13099105.935483871</v>
      </c>
      <c r="AF270" s="57">
        <f t="shared" si="52"/>
        <v>3034920.435483871</v>
      </c>
      <c r="AG27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2736754.5</v>
      </c>
      <c r="AH270" s="59">
        <f>IFERROR(AG270/(Z270+Table5[[#This Row],[Rider Penalty (Claim, Other Denda to Riders)]]),0)</f>
        <v>0.27557859578247379</v>
      </c>
      <c r="AI270" s="57">
        <f t="shared" ref="AI270:AI301" si="58">AA270+AB270-V270</f>
        <v>298165.93548387103</v>
      </c>
      <c r="AJ270" s="41">
        <f t="shared" si="53"/>
        <v>9.4113105675549924E-2</v>
      </c>
      <c r="AK270" s="88"/>
      <c r="AV270" s="109">
        <f>Table5[[#This Row],[Total Selling Comission/Sales (Weekly)]]/Table5[[#This Row],[Total Revenue Sharing % (Weekly)]]*100%</f>
        <v>0.41292667159402835</v>
      </c>
      <c r="AW270" s="109">
        <f>Table5[[#This Row],[Total Daily Incentive (Weekly)]]/Table5[[#This Row],[Total Revenue Sharing % (Weekly)]]*100%</f>
        <v>0.29075797457239699</v>
      </c>
      <c r="AX270" s="109">
        <f>(N270+O270)/Z270*100%</f>
        <v>0.70368464616642534</v>
      </c>
    </row>
    <row r="271" spans="1:50" hidden="1">
      <c r="A271" s="41">
        <v>2025</v>
      </c>
      <c r="B271" s="41" t="s">
        <v>27</v>
      </c>
      <c r="C271" s="41" t="s">
        <v>27</v>
      </c>
      <c r="D271" s="41" t="s">
        <v>169</v>
      </c>
      <c r="E271" s="41" t="s">
        <v>28</v>
      </c>
      <c r="F271" s="48" t="s">
        <v>28</v>
      </c>
      <c r="G271" s="41">
        <v>18</v>
      </c>
      <c r="H271" s="41" t="s">
        <v>161</v>
      </c>
      <c r="I271" s="41" t="s">
        <v>275</v>
      </c>
      <c r="J271" s="58" t="s">
        <v>385</v>
      </c>
      <c r="K271" s="41">
        <v>5</v>
      </c>
      <c r="L271" s="41">
        <v>563</v>
      </c>
      <c r="M271" s="41">
        <v>4829000</v>
      </c>
      <c r="N271" s="41">
        <v>563000</v>
      </c>
      <c r="O271" s="41">
        <v>450000</v>
      </c>
      <c r="P271" s="41">
        <v>0</v>
      </c>
      <c r="Q271" s="41"/>
      <c r="R271" s="41">
        <v>0</v>
      </c>
      <c r="S271" s="41"/>
      <c r="T271" s="57">
        <f t="shared" si="57"/>
        <v>1013000</v>
      </c>
      <c r="U271" s="41">
        <v>0</v>
      </c>
      <c r="V271" s="55">
        <v>1120000</v>
      </c>
      <c r="W271" s="86">
        <v>0</v>
      </c>
      <c r="X271" s="41">
        <v>0</v>
      </c>
      <c r="Y271" s="57">
        <f t="shared" si="56"/>
        <v>1120000</v>
      </c>
      <c r="Z271" s="57">
        <f>30%*M271</f>
        <v>1448700</v>
      </c>
      <c r="AA271" s="41">
        <v>250000</v>
      </c>
      <c r="AB271" s="41">
        <v>0</v>
      </c>
      <c r="AC271" s="41"/>
      <c r="AD271" s="41">
        <v>0</v>
      </c>
      <c r="AE271" s="41">
        <f t="shared" si="51"/>
        <v>1698700</v>
      </c>
      <c r="AF271" s="57">
        <f t="shared" si="52"/>
        <v>-434300</v>
      </c>
      <c r="AG27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435700</v>
      </c>
      <c r="AH271" s="59">
        <f>IFERROR(AG271/(Z271+Table5[[#This Row],[Rider Penalty (Claim, Other Denda to Riders)]]),0)</f>
        <v>0.30075239870228482</v>
      </c>
      <c r="AI271" s="57">
        <f t="shared" si="58"/>
        <v>-870000</v>
      </c>
      <c r="AJ271" s="41">
        <f t="shared" si="53"/>
        <v>-3.48</v>
      </c>
      <c r="AK271" s="88" t="s">
        <v>383</v>
      </c>
      <c r="AV271" s="109"/>
      <c r="AW271" s="109"/>
      <c r="AX271" s="109"/>
    </row>
    <row r="272" spans="1:50" hidden="1">
      <c r="A272" s="41">
        <v>2025</v>
      </c>
      <c r="B272" s="41" t="s">
        <v>29</v>
      </c>
      <c r="C272" s="41" t="s">
        <v>29</v>
      </c>
      <c r="D272" s="41" t="s">
        <v>169</v>
      </c>
      <c r="E272" s="41" t="s">
        <v>28</v>
      </c>
      <c r="F272" s="41" t="s">
        <v>28</v>
      </c>
      <c r="G272" s="41">
        <v>18</v>
      </c>
      <c r="H272" s="41" t="s">
        <v>161</v>
      </c>
      <c r="I272" s="41" t="s">
        <v>275</v>
      </c>
      <c r="J272" s="58" t="s">
        <v>385</v>
      </c>
      <c r="K272" s="41">
        <v>9</v>
      </c>
      <c r="L272">
        <v>415</v>
      </c>
      <c r="M272">
        <v>3770000</v>
      </c>
      <c r="N272" s="41">
        <v>415000</v>
      </c>
      <c r="O272">
        <v>875000</v>
      </c>
      <c r="P272">
        <v>0</v>
      </c>
      <c r="R272">
        <v>0</v>
      </c>
      <c r="T272" s="57">
        <f t="shared" si="57"/>
        <v>1290000</v>
      </c>
      <c r="U272">
        <v>0</v>
      </c>
      <c r="V272" s="61">
        <v>1645000</v>
      </c>
      <c r="W272" s="86">
        <v>0</v>
      </c>
      <c r="X272">
        <v>0</v>
      </c>
      <c r="Y272" s="12">
        <f t="shared" si="56"/>
        <v>1645000</v>
      </c>
      <c r="Z272" s="57">
        <f>30%*M272</f>
        <v>1131000</v>
      </c>
      <c r="AA272">
        <v>470000</v>
      </c>
      <c r="AB272">
        <v>0</v>
      </c>
      <c r="AD272">
        <v>0</v>
      </c>
      <c r="AE272">
        <f t="shared" si="51"/>
        <v>1601000</v>
      </c>
      <c r="AF272" s="12">
        <f t="shared" si="52"/>
        <v>-1334000</v>
      </c>
      <c r="AG27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-159000</v>
      </c>
      <c r="AH272" s="13">
        <f>IFERROR(AG272/(Z272+Table5[[#This Row],[Rider Penalty (Claim, Other Denda to Riders)]]),0)</f>
        <v>-0.14058355437665782</v>
      </c>
      <c r="AI272" s="12">
        <f t="shared" si="58"/>
        <v>-1175000</v>
      </c>
      <c r="AJ272">
        <f t="shared" si="53"/>
        <v>-2.5</v>
      </c>
      <c r="AK272" s="88" t="s">
        <v>383</v>
      </c>
      <c r="AV272" s="109"/>
      <c r="AW272" s="109"/>
      <c r="AX272" s="109"/>
    </row>
    <row r="273" spans="1:50" hidden="1">
      <c r="A273" s="41">
        <v>2025</v>
      </c>
      <c r="B273" s="41" t="s">
        <v>171</v>
      </c>
      <c r="C273" s="41" t="s">
        <v>171</v>
      </c>
      <c r="D273" s="41" t="s">
        <v>168</v>
      </c>
      <c r="E273" s="41" t="s">
        <v>28</v>
      </c>
      <c r="F273" s="41" t="s">
        <v>28</v>
      </c>
      <c r="G273" s="41">
        <v>18</v>
      </c>
      <c r="H273" s="41" t="s">
        <v>161</v>
      </c>
      <c r="I273" s="41" t="s">
        <v>275</v>
      </c>
      <c r="J273" s="58" t="s">
        <v>385</v>
      </c>
      <c r="K273">
        <v>2</v>
      </c>
      <c r="L273">
        <v>278</v>
      </c>
      <c r="M273">
        <v>1877000</v>
      </c>
      <c r="N273" s="41">
        <v>185400</v>
      </c>
      <c r="O273">
        <v>350000</v>
      </c>
      <c r="P273">
        <v>0</v>
      </c>
      <c r="R273">
        <v>0</v>
      </c>
      <c r="T273" s="12">
        <f t="shared" si="57"/>
        <v>535400</v>
      </c>
      <c r="U273">
        <v>0</v>
      </c>
      <c r="V273" s="61">
        <v>490000</v>
      </c>
      <c r="W273" s="86">
        <v>0</v>
      </c>
      <c r="X273">
        <v>0</v>
      </c>
      <c r="Y273" s="12">
        <f t="shared" si="56"/>
        <v>490000</v>
      </c>
      <c r="Z273" s="57">
        <f>30%*M273</f>
        <v>563100</v>
      </c>
      <c r="AA273">
        <v>140000</v>
      </c>
      <c r="AB273">
        <v>0</v>
      </c>
      <c r="AD273">
        <v>0</v>
      </c>
      <c r="AE273">
        <f t="shared" si="51"/>
        <v>703100</v>
      </c>
      <c r="AF273" s="12">
        <f t="shared" si="52"/>
        <v>-322300</v>
      </c>
      <c r="AG27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27700</v>
      </c>
      <c r="AH273" s="13">
        <f>IFERROR(AG273/(Z273+Table5[[#This Row],[Rider Penalty (Claim, Other Denda to Riders)]]),0)</f>
        <v>4.9191973006570772E-2</v>
      </c>
      <c r="AI273" s="12">
        <f t="shared" si="58"/>
        <v>-350000</v>
      </c>
      <c r="AJ273">
        <f t="shared" si="53"/>
        <v>-2.5</v>
      </c>
      <c r="AK273" s="88" t="s">
        <v>383</v>
      </c>
      <c r="AV273" s="109"/>
      <c r="AW273" s="109"/>
      <c r="AX273" s="109"/>
    </row>
    <row r="274" spans="1:50" hidden="1">
      <c r="A274" s="41">
        <v>2025</v>
      </c>
      <c r="B274" s="41" t="s">
        <v>175</v>
      </c>
      <c r="C274" s="41" t="s">
        <v>175</v>
      </c>
      <c r="D274" s="41" t="s">
        <v>169</v>
      </c>
      <c r="E274" s="41" t="s">
        <v>28</v>
      </c>
      <c r="F274" s="41" t="s">
        <v>28</v>
      </c>
      <c r="G274" s="41">
        <v>18</v>
      </c>
      <c r="H274" s="41" t="s">
        <v>161</v>
      </c>
      <c r="I274" s="41" t="s">
        <v>275</v>
      </c>
      <c r="J274" s="58" t="s">
        <v>385</v>
      </c>
      <c r="K274" s="114">
        <v>5</v>
      </c>
      <c r="L274" s="114">
        <v>516</v>
      </c>
      <c r="M274" s="113">
        <v>3555000</v>
      </c>
      <c r="N274">
        <v>516000</v>
      </c>
      <c r="O274">
        <v>525000</v>
      </c>
      <c r="P274">
        <v>0</v>
      </c>
      <c r="R274">
        <v>0</v>
      </c>
      <c r="T274" s="12">
        <f t="shared" si="57"/>
        <v>1041000</v>
      </c>
      <c r="U274">
        <v>0</v>
      </c>
      <c r="V274" s="61">
        <v>1120000</v>
      </c>
      <c r="W274" s="86">
        <v>0</v>
      </c>
      <c r="X274">
        <v>0</v>
      </c>
      <c r="Y274" s="12">
        <f t="shared" si="56"/>
        <v>1120000</v>
      </c>
      <c r="Z274" s="57">
        <f>29%*M274</f>
        <v>1030949.9999999999</v>
      </c>
      <c r="AA274">
        <v>320000</v>
      </c>
      <c r="AB274">
        <v>0</v>
      </c>
      <c r="AD274">
        <v>0</v>
      </c>
      <c r="AE274">
        <f t="shared" si="51"/>
        <v>1350950</v>
      </c>
      <c r="AF274" s="12">
        <f t="shared" si="52"/>
        <v>-810050</v>
      </c>
      <c r="AG27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-10050.000000000116</v>
      </c>
      <c r="AH274" s="13">
        <f>IFERROR(AG274/(Z274+Table5[[#This Row],[Rider Penalty (Claim, Other Denda to Riders)]]),0)</f>
        <v>-9.7482904117562608E-3</v>
      </c>
      <c r="AI274" s="12">
        <f t="shared" si="58"/>
        <v>-800000</v>
      </c>
      <c r="AJ274">
        <f t="shared" si="53"/>
        <v>-2.5</v>
      </c>
      <c r="AK274" s="88" t="s">
        <v>383</v>
      </c>
      <c r="AV274" s="109"/>
      <c r="AW274" s="109"/>
      <c r="AX274" s="109"/>
    </row>
    <row r="275" spans="1:50" hidden="1">
      <c r="A275" s="41">
        <v>2025</v>
      </c>
      <c r="B275" s="41" t="s">
        <v>199</v>
      </c>
      <c r="C275" s="41" t="s">
        <v>199</v>
      </c>
      <c r="D275" s="41" t="s">
        <v>169</v>
      </c>
      <c r="E275" s="41" t="s">
        <v>28</v>
      </c>
      <c r="F275" s="41" t="s">
        <v>28</v>
      </c>
      <c r="G275" s="41">
        <v>18</v>
      </c>
      <c r="H275" s="41" t="s">
        <v>161</v>
      </c>
      <c r="I275" s="41" t="s">
        <v>275</v>
      </c>
      <c r="J275" s="58" t="s">
        <v>385</v>
      </c>
      <c r="K275">
        <v>1</v>
      </c>
      <c r="L275">
        <v>2</v>
      </c>
      <c r="M275">
        <v>18000</v>
      </c>
      <c r="N275">
        <v>2000</v>
      </c>
      <c r="O275">
        <v>25000</v>
      </c>
      <c r="P275">
        <v>0</v>
      </c>
      <c r="R275">
        <v>0</v>
      </c>
      <c r="T275" s="12">
        <f t="shared" si="57"/>
        <v>27000</v>
      </c>
      <c r="U275">
        <v>0</v>
      </c>
      <c r="V275" s="61">
        <v>245000</v>
      </c>
      <c r="W275" s="86">
        <v>0</v>
      </c>
      <c r="X275">
        <v>0</v>
      </c>
      <c r="Y275" s="12">
        <f t="shared" si="56"/>
        <v>245000</v>
      </c>
      <c r="Z275" s="57">
        <f>30%*M275</f>
        <v>5400</v>
      </c>
      <c r="AA275">
        <v>10000</v>
      </c>
      <c r="AB275">
        <v>0</v>
      </c>
      <c r="AD275">
        <v>0</v>
      </c>
      <c r="AE275">
        <f t="shared" si="51"/>
        <v>15400</v>
      </c>
      <c r="AF275" s="12">
        <f t="shared" si="52"/>
        <v>-256600</v>
      </c>
      <c r="AG27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-21600</v>
      </c>
      <c r="AH275" s="13">
        <f>IFERROR(AG275/(Z275+Table5[[#This Row],[Rider Penalty (Claim, Other Denda to Riders)]]),0)</f>
        <v>-4</v>
      </c>
      <c r="AI275" s="12">
        <f t="shared" si="58"/>
        <v>-235000</v>
      </c>
      <c r="AJ275">
        <f t="shared" si="53"/>
        <v>-23.5</v>
      </c>
      <c r="AK275" s="88" t="s">
        <v>383</v>
      </c>
      <c r="AV275" s="109"/>
      <c r="AW275" s="109"/>
      <c r="AX275" s="109"/>
    </row>
    <row r="276" spans="1:50" hidden="1">
      <c r="A276" s="117">
        <v>2025</v>
      </c>
      <c r="B276" s="117" t="s">
        <v>23</v>
      </c>
      <c r="C276" s="117" t="s">
        <v>174</v>
      </c>
      <c r="D276" s="117" t="s">
        <v>168</v>
      </c>
      <c r="E276" s="117" t="s">
        <v>24</v>
      </c>
      <c r="F276" s="117" t="s">
        <v>24</v>
      </c>
      <c r="G276" s="41">
        <v>18</v>
      </c>
      <c r="H276" s="41" t="s">
        <v>160</v>
      </c>
      <c r="I276" s="41" t="s">
        <v>279</v>
      </c>
      <c r="J276" s="58" t="s">
        <v>197</v>
      </c>
      <c r="K276" s="41">
        <v>43</v>
      </c>
      <c r="L276" s="41">
        <v>4861</v>
      </c>
      <c r="M276" s="41">
        <v>44146000</v>
      </c>
      <c r="N276" s="41">
        <f>4/8*7723800</f>
        <v>3861900</v>
      </c>
      <c r="O276" s="41">
        <f>4/8*1920000</f>
        <v>960000</v>
      </c>
      <c r="P276" s="41">
        <v>0</v>
      </c>
      <c r="Q276" s="41"/>
      <c r="R276" s="41">
        <v>0</v>
      </c>
      <c r="S276" s="41"/>
      <c r="T276" s="57">
        <f t="shared" si="57"/>
        <v>4821900</v>
      </c>
      <c r="U276" s="41">
        <f>4/8*840000</f>
        <v>420000</v>
      </c>
      <c r="V276" s="55">
        <v>7735000</v>
      </c>
      <c r="W276" s="86">
        <v>0</v>
      </c>
      <c r="X276" s="41">
        <v>0</v>
      </c>
      <c r="Y276" s="57">
        <f t="shared" si="56"/>
        <v>8155000</v>
      </c>
      <c r="Z276" s="57">
        <f>21%*M276</f>
        <v>9270660</v>
      </c>
      <c r="AA276" s="41">
        <v>3870000</v>
      </c>
      <c r="AB276">
        <f>4/30*15642348</f>
        <v>2085646.4</v>
      </c>
      <c r="AD276" s="41">
        <v>600000</v>
      </c>
      <c r="AE276" s="41">
        <f t="shared" si="51"/>
        <v>15826306.4</v>
      </c>
      <c r="AF276" s="57">
        <f t="shared" si="52"/>
        <v>2849406.4000000004</v>
      </c>
      <c r="AG27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4628760</v>
      </c>
      <c r="AH276" s="59">
        <f>IFERROR(AG276/(Z276+Table5[[#This Row],[Rider Penalty (Claim, Other Denda to Riders)]]),0)</f>
        <v>0.46894128660089601</v>
      </c>
      <c r="AI276" s="57">
        <f t="shared" si="58"/>
        <v>-1779353.5999999996</v>
      </c>
      <c r="AJ276" s="41">
        <f t="shared" si="53"/>
        <v>-0.29876750238227701</v>
      </c>
      <c r="AV276" s="109">
        <f>Table5[[#This Row],[Total Selling Comission/Sales (Weekly)]]/Table5[[#This Row],[Total Revenue Sharing % (Weekly)]]*100%</f>
        <v>0.41657228287953607</v>
      </c>
      <c r="AW276" s="109">
        <f>Table5[[#This Row],[Total Daily Incentive (Weekly)]]/Table5[[#This Row],[Total Revenue Sharing % (Weekly)]]*100%</f>
        <v>0.10355249788040981</v>
      </c>
      <c r="AX276" s="109">
        <f>(N276+O276)/Z276*100%</f>
        <v>0.52012478075994595</v>
      </c>
    </row>
    <row r="277" spans="1:50" hidden="1">
      <c r="A277" s="117">
        <v>2025</v>
      </c>
      <c r="B277" s="117" t="s">
        <v>23</v>
      </c>
      <c r="C277" s="117" t="s">
        <v>174</v>
      </c>
      <c r="D277" s="117" t="s">
        <v>168</v>
      </c>
      <c r="E277" s="117" t="s">
        <v>24</v>
      </c>
      <c r="F277" s="117" t="s">
        <v>24</v>
      </c>
      <c r="G277" s="41">
        <v>18</v>
      </c>
      <c r="H277" s="41" t="s">
        <v>161</v>
      </c>
      <c r="I277" s="41" t="s">
        <v>275</v>
      </c>
      <c r="J277" s="58" t="s">
        <v>384</v>
      </c>
      <c r="K277" s="41">
        <v>33</v>
      </c>
      <c r="L277" s="41">
        <v>3721</v>
      </c>
      <c r="M277" s="41">
        <v>33934000</v>
      </c>
      <c r="N277" s="41">
        <f>4/8*7723800</f>
        <v>3861900</v>
      </c>
      <c r="O277" s="41">
        <f>4/8*1920000</f>
        <v>960000</v>
      </c>
      <c r="P277" s="41">
        <v>0</v>
      </c>
      <c r="Q277" s="41"/>
      <c r="R277" s="41">
        <v>0</v>
      </c>
      <c r="S277" s="41"/>
      <c r="T277" s="57">
        <f t="shared" si="57"/>
        <v>4821900</v>
      </c>
      <c r="U277" s="41">
        <f>4/8*840000</f>
        <v>420000</v>
      </c>
      <c r="V277" s="55">
        <v>7735000</v>
      </c>
      <c r="W277" s="86">
        <v>0</v>
      </c>
      <c r="X277" s="41">
        <v>0</v>
      </c>
      <c r="Y277" s="57">
        <f t="shared" si="56"/>
        <v>8155000</v>
      </c>
      <c r="Z277" s="57">
        <f>21%*M277</f>
        <v>7126140</v>
      </c>
      <c r="AA277" s="41">
        <v>3870000</v>
      </c>
      <c r="AB277" s="41">
        <f>4/31*9842400</f>
        <v>1269987.0967741935</v>
      </c>
      <c r="AC277" s="41"/>
      <c r="AD277" s="41">
        <v>0</v>
      </c>
      <c r="AE277" s="41">
        <f t="shared" si="51"/>
        <v>12266127.096774194</v>
      </c>
      <c r="AF277" s="57">
        <f t="shared" si="52"/>
        <v>-710772.90322580561</v>
      </c>
      <c r="AG27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1884240</v>
      </c>
      <c r="AH277" s="59">
        <f>IFERROR(AG277/(Z277+Table5[[#This Row],[Rider Penalty (Claim, Other Denda to Riders)]]),0)</f>
        <v>0.26441243085316873</v>
      </c>
      <c r="AI277" s="57">
        <f t="shared" si="58"/>
        <v>-2595012.9032258065</v>
      </c>
      <c r="AJ277" s="41">
        <f t="shared" si="53"/>
        <v>-0.50486759098177736</v>
      </c>
      <c r="AV277" s="109">
        <f>Table5[[#This Row],[Total Selling Comission/Sales (Weekly)]]/Table5[[#This Row],[Total Revenue Sharing % (Weekly)]]*100%</f>
        <v>0.5419343431366771</v>
      </c>
      <c r="AW277" s="109">
        <f>Table5[[#This Row],[Total Daily Incentive (Weekly)]]/Table5[[#This Row],[Total Revenue Sharing % (Weekly)]]*100%</f>
        <v>0.13471528765923768</v>
      </c>
      <c r="AX277" s="109">
        <f>(N277+O277)/Z277*100%</f>
        <v>0.67664963079591478</v>
      </c>
    </row>
    <row r="278" spans="1:50" hidden="1">
      <c r="A278" s="119">
        <v>2025</v>
      </c>
      <c r="B278" s="119" t="s">
        <v>23</v>
      </c>
      <c r="C278" s="119" t="s">
        <v>173</v>
      </c>
      <c r="D278" s="119" t="s">
        <v>168</v>
      </c>
      <c r="E278" s="119" t="s">
        <v>24</v>
      </c>
      <c r="F278" s="120" t="s">
        <v>282</v>
      </c>
      <c r="G278" s="41">
        <v>18</v>
      </c>
      <c r="H278" s="41" t="s">
        <v>160</v>
      </c>
      <c r="I278" s="41" t="s">
        <v>279</v>
      </c>
      <c r="J278" s="58" t="s">
        <v>197</v>
      </c>
      <c r="K278">
        <v>16</v>
      </c>
      <c r="L278">
        <v>2665</v>
      </c>
      <c r="M278">
        <v>24240000</v>
      </c>
      <c r="N278">
        <f>4/8*4706100</f>
        <v>2353050</v>
      </c>
      <c r="O278">
        <f>4/8*1640000</f>
        <v>820000</v>
      </c>
      <c r="P278">
        <v>0</v>
      </c>
      <c r="R278">
        <v>0</v>
      </c>
      <c r="T278" s="12">
        <f t="shared" si="57"/>
        <v>3173050</v>
      </c>
      <c r="U278">
        <v>0</v>
      </c>
      <c r="V278" s="61">
        <f>4/8*3570000</f>
        <v>1785000</v>
      </c>
      <c r="W278" s="86">
        <v>0</v>
      </c>
      <c r="X278">
        <v>0</v>
      </c>
      <c r="Y278" s="12">
        <f t="shared" si="56"/>
        <v>1785000</v>
      </c>
      <c r="Z278" s="12">
        <f>21%*M278</f>
        <v>5090400</v>
      </c>
      <c r="AA278">
        <f>4/8*1836000</f>
        <v>918000</v>
      </c>
      <c r="AB278">
        <f>4/30*4985729</f>
        <v>664763.8666666667</v>
      </c>
      <c r="AD278">
        <v>100000</v>
      </c>
      <c r="AE278">
        <f t="shared" si="51"/>
        <v>6773163.8666666672</v>
      </c>
      <c r="AF278" s="12">
        <f t="shared" si="52"/>
        <v>1815113.8666666672</v>
      </c>
      <c r="AG27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2017350</v>
      </c>
      <c r="AH278" s="13">
        <f>IFERROR(AG278/(Z278+Table5[[#This Row],[Rider Penalty (Claim, Other Denda to Riders)]]),0)</f>
        <v>0.3886694667077682</v>
      </c>
      <c r="AI278" s="12">
        <f t="shared" si="58"/>
        <v>-202236.1333333333</v>
      </c>
      <c r="AJ278" s="109">
        <f t="shared" si="53"/>
        <v>-0.12777403982518679</v>
      </c>
      <c r="AV278" s="109">
        <f>Table5[[#This Row],[Total Selling Comission/Sales (Weekly)]]/Table5[[#This Row],[Total Revenue Sharing % (Weekly)]]*100%</f>
        <v>0.46225247524752477</v>
      </c>
      <c r="AW278" s="109">
        <f>Table5[[#This Row],[Total Daily Incentive (Weekly)]]/Table5[[#This Row],[Total Revenue Sharing % (Weekly)]]*100%</f>
        <v>0.1610875373251611</v>
      </c>
      <c r="AX278" s="109">
        <f>(N278+O278)/Z278*100%</f>
        <v>0.62334001257268579</v>
      </c>
    </row>
    <row r="279" spans="1:50" hidden="1">
      <c r="A279" s="119">
        <v>2025</v>
      </c>
      <c r="B279" s="119" t="s">
        <v>23</v>
      </c>
      <c r="C279" s="119" t="s">
        <v>173</v>
      </c>
      <c r="D279" s="119" t="s">
        <v>168</v>
      </c>
      <c r="E279" s="119" t="s">
        <v>24</v>
      </c>
      <c r="F279" s="120" t="s">
        <v>282</v>
      </c>
      <c r="G279" s="41">
        <v>18</v>
      </c>
      <c r="H279" s="41" t="s">
        <v>161</v>
      </c>
      <c r="I279" s="41" t="s">
        <v>275</v>
      </c>
      <c r="J279" s="58" t="s">
        <v>384</v>
      </c>
      <c r="K279" s="41">
        <v>15</v>
      </c>
      <c r="L279" s="41">
        <v>4861</v>
      </c>
      <c r="M279" s="41">
        <v>44146000</v>
      </c>
      <c r="N279">
        <f>4/8*4706100</f>
        <v>2353050</v>
      </c>
      <c r="O279">
        <f>4/8*1640000</f>
        <v>820000</v>
      </c>
      <c r="P279">
        <v>0</v>
      </c>
      <c r="R279">
        <v>0</v>
      </c>
      <c r="T279" s="57">
        <f t="shared" si="57"/>
        <v>3173050</v>
      </c>
      <c r="U279">
        <v>0</v>
      </c>
      <c r="V279" s="1">
        <f>4/8*3570000</f>
        <v>1785000</v>
      </c>
      <c r="W279" s="86">
        <v>0</v>
      </c>
      <c r="X279">
        <v>0</v>
      </c>
      <c r="Y279" s="57">
        <f t="shared" si="56"/>
        <v>1785000</v>
      </c>
      <c r="Z279" s="57">
        <f>21%*M279</f>
        <v>9270660</v>
      </c>
      <c r="AA279">
        <f>4/8*1836000</f>
        <v>918000</v>
      </c>
      <c r="AB279">
        <f>4/31*5473714</f>
        <v>706285.67741935479</v>
      </c>
      <c r="AD279" s="41">
        <v>0</v>
      </c>
      <c r="AE279" s="41">
        <f t="shared" si="51"/>
        <v>10894945.677419355</v>
      </c>
      <c r="AF279" s="57">
        <f t="shared" si="52"/>
        <v>5936895.6774193551</v>
      </c>
      <c r="AG27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6097610</v>
      </c>
      <c r="AH279" s="59">
        <f>IFERROR(AG279/(Z279+Table5[[#This Row],[Rider Penalty (Claim, Other Denda to Riders)]]),0)</f>
        <v>0.65773202770892258</v>
      </c>
      <c r="AI279" s="57">
        <f t="shared" si="58"/>
        <v>-160714.32258064533</v>
      </c>
      <c r="AJ279" s="137">
        <f t="shared" si="53"/>
        <v>-9.8944615971733665E-2</v>
      </c>
      <c r="AV279" s="109">
        <f>Table5[[#This Row],[Total Selling Comission/Sales (Weekly)]]/Table5[[#This Row],[Total Revenue Sharing % (Weekly)]]*100%</f>
        <v>0.25381688035156075</v>
      </c>
      <c r="AW279" s="109">
        <f>Table5[[#This Row],[Total Daily Incentive (Weekly)]]/Table5[[#This Row],[Total Revenue Sharing % (Weekly)]]*100%</f>
        <v>8.845109193951671E-2</v>
      </c>
      <c r="AX279" s="109">
        <f>(N279+O279)/Z279*100%</f>
        <v>0.34226797229107742</v>
      </c>
    </row>
    <row r="280" spans="1:50" hidden="1">
      <c r="A280" s="41">
        <v>2025</v>
      </c>
      <c r="B280" s="41" t="s">
        <v>170</v>
      </c>
      <c r="C280" s="41" t="s">
        <v>170</v>
      </c>
      <c r="D280" s="41" t="s">
        <v>169</v>
      </c>
      <c r="E280" s="41" t="s">
        <v>24</v>
      </c>
      <c r="F280" s="41" t="s">
        <v>24</v>
      </c>
      <c r="G280" s="41">
        <v>18</v>
      </c>
      <c r="H280" s="41" t="s">
        <v>161</v>
      </c>
      <c r="I280" s="41" t="s">
        <v>275</v>
      </c>
      <c r="J280" s="58" t="s">
        <v>386</v>
      </c>
      <c r="K280">
        <v>5</v>
      </c>
      <c r="L280">
        <v>456</v>
      </c>
      <c r="M280">
        <v>3882000</v>
      </c>
      <c r="N280">
        <v>410400</v>
      </c>
      <c r="O280">
        <v>30000</v>
      </c>
      <c r="P280">
        <v>0</v>
      </c>
      <c r="R280">
        <v>0</v>
      </c>
      <c r="T280" s="12">
        <v>0</v>
      </c>
      <c r="U280">
        <v>0</v>
      </c>
      <c r="V280" s="61">
        <v>595000</v>
      </c>
      <c r="W280" s="86">
        <v>0</v>
      </c>
      <c r="X280">
        <v>0</v>
      </c>
      <c r="Y280" s="12">
        <f t="shared" si="56"/>
        <v>595000</v>
      </c>
      <c r="Z280" s="12">
        <f>30%*M280</f>
        <v>1164600</v>
      </c>
      <c r="AA280">
        <v>306000</v>
      </c>
      <c r="AB280">
        <v>0</v>
      </c>
      <c r="AD280">
        <v>0</v>
      </c>
      <c r="AE280">
        <f t="shared" si="51"/>
        <v>1470600</v>
      </c>
      <c r="AF280" s="12">
        <f t="shared" si="52"/>
        <v>875600</v>
      </c>
      <c r="AG28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1164600</v>
      </c>
      <c r="AH280" s="13">
        <f>IFERROR(AG280/(Z280+Table5[[#This Row],[Rider Penalty (Claim, Other Denda to Riders)]]),0)</f>
        <v>1</v>
      </c>
      <c r="AI280" s="12">
        <f t="shared" si="58"/>
        <v>-289000</v>
      </c>
      <c r="AJ280">
        <f t="shared" si="53"/>
        <v>-0.94444444444444442</v>
      </c>
      <c r="AV280" s="109"/>
      <c r="AW280" s="109"/>
      <c r="AX280" s="109"/>
    </row>
    <row r="281" spans="1:50" hidden="1">
      <c r="A281" s="41">
        <v>2025</v>
      </c>
      <c r="B281" s="54" t="s">
        <v>23</v>
      </c>
      <c r="C281" s="54" t="s">
        <v>23</v>
      </c>
      <c r="D281" s="54" t="s">
        <v>168</v>
      </c>
      <c r="E281" s="54" t="s">
        <v>28</v>
      </c>
      <c r="F281" s="54" t="s">
        <v>25</v>
      </c>
      <c r="G281" s="41">
        <v>19</v>
      </c>
      <c r="H281" s="41" t="s">
        <v>161</v>
      </c>
      <c r="I281" s="41" t="s">
        <v>256</v>
      </c>
      <c r="J281" s="58" t="s">
        <v>387</v>
      </c>
      <c r="K281" s="41">
        <v>265</v>
      </c>
      <c r="L281" s="41">
        <v>81238</v>
      </c>
      <c r="M281" s="41">
        <v>708402000</v>
      </c>
      <c r="N281" s="41">
        <v>81226000</v>
      </c>
      <c r="O281" s="41">
        <v>59880000</v>
      </c>
      <c r="P281" s="41">
        <v>0</v>
      </c>
      <c r="Q281" s="41"/>
      <c r="R281" s="41">
        <v>0</v>
      </c>
      <c r="S281" s="41"/>
      <c r="T281" s="57">
        <f t="shared" ref="T281:T312" si="59">SUM(N281:R281)</f>
        <v>141106000</v>
      </c>
      <c r="U281" s="41">
        <v>700000</v>
      </c>
      <c r="V281" s="55">
        <v>62790000</v>
      </c>
      <c r="W281" s="86">
        <v>0</v>
      </c>
      <c r="X281" s="54">
        <v>648065</v>
      </c>
      <c r="Y281" s="57">
        <f t="shared" si="56"/>
        <v>64138065</v>
      </c>
      <c r="Z281" s="57">
        <f>23%*M281</f>
        <v>162932460</v>
      </c>
      <c r="AA281" s="41">
        <v>32292000</v>
      </c>
      <c r="AB281" s="54">
        <f>7/31*151015429</f>
        <v>34100258.161290325</v>
      </c>
      <c r="AC281" s="54"/>
      <c r="AD281" s="41">
        <v>0</v>
      </c>
      <c r="AE281" s="41">
        <f t="shared" si="51"/>
        <v>229324718.16129032</v>
      </c>
      <c r="AF281" s="57">
        <f t="shared" si="52"/>
        <v>24080653.161290318</v>
      </c>
      <c r="AG28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20478395</v>
      </c>
      <c r="AH281" s="59">
        <f>IFERROR(AG281/(Z281+Table5[[#This Row],[Rider Penalty (Claim, Other Denda to Riders)]]),0)</f>
        <v>0.1256864040474194</v>
      </c>
      <c r="AI281" s="57">
        <f t="shared" si="58"/>
        <v>3602258.1612903252</v>
      </c>
      <c r="AJ281" s="41">
        <f t="shared" si="53"/>
        <v>5.4257201984893533E-2</v>
      </c>
      <c r="AK281" s="88" t="s">
        <v>388</v>
      </c>
      <c r="AV281" s="109">
        <f>Table5[[#This Row],[Total Selling Comission/Sales (Weekly)]]/Table5[[#This Row],[Total Revenue Sharing % (Weekly)]]*100%</f>
        <v>0.4985255853867302</v>
      </c>
      <c r="AW281" s="109">
        <f>Table5[[#This Row],[Total Daily Incentive (Weekly)]]/Table5[[#This Row],[Total Revenue Sharing % (Weekly)]]*100%</f>
        <v>0.36751424485949574</v>
      </c>
      <c r="AX281" s="109">
        <f>(N281+O281)/Z281*100%</f>
        <v>0.86603983024622599</v>
      </c>
    </row>
    <row r="282" spans="1:50" hidden="1">
      <c r="A282" s="41">
        <v>2025</v>
      </c>
      <c r="B282" s="41" t="s">
        <v>23</v>
      </c>
      <c r="C282" s="41" t="s">
        <v>172</v>
      </c>
      <c r="D282" s="41" t="s">
        <v>168</v>
      </c>
      <c r="E282" s="41" t="s">
        <v>28</v>
      </c>
      <c r="F282" s="41" t="s">
        <v>31</v>
      </c>
      <c r="G282" s="41">
        <v>19</v>
      </c>
      <c r="H282" s="41" t="s">
        <v>161</v>
      </c>
      <c r="I282" s="41" t="s">
        <v>256</v>
      </c>
      <c r="J282" s="58" t="s">
        <v>387</v>
      </c>
      <c r="K282" s="16">
        <v>25</v>
      </c>
      <c r="L282" s="16">
        <v>7783</v>
      </c>
      <c r="M282" s="16">
        <v>68422000</v>
      </c>
      <c r="N282" s="16">
        <v>7778000</v>
      </c>
      <c r="O282" s="16">
        <v>5225000</v>
      </c>
      <c r="P282" s="16">
        <v>0</v>
      </c>
      <c r="Q282" s="16"/>
      <c r="R282" s="16">
        <v>0</v>
      </c>
      <c r="S282" s="16"/>
      <c r="T282" s="16">
        <f t="shared" si="59"/>
        <v>13003000</v>
      </c>
      <c r="U282" s="16">
        <v>575000</v>
      </c>
      <c r="V282" s="112">
        <v>5565000</v>
      </c>
      <c r="W282" s="111">
        <v>0</v>
      </c>
      <c r="X282" s="16">
        <v>411871</v>
      </c>
      <c r="Y282" s="16">
        <f t="shared" si="56"/>
        <v>6551871</v>
      </c>
      <c r="Z282" s="16">
        <f>23%*M282</f>
        <v>15737060</v>
      </c>
      <c r="AA282" s="16">
        <v>2862000</v>
      </c>
      <c r="AB282" s="16">
        <f>7/31*13114286</f>
        <v>2961290.3870967743</v>
      </c>
      <c r="AC282" s="16"/>
      <c r="AD282" s="16">
        <v>0</v>
      </c>
      <c r="AE282" s="16">
        <f t="shared" si="51"/>
        <v>21560350.387096774</v>
      </c>
      <c r="AF282" s="12">
        <f t="shared" si="52"/>
        <v>2005479.3870967738</v>
      </c>
      <c r="AG28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1747189</v>
      </c>
      <c r="AH282" s="13">
        <f>IFERROR(AG282/(Z282+Table5[[#This Row],[Rider Penalty (Claim, Other Denda to Riders)]]),0)</f>
        <v>0.11102385070654874</v>
      </c>
      <c r="AI282" s="12">
        <f t="shared" si="58"/>
        <v>258290.38709677383</v>
      </c>
      <c r="AJ282">
        <f t="shared" si="53"/>
        <v>4.4354715277310018E-2</v>
      </c>
      <c r="AK282" s="88" t="s">
        <v>388</v>
      </c>
      <c r="AV282" s="109">
        <f>Table5[[#This Row],[Total Selling Comission/Sales (Weekly)]]/Table5[[#This Row],[Total Revenue Sharing % (Weekly)]]*100%</f>
        <v>0.4942473371773381</v>
      </c>
      <c r="AW282" s="109">
        <f>Table5[[#This Row],[Total Daily Incentive (Weekly)]]/Table5[[#This Row],[Total Revenue Sharing % (Weekly)]]*100%</f>
        <v>0.33201881418765639</v>
      </c>
      <c r="AX282" s="109">
        <f>(N282+O282)/Z282*100%</f>
        <v>0.82626615136499448</v>
      </c>
    </row>
    <row r="283" spans="1:50" hidden="1">
      <c r="A283" s="41">
        <v>2025</v>
      </c>
      <c r="B283" s="41" t="s">
        <v>27</v>
      </c>
      <c r="C283" s="41" t="s">
        <v>27</v>
      </c>
      <c r="D283" s="41" t="s">
        <v>169</v>
      </c>
      <c r="E283" s="41" t="s">
        <v>28</v>
      </c>
      <c r="F283" s="48" t="s">
        <v>28</v>
      </c>
      <c r="G283" s="41">
        <v>19</v>
      </c>
      <c r="H283" s="41" t="s">
        <v>161</v>
      </c>
      <c r="I283" s="41" t="s">
        <v>256</v>
      </c>
      <c r="J283" s="58" t="s">
        <v>389</v>
      </c>
      <c r="K283" s="16">
        <v>5</v>
      </c>
      <c r="L283" s="16">
        <v>694</v>
      </c>
      <c r="M283" s="16">
        <v>6689000</v>
      </c>
      <c r="N283" s="16">
        <v>694000</v>
      </c>
      <c r="O283" s="16">
        <v>1000000</v>
      </c>
      <c r="P283" s="16">
        <v>0</v>
      </c>
      <c r="Q283" s="16"/>
      <c r="R283" s="16">
        <v>0</v>
      </c>
      <c r="S283" s="16"/>
      <c r="T283" s="16">
        <f t="shared" si="59"/>
        <v>1694000</v>
      </c>
      <c r="U283" s="16">
        <v>0</v>
      </c>
      <c r="V283" s="112">
        <v>1400000</v>
      </c>
      <c r="W283" s="111">
        <v>0</v>
      </c>
      <c r="X283" s="16">
        <v>0</v>
      </c>
      <c r="Y283" s="16">
        <f t="shared" si="56"/>
        <v>1400000</v>
      </c>
      <c r="Z283" s="16">
        <f>30%*M283</f>
        <v>2006700</v>
      </c>
      <c r="AA283" s="16">
        <v>400000</v>
      </c>
      <c r="AB283" s="16">
        <v>0</v>
      </c>
      <c r="AC283" s="16"/>
      <c r="AD283" s="16">
        <v>0</v>
      </c>
      <c r="AE283" s="16">
        <f t="shared" si="51"/>
        <v>2406700</v>
      </c>
      <c r="AF283" s="12">
        <f t="shared" si="52"/>
        <v>-687300</v>
      </c>
      <c r="AG28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312700</v>
      </c>
      <c r="AH283" s="13">
        <f>IFERROR(AG283/(Z283+Table5[[#This Row],[Rider Penalty (Claim, Other Denda to Riders)]]),0)</f>
        <v>0.15582797627946379</v>
      </c>
      <c r="AI283" s="12">
        <f t="shared" si="58"/>
        <v>-1000000</v>
      </c>
      <c r="AJ283">
        <f t="shared" si="53"/>
        <v>-2.5</v>
      </c>
      <c r="AK283" s="88" t="s">
        <v>388</v>
      </c>
      <c r="AV283" s="109"/>
      <c r="AW283" s="109"/>
      <c r="AX283" s="109"/>
    </row>
    <row r="284" spans="1:50" hidden="1">
      <c r="A284" s="41">
        <v>2025</v>
      </c>
      <c r="B284" s="41" t="s">
        <v>29</v>
      </c>
      <c r="C284" s="41" t="s">
        <v>29</v>
      </c>
      <c r="D284" s="41" t="s">
        <v>169</v>
      </c>
      <c r="E284" s="41" t="s">
        <v>28</v>
      </c>
      <c r="F284" s="41" t="s">
        <v>28</v>
      </c>
      <c r="G284" s="41">
        <v>19</v>
      </c>
      <c r="H284" s="41" t="s">
        <v>161</v>
      </c>
      <c r="I284" s="41" t="s">
        <v>256</v>
      </c>
      <c r="J284" s="58" t="s">
        <v>389</v>
      </c>
      <c r="K284" s="16">
        <v>9</v>
      </c>
      <c r="L284" s="16">
        <v>376</v>
      </c>
      <c r="M284" s="16">
        <v>3466000</v>
      </c>
      <c r="N284" s="16">
        <v>376000</v>
      </c>
      <c r="O284" s="16">
        <v>650000</v>
      </c>
      <c r="P284" s="16">
        <v>0</v>
      </c>
      <c r="Q284" s="16"/>
      <c r="R284" s="16">
        <v>0</v>
      </c>
      <c r="S284" s="16"/>
      <c r="T284" s="16">
        <f t="shared" si="59"/>
        <v>1026000</v>
      </c>
      <c r="U284" s="16">
        <v>0</v>
      </c>
      <c r="V284" s="112">
        <v>1645000</v>
      </c>
      <c r="W284" s="111">
        <v>0</v>
      </c>
      <c r="X284" s="16">
        <v>0</v>
      </c>
      <c r="Y284" s="16">
        <f t="shared" si="56"/>
        <v>1645000</v>
      </c>
      <c r="Z284" s="16">
        <f>30%*M284</f>
        <v>1039800</v>
      </c>
      <c r="AA284" s="16">
        <v>470000</v>
      </c>
      <c r="AB284" s="16">
        <v>0</v>
      </c>
      <c r="AC284" s="16"/>
      <c r="AD284" s="16">
        <v>0</v>
      </c>
      <c r="AE284" s="16">
        <f t="shared" si="51"/>
        <v>1509800</v>
      </c>
      <c r="AF284" s="12">
        <f t="shared" si="52"/>
        <v>-1161200</v>
      </c>
      <c r="AG28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13800</v>
      </c>
      <c r="AH284" s="13">
        <f>IFERROR(AG284/(Z284+Table5[[#This Row],[Rider Penalty (Claim, Other Denda to Riders)]]),0)</f>
        <v>1.3271783035199077E-2</v>
      </c>
      <c r="AI284" s="12">
        <f t="shared" si="58"/>
        <v>-1175000</v>
      </c>
      <c r="AJ284">
        <f t="shared" si="53"/>
        <v>-2.5</v>
      </c>
      <c r="AK284" s="88" t="s">
        <v>388</v>
      </c>
      <c r="AV284" s="109"/>
      <c r="AW284" s="109"/>
      <c r="AX284" s="109"/>
    </row>
    <row r="285" spans="1:50" hidden="1">
      <c r="A285" s="41">
        <v>2025</v>
      </c>
      <c r="B285" s="41" t="s">
        <v>171</v>
      </c>
      <c r="C285" s="41" t="s">
        <v>171</v>
      </c>
      <c r="D285" s="41" t="s">
        <v>168</v>
      </c>
      <c r="E285" s="41" t="s">
        <v>28</v>
      </c>
      <c r="F285" s="41" t="s">
        <v>28</v>
      </c>
      <c r="G285" s="41">
        <v>19</v>
      </c>
      <c r="H285" s="41" t="s">
        <v>161</v>
      </c>
      <c r="I285" s="41" t="s">
        <v>256</v>
      </c>
      <c r="J285" s="58" t="s">
        <v>389</v>
      </c>
      <c r="K285" s="16">
        <v>2</v>
      </c>
      <c r="L285" s="16">
        <v>289</v>
      </c>
      <c r="M285" s="16">
        <v>2217000</v>
      </c>
      <c r="N285" s="16">
        <v>210700</v>
      </c>
      <c r="O285" s="16">
        <v>375000</v>
      </c>
      <c r="P285" s="16">
        <v>0</v>
      </c>
      <c r="Q285" s="16"/>
      <c r="R285" s="16">
        <v>0</v>
      </c>
      <c r="S285" s="16"/>
      <c r="T285" s="16">
        <f t="shared" si="59"/>
        <v>585700</v>
      </c>
      <c r="U285" s="16">
        <v>0</v>
      </c>
      <c r="V285" s="112">
        <v>560000</v>
      </c>
      <c r="W285" s="111">
        <v>0</v>
      </c>
      <c r="X285" s="16">
        <v>0</v>
      </c>
      <c r="Y285" s="16">
        <f t="shared" si="56"/>
        <v>560000</v>
      </c>
      <c r="Z285" s="16">
        <f>30%*M285</f>
        <v>665100</v>
      </c>
      <c r="AA285" s="16">
        <v>160000</v>
      </c>
      <c r="AB285" s="16">
        <v>0</v>
      </c>
      <c r="AC285" s="16"/>
      <c r="AD285" s="16">
        <v>0</v>
      </c>
      <c r="AE285" s="16">
        <f t="shared" si="51"/>
        <v>825100</v>
      </c>
      <c r="AF285" s="12">
        <f t="shared" si="52"/>
        <v>-320600</v>
      </c>
      <c r="AG28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79400</v>
      </c>
      <c r="AH285" s="13">
        <f>IFERROR(AG285/(Z285+Table5[[#This Row],[Rider Penalty (Claim, Other Denda to Riders)]]),0)</f>
        <v>0.11938054427905578</v>
      </c>
      <c r="AI285" s="12">
        <f t="shared" si="58"/>
        <v>-400000</v>
      </c>
      <c r="AJ285">
        <f t="shared" si="53"/>
        <v>-2.5</v>
      </c>
      <c r="AK285" s="88" t="s">
        <v>388</v>
      </c>
      <c r="AV285" s="109"/>
      <c r="AW285" s="109"/>
      <c r="AX285" s="109"/>
    </row>
    <row r="286" spans="1:50" hidden="1">
      <c r="A286" s="41">
        <v>2025</v>
      </c>
      <c r="B286" s="41" t="s">
        <v>175</v>
      </c>
      <c r="C286" s="41" t="s">
        <v>175</v>
      </c>
      <c r="D286" s="41" t="s">
        <v>169</v>
      </c>
      <c r="E286" s="41" t="s">
        <v>28</v>
      </c>
      <c r="F286" s="41" t="s">
        <v>28</v>
      </c>
      <c r="G286" s="41">
        <v>19</v>
      </c>
      <c r="H286" s="41" t="s">
        <v>161</v>
      </c>
      <c r="I286" s="41" t="s">
        <v>256</v>
      </c>
      <c r="J286" s="58" t="s">
        <v>389</v>
      </c>
      <c r="K286" s="16">
        <v>6</v>
      </c>
      <c r="L286" s="16">
        <v>593</v>
      </c>
      <c r="M286" s="16">
        <v>4270000</v>
      </c>
      <c r="N286" s="16">
        <v>593000</v>
      </c>
      <c r="O286" s="16">
        <v>725000</v>
      </c>
      <c r="P286" s="16">
        <v>0</v>
      </c>
      <c r="Q286" s="16"/>
      <c r="R286" s="16">
        <v>0</v>
      </c>
      <c r="S286" s="16"/>
      <c r="T286" s="16">
        <f t="shared" si="59"/>
        <v>1318000</v>
      </c>
      <c r="U286" s="16">
        <v>0</v>
      </c>
      <c r="V286" s="112">
        <v>1470000</v>
      </c>
      <c r="W286" s="111">
        <v>0</v>
      </c>
      <c r="X286" s="16">
        <v>0</v>
      </c>
      <c r="Y286" s="16">
        <f t="shared" si="56"/>
        <v>1470000</v>
      </c>
      <c r="Z286" s="57">
        <f>29%*M286</f>
        <v>1238300</v>
      </c>
      <c r="AA286" s="16">
        <v>420000</v>
      </c>
      <c r="AB286" s="16">
        <v>0</v>
      </c>
      <c r="AC286" s="16"/>
      <c r="AD286" s="16">
        <v>0</v>
      </c>
      <c r="AE286" s="16">
        <f t="shared" si="51"/>
        <v>1658300</v>
      </c>
      <c r="AF286" s="12">
        <f t="shared" si="52"/>
        <v>-1129700</v>
      </c>
      <c r="AG28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-79700</v>
      </c>
      <c r="AH286" s="13">
        <f>IFERROR(AG286/(Z286+Table5[[#This Row],[Rider Penalty (Claim, Other Denda to Riders)]]),0)</f>
        <v>-6.43624323669547E-2</v>
      </c>
      <c r="AI286" s="12">
        <f t="shared" si="58"/>
        <v>-1050000</v>
      </c>
      <c r="AJ286">
        <f t="shared" si="53"/>
        <v>-2.5</v>
      </c>
      <c r="AK286" s="88" t="s">
        <v>388</v>
      </c>
      <c r="AV286" s="109"/>
      <c r="AW286" s="109"/>
      <c r="AX286" s="109"/>
    </row>
    <row r="287" spans="1:50" hidden="1">
      <c r="A287" s="41">
        <v>2025</v>
      </c>
      <c r="B287" s="41" t="s">
        <v>196</v>
      </c>
      <c r="C287" s="41" t="s">
        <v>196</v>
      </c>
      <c r="D287" s="41" t="s">
        <v>169</v>
      </c>
      <c r="E287" s="41" t="s">
        <v>28</v>
      </c>
      <c r="F287" s="41" t="s">
        <v>28</v>
      </c>
      <c r="G287" s="41">
        <v>19</v>
      </c>
      <c r="H287" s="41" t="s">
        <v>161</v>
      </c>
      <c r="I287" s="41" t="s">
        <v>256</v>
      </c>
      <c r="J287" s="58" t="s">
        <v>389</v>
      </c>
      <c r="K287" s="16">
        <v>6</v>
      </c>
      <c r="L287" s="16">
        <v>62</v>
      </c>
      <c r="M287" s="16">
        <v>555000</v>
      </c>
      <c r="N287" s="16">
        <v>62000</v>
      </c>
      <c r="O287" s="16">
        <v>200000</v>
      </c>
      <c r="P287" s="16">
        <v>0</v>
      </c>
      <c r="Q287" s="16"/>
      <c r="R287" s="16">
        <v>0</v>
      </c>
      <c r="S287" s="16"/>
      <c r="T287" s="16">
        <f t="shared" si="59"/>
        <v>262000</v>
      </c>
      <c r="U287" s="16">
        <v>0</v>
      </c>
      <c r="V287" s="112">
        <v>665000</v>
      </c>
      <c r="W287" s="111">
        <v>0</v>
      </c>
      <c r="X287" s="16">
        <v>0</v>
      </c>
      <c r="Y287" s="16">
        <f t="shared" si="56"/>
        <v>665000</v>
      </c>
      <c r="Z287" s="16">
        <f>30%*M287</f>
        <v>166500</v>
      </c>
      <c r="AA287" s="16">
        <v>190000</v>
      </c>
      <c r="AB287" s="16">
        <v>0</v>
      </c>
      <c r="AC287" s="16"/>
      <c r="AD287" s="16">
        <v>0</v>
      </c>
      <c r="AE287" s="16">
        <f t="shared" si="51"/>
        <v>356500</v>
      </c>
      <c r="AF287" s="12">
        <f t="shared" si="52"/>
        <v>-570500</v>
      </c>
      <c r="AG28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-95500</v>
      </c>
      <c r="AH287" s="13">
        <f>IFERROR(AG287/(Z287+Table5[[#This Row],[Rider Penalty (Claim, Other Denda to Riders)]]),0)</f>
        <v>-0.57357357357357353</v>
      </c>
      <c r="AI287" s="12">
        <f t="shared" si="58"/>
        <v>-475000</v>
      </c>
      <c r="AJ287" s="109">
        <f t="shared" si="53"/>
        <v>-2.5</v>
      </c>
      <c r="AK287" s="88" t="s">
        <v>388</v>
      </c>
      <c r="AV287" s="109"/>
      <c r="AW287" s="109"/>
      <c r="AX287" s="109"/>
    </row>
    <row r="288" spans="1:50" hidden="1">
      <c r="A288" s="117">
        <v>2025</v>
      </c>
      <c r="B288" s="117" t="s">
        <v>23</v>
      </c>
      <c r="C288" s="117" t="s">
        <v>174</v>
      </c>
      <c r="D288" s="117" t="s">
        <v>168</v>
      </c>
      <c r="E288" s="117" t="s">
        <v>24</v>
      </c>
      <c r="F288" s="117" t="s">
        <v>24</v>
      </c>
      <c r="G288" s="41">
        <v>19</v>
      </c>
      <c r="H288" s="41" t="s">
        <v>161</v>
      </c>
      <c r="I288" s="41" t="s">
        <v>256</v>
      </c>
      <c r="J288" s="58" t="s">
        <v>387</v>
      </c>
      <c r="K288" s="41">
        <v>34</v>
      </c>
      <c r="L288" s="41">
        <v>6317</v>
      </c>
      <c r="M288" s="41">
        <v>57134000</v>
      </c>
      <c r="N288" s="41">
        <v>5685300</v>
      </c>
      <c r="O288" s="41">
        <v>1545000</v>
      </c>
      <c r="P288" s="41">
        <v>1260000</v>
      </c>
      <c r="Q288" s="41"/>
      <c r="R288" s="41">
        <v>0</v>
      </c>
      <c r="S288" s="41"/>
      <c r="T288" s="57">
        <f t="shared" si="59"/>
        <v>8490300</v>
      </c>
      <c r="U288" s="41">
        <v>840000</v>
      </c>
      <c r="V288" s="55">
        <v>6160000</v>
      </c>
      <c r="W288" s="86">
        <v>0</v>
      </c>
      <c r="X288" s="41">
        <v>0</v>
      </c>
      <c r="Y288" s="57">
        <f t="shared" si="56"/>
        <v>7000000</v>
      </c>
      <c r="Z288" s="57">
        <f>21%*M288</f>
        <v>11998140</v>
      </c>
      <c r="AA288" s="41">
        <v>3060000</v>
      </c>
      <c r="AB288" s="41">
        <f>7/31*9842400</f>
        <v>2222477.4193548388</v>
      </c>
      <c r="AC288" s="41"/>
      <c r="AD288" s="41">
        <v>900000</v>
      </c>
      <c r="AE288" s="41">
        <f t="shared" si="51"/>
        <v>18180617.419354837</v>
      </c>
      <c r="AF288" s="57">
        <f t="shared" si="52"/>
        <v>2690317.4193548374</v>
      </c>
      <c r="AG28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3567840</v>
      </c>
      <c r="AH288" s="59">
        <f>IFERROR(AG288/(Z288+Table5[[#This Row],[Rider Penalty (Claim, Other Denda to Riders)]]),0)</f>
        <v>0.27661662844410123</v>
      </c>
      <c r="AI288" s="57">
        <f t="shared" si="58"/>
        <v>-877522.58064516075</v>
      </c>
      <c r="AJ288" s="41">
        <f t="shared" si="53"/>
        <v>-0.16611951381560938</v>
      </c>
      <c r="AV288" s="109">
        <f>Table5[[#This Row],[Total Selling Comission/Sales (Weekly)]]/Table5[[#This Row],[Total Revenue Sharing % (Weekly)]]*100%</f>
        <v>0.47384844650920893</v>
      </c>
      <c r="AW288" s="109">
        <f>Table5[[#This Row],[Total Daily Incentive (Weekly)]]/Table5[[#This Row],[Total Revenue Sharing % (Weekly)]]*100%</f>
        <v>0.12876995934369828</v>
      </c>
      <c r="AX288" s="109">
        <f>(N288+O288)/Z288*100%</f>
        <v>0.60261840585290716</v>
      </c>
    </row>
    <row r="289" spans="1:50" hidden="1">
      <c r="A289" s="119">
        <v>2025</v>
      </c>
      <c r="B289" s="119" t="s">
        <v>23</v>
      </c>
      <c r="C289" s="119" t="s">
        <v>173</v>
      </c>
      <c r="D289" s="119" t="s">
        <v>168</v>
      </c>
      <c r="E289" s="119" t="s">
        <v>24</v>
      </c>
      <c r="F289" s="120" t="s">
        <v>282</v>
      </c>
      <c r="G289" s="41">
        <v>19</v>
      </c>
      <c r="H289" s="41" t="s">
        <v>161</v>
      </c>
      <c r="I289" s="41" t="s">
        <v>256</v>
      </c>
      <c r="J289" s="58" t="s">
        <v>387</v>
      </c>
      <c r="K289">
        <v>16</v>
      </c>
      <c r="L289">
        <v>4656</v>
      </c>
      <c r="M289">
        <v>42120000</v>
      </c>
      <c r="N289">
        <v>4190400</v>
      </c>
      <c r="O289">
        <v>1495000</v>
      </c>
      <c r="P289">
        <v>720000</v>
      </c>
      <c r="R289">
        <v>0</v>
      </c>
      <c r="T289" s="12">
        <f t="shared" si="59"/>
        <v>6405400</v>
      </c>
      <c r="U289">
        <v>0</v>
      </c>
      <c r="V289" s="61">
        <v>3115000</v>
      </c>
      <c r="W289" s="86">
        <v>0</v>
      </c>
      <c r="X289">
        <v>0</v>
      </c>
      <c r="Y289" s="12">
        <f t="shared" si="56"/>
        <v>3115000</v>
      </c>
      <c r="Z289" s="12">
        <f>21%*M289</f>
        <v>8845200</v>
      </c>
      <c r="AA289">
        <v>1584000</v>
      </c>
      <c r="AB289">
        <f>7/31*5473714</f>
        <v>1235999.935483871</v>
      </c>
      <c r="AD289">
        <v>300000</v>
      </c>
      <c r="AE289">
        <f t="shared" si="51"/>
        <v>11965199.935483871</v>
      </c>
      <c r="AF289" s="12">
        <f t="shared" si="52"/>
        <v>2444799.935483871</v>
      </c>
      <c r="AG28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2739800</v>
      </c>
      <c r="AH289" s="13">
        <f>IFERROR(AG289/(Z289+Table5[[#This Row],[Rider Penalty (Claim, Other Denda to Riders)]]),0)</f>
        <v>0.29958885535581509</v>
      </c>
      <c r="AI289" s="12">
        <f t="shared" si="58"/>
        <v>-295000.06451612897</v>
      </c>
      <c r="AJ289">
        <f t="shared" si="53"/>
        <v>-0.1046099543493469</v>
      </c>
      <c r="AV289" s="109">
        <f>Table5[[#This Row],[Total Selling Comission/Sales (Weekly)]]/Table5[[#This Row],[Total Revenue Sharing % (Weekly)]]*100%</f>
        <v>0.47374847374847373</v>
      </c>
      <c r="AW289" s="109">
        <f>Table5[[#This Row],[Total Daily Incentive (Weekly)]]/Table5[[#This Row],[Total Revenue Sharing % (Weekly)]]*100%</f>
        <v>0.16901822457378013</v>
      </c>
      <c r="AX289" s="109">
        <f>(N289+O289)/Z289*100%</f>
        <v>0.64276669832225386</v>
      </c>
    </row>
    <row r="290" spans="1:50" hidden="1">
      <c r="A290" s="41">
        <v>2025</v>
      </c>
      <c r="B290" s="41" t="s">
        <v>170</v>
      </c>
      <c r="C290" s="41" t="s">
        <v>170</v>
      </c>
      <c r="D290" s="41" t="s">
        <v>169</v>
      </c>
      <c r="E290" s="41" t="s">
        <v>24</v>
      </c>
      <c r="F290" s="41" t="s">
        <v>24</v>
      </c>
      <c r="G290" s="41">
        <v>19</v>
      </c>
      <c r="H290" s="41" t="s">
        <v>161</v>
      </c>
      <c r="I290" s="41" t="s">
        <v>256</v>
      </c>
      <c r="J290" s="58" t="s">
        <v>390</v>
      </c>
      <c r="K290">
        <v>6</v>
      </c>
      <c r="L290">
        <v>560</v>
      </c>
      <c r="M290">
        <v>4564000</v>
      </c>
      <c r="N290">
        <v>504000</v>
      </c>
      <c r="O290">
        <v>15000</v>
      </c>
      <c r="P290">
        <v>120000</v>
      </c>
      <c r="R290">
        <v>0</v>
      </c>
      <c r="T290" s="12">
        <f t="shared" si="59"/>
        <v>639000</v>
      </c>
      <c r="U290">
        <v>0</v>
      </c>
      <c r="V290" s="61">
        <v>945000</v>
      </c>
      <c r="W290" s="86">
        <v>0</v>
      </c>
      <c r="X290">
        <v>0</v>
      </c>
      <c r="Y290" s="12">
        <f t="shared" si="56"/>
        <v>945000</v>
      </c>
      <c r="Z290" s="12">
        <f>30%*M290</f>
        <v>1369200</v>
      </c>
      <c r="AA290">
        <v>468000</v>
      </c>
      <c r="AB290">
        <v>0</v>
      </c>
      <c r="AD290">
        <v>0</v>
      </c>
      <c r="AE290">
        <f t="shared" si="51"/>
        <v>1837200</v>
      </c>
      <c r="AF290" s="12">
        <f t="shared" si="52"/>
        <v>253200</v>
      </c>
      <c r="AG29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730200</v>
      </c>
      <c r="AH290" s="13">
        <f>IFERROR(AG290/(Z290+Table5[[#This Row],[Rider Penalty (Claim, Other Denda to Riders)]]),0)</f>
        <v>0.5333041191936897</v>
      </c>
      <c r="AI290" s="12">
        <f t="shared" si="58"/>
        <v>-477000</v>
      </c>
      <c r="AJ290">
        <f t="shared" si="53"/>
        <v>-1.0192307692307692</v>
      </c>
      <c r="AV290" s="109"/>
      <c r="AW290" s="109"/>
      <c r="AX290" s="109"/>
    </row>
    <row r="291" spans="1:50" hidden="1">
      <c r="A291" s="41">
        <v>2025</v>
      </c>
      <c r="B291" s="54" t="s">
        <v>23</v>
      </c>
      <c r="C291" s="54" t="s">
        <v>23</v>
      </c>
      <c r="D291" s="54" t="s">
        <v>168</v>
      </c>
      <c r="E291" s="54" t="s">
        <v>28</v>
      </c>
      <c r="F291" s="54" t="s">
        <v>25</v>
      </c>
      <c r="G291" s="41">
        <v>20</v>
      </c>
      <c r="H291" s="41" t="s">
        <v>161</v>
      </c>
      <c r="I291" s="41" t="s">
        <v>278</v>
      </c>
      <c r="J291" s="41" t="s">
        <v>391</v>
      </c>
      <c r="K291" s="41">
        <v>272</v>
      </c>
      <c r="L291" s="54">
        <v>80168</v>
      </c>
      <c r="M291" s="54">
        <v>699181000</v>
      </c>
      <c r="N291" s="54">
        <v>80167500</v>
      </c>
      <c r="O291" s="54">
        <v>59275000</v>
      </c>
      <c r="P291" s="54">
        <v>0</v>
      </c>
      <c r="Q291" s="54"/>
      <c r="R291" s="54">
        <v>0</v>
      </c>
      <c r="S291" s="54"/>
      <c r="T291" s="54">
        <f t="shared" si="59"/>
        <v>139442500</v>
      </c>
      <c r="U291" s="54">
        <v>1450000</v>
      </c>
      <c r="V291" s="110">
        <v>63875000</v>
      </c>
      <c r="W291" s="111">
        <v>0</v>
      </c>
      <c r="X291" s="54">
        <v>648065</v>
      </c>
      <c r="Y291" s="54">
        <f t="shared" si="56"/>
        <v>65973065</v>
      </c>
      <c r="Z291" s="54">
        <f>23%*M291</f>
        <v>160811630</v>
      </c>
      <c r="AA291" s="54">
        <v>32850000</v>
      </c>
      <c r="AB291" s="54">
        <f>7/31*151015429</f>
        <v>34100258.161290325</v>
      </c>
      <c r="AC291" s="54"/>
      <c r="AD291" s="54">
        <v>0</v>
      </c>
      <c r="AE291" s="54">
        <f t="shared" si="51"/>
        <v>227761888.16129032</v>
      </c>
      <c r="AF291" s="57">
        <f t="shared" si="52"/>
        <v>22346323.161290318</v>
      </c>
      <c r="AG29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19271065</v>
      </c>
      <c r="AH291" s="59">
        <f>IFERROR(AG291/(Z291+Table5[[#This Row],[Rider Penalty (Claim, Other Denda to Riders)]]),0)</f>
        <v>0.11983626432988709</v>
      </c>
      <c r="AI291" s="57">
        <f t="shared" si="58"/>
        <v>3075258.1612903252</v>
      </c>
      <c r="AJ291" s="41">
        <f t="shared" si="53"/>
        <v>4.5933477267282523E-2</v>
      </c>
      <c r="AK291" s="88" t="s">
        <v>392</v>
      </c>
      <c r="AV291" s="109">
        <f>Table5[[#This Row],[Total Selling Comission/Sales (Weekly)]]/Table5[[#This Row],[Total Revenue Sharing % (Weekly)]]*100%</f>
        <v>0.49851804872570471</v>
      </c>
      <c r="AW291" s="109">
        <f>Table5[[#This Row],[Total Daily Incentive (Weekly)]]/Table5[[#This Row],[Total Revenue Sharing % (Weekly)]]*100%</f>
        <v>0.36859896264965414</v>
      </c>
      <c r="AX291" s="109">
        <f>(N291+O291)/Z291*100%</f>
        <v>0.8671170113753589</v>
      </c>
    </row>
    <row r="292" spans="1:50" hidden="1">
      <c r="A292" s="41">
        <v>2025</v>
      </c>
      <c r="B292" s="41" t="s">
        <v>23</v>
      </c>
      <c r="C292" s="41" t="s">
        <v>172</v>
      </c>
      <c r="D292" s="41" t="s">
        <v>168</v>
      </c>
      <c r="E292" s="41" t="s">
        <v>28</v>
      </c>
      <c r="F292" s="41" t="s">
        <v>31</v>
      </c>
      <c r="G292" s="41">
        <v>20</v>
      </c>
      <c r="H292" s="41" t="s">
        <v>161</v>
      </c>
      <c r="I292" s="41" t="s">
        <v>278</v>
      </c>
      <c r="J292" s="41" t="s">
        <v>391</v>
      </c>
      <c r="K292">
        <v>22</v>
      </c>
      <c r="L292" s="16">
        <v>6838</v>
      </c>
      <c r="M292" s="16">
        <v>60105000</v>
      </c>
      <c r="N292" s="16">
        <v>6835500</v>
      </c>
      <c r="O292" s="16">
        <v>5200000</v>
      </c>
      <c r="P292" s="16">
        <v>0</v>
      </c>
      <c r="Q292" s="16"/>
      <c r="R292" s="16">
        <v>0</v>
      </c>
      <c r="S292" s="16"/>
      <c r="T292" s="16">
        <f t="shared" si="59"/>
        <v>12035500</v>
      </c>
      <c r="U292" s="16">
        <v>300000</v>
      </c>
      <c r="V292" s="112">
        <v>5075000</v>
      </c>
      <c r="W292" s="111">
        <v>0</v>
      </c>
      <c r="X292" s="16">
        <v>411871</v>
      </c>
      <c r="Y292" s="16">
        <f t="shared" si="56"/>
        <v>5786871</v>
      </c>
      <c r="Z292" s="16">
        <f>23%*M292</f>
        <v>13824150</v>
      </c>
      <c r="AA292" s="16">
        <v>2610000</v>
      </c>
      <c r="AB292" s="16">
        <f>7/31*13114286</f>
        <v>2961290.3870967743</v>
      </c>
      <c r="AC292" s="16"/>
      <c r="AD292" s="16">
        <v>0</v>
      </c>
      <c r="AE292" s="16">
        <f t="shared" si="51"/>
        <v>19395440.387096774</v>
      </c>
      <c r="AF292" s="12">
        <f t="shared" si="52"/>
        <v>1573069.3870967738</v>
      </c>
      <c r="AG29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1076779</v>
      </c>
      <c r="AH292" s="13">
        <f>IFERROR(AG292/(Z292+Table5[[#This Row],[Rider Penalty (Claim, Other Denda to Riders)]]),0)</f>
        <v>7.7891154248181618E-2</v>
      </c>
      <c r="AI292" s="12">
        <f t="shared" si="58"/>
        <v>496290.38709677383</v>
      </c>
      <c r="AJ292">
        <f t="shared" si="53"/>
        <v>8.9079971176191583E-2</v>
      </c>
      <c r="AK292" s="88" t="s">
        <v>392</v>
      </c>
      <c r="AV292" s="109">
        <f>Table5[[#This Row],[Total Selling Comission/Sales (Weekly)]]/Table5[[#This Row],[Total Revenue Sharing % (Weekly)]]*100%</f>
        <v>0.49446078059048837</v>
      </c>
      <c r="AW292" s="109">
        <f>Table5[[#This Row],[Total Daily Incentive (Weekly)]]/Table5[[#This Row],[Total Revenue Sharing % (Weekly)]]*100%</f>
        <v>0.37615332588260397</v>
      </c>
      <c r="AX292" s="109">
        <f>(N292+O292)/Z292*100%</f>
        <v>0.87061410647309234</v>
      </c>
    </row>
    <row r="293" spans="1:50" hidden="1">
      <c r="A293" s="41">
        <v>2025</v>
      </c>
      <c r="B293" s="41" t="s">
        <v>27</v>
      </c>
      <c r="C293" s="41" t="s">
        <v>27</v>
      </c>
      <c r="D293" s="41" t="s">
        <v>169</v>
      </c>
      <c r="E293" s="41" t="s">
        <v>28</v>
      </c>
      <c r="F293" s="48" t="s">
        <v>28</v>
      </c>
      <c r="G293" s="41">
        <v>20</v>
      </c>
      <c r="H293" s="41" t="s">
        <v>161</v>
      </c>
      <c r="I293" s="41" t="s">
        <v>278</v>
      </c>
      <c r="J293" s="41" t="s">
        <v>391</v>
      </c>
      <c r="K293" s="54">
        <v>5</v>
      </c>
      <c r="L293" s="54">
        <v>808</v>
      </c>
      <c r="M293" s="113">
        <v>6728000</v>
      </c>
      <c r="N293" s="54">
        <v>808000</v>
      </c>
      <c r="O293" s="54">
        <v>900000</v>
      </c>
      <c r="P293" s="54">
        <v>0</v>
      </c>
      <c r="Q293" s="54"/>
      <c r="R293" s="54">
        <v>0</v>
      </c>
      <c r="S293" s="54"/>
      <c r="T293" s="54">
        <f t="shared" si="59"/>
        <v>1708000</v>
      </c>
      <c r="U293" s="54">
        <v>0</v>
      </c>
      <c r="V293" s="110">
        <v>1190000</v>
      </c>
      <c r="W293" s="111">
        <v>0</v>
      </c>
      <c r="X293" s="54">
        <v>0</v>
      </c>
      <c r="Y293" s="54">
        <f t="shared" si="56"/>
        <v>1190000</v>
      </c>
      <c r="Z293" s="54">
        <f>30%*M293</f>
        <v>2018400</v>
      </c>
      <c r="AA293" s="54">
        <v>340000</v>
      </c>
      <c r="AB293" s="54">
        <v>0</v>
      </c>
      <c r="AC293" s="54"/>
      <c r="AD293" s="54">
        <v>0</v>
      </c>
      <c r="AE293" s="54">
        <f t="shared" si="51"/>
        <v>2358400</v>
      </c>
      <c r="AF293" s="54">
        <f t="shared" si="52"/>
        <v>-539600</v>
      </c>
      <c r="AG293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310400</v>
      </c>
      <c r="AH293" s="54">
        <f>IFERROR(AG293/(Z293+Table5[[#This Row],[Rider Penalty (Claim, Other Denda to Riders)]]),0)</f>
        <v>0.15378517637732858</v>
      </c>
      <c r="AI293" s="54">
        <f t="shared" si="58"/>
        <v>-850000</v>
      </c>
      <c r="AJ293" s="54">
        <f t="shared" si="53"/>
        <v>-2.5</v>
      </c>
      <c r="AK293" s="88" t="s">
        <v>392</v>
      </c>
      <c r="AV293" s="109"/>
      <c r="AW293" s="109"/>
      <c r="AX293" s="109"/>
    </row>
    <row r="294" spans="1:50" hidden="1">
      <c r="A294" s="41">
        <v>2025</v>
      </c>
      <c r="B294" s="41" t="s">
        <v>29</v>
      </c>
      <c r="C294" s="41" t="s">
        <v>29</v>
      </c>
      <c r="D294" s="41" t="s">
        <v>169</v>
      </c>
      <c r="E294" s="41" t="s">
        <v>28</v>
      </c>
      <c r="F294" s="41" t="s">
        <v>28</v>
      </c>
      <c r="G294" s="41">
        <v>20</v>
      </c>
      <c r="H294" s="41" t="s">
        <v>161</v>
      </c>
      <c r="I294" s="41" t="s">
        <v>278</v>
      </c>
      <c r="J294" s="41" t="s">
        <v>391</v>
      </c>
      <c r="K294" s="16">
        <v>6</v>
      </c>
      <c r="L294" s="16">
        <v>212</v>
      </c>
      <c r="M294" s="113">
        <v>1906000</v>
      </c>
      <c r="N294" s="16">
        <v>212000</v>
      </c>
      <c r="O294" s="16">
        <v>425000</v>
      </c>
      <c r="P294" s="16">
        <v>0</v>
      </c>
      <c r="Q294" s="16"/>
      <c r="R294" s="16">
        <v>0</v>
      </c>
      <c r="S294" s="16"/>
      <c r="T294" s="16">
        <f t="shared" si="59"/>
        <v>637000</v>
      </c>
      <c r="U294" s="16">
        <v>0</v>
      </c>
      <c r="V294" s="112">
        <v>1085000</v>
      </c>
      <c r="W294" s="111">
        <v>0</v>
      </c>
      <c r="X294" s="16">
        <v>0</v>
      </c>
      <c r="Y294" s="16">
        <f t="shared" si="56"/>
        <v>1085000</v>
      </c>
      <c r="Z294" s="54">
        <f>30%*M294</f>
        <v>571800</v>
      </c>
      <c r="AA294" s="16">
        <v>310000</v>
      </c>
      <c r="AB294" s="16">
        <v>0</v>
      </c>
      <c r="AC294" s="16"/>
      <c r="AD294" s="16">
        <v>0</v>
      </c>
      <c r="AE294" s="16">
        <f t="shared" si="51"/>
        <v>881800</v>
      </c>
      <c r="AF294" s="16">
        <f t="shared" si="52"/>
        <v>-840200</v>
      </c>
      <c r="AG294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-65200</v>
      </c>
      <c r="AH294" s="16">
        <f>IFERROR(AG294/(Z294+Table5[[#This Row],[Rider Penalty (Claim, Other Denda to Riders)]]),0)</f>
        <v>-0.11402588317593564</v>
      </c>
      <c r="AI294" s="16">
        <f t="shared" si="58"/>
        <v>-775000</v>
      </c>
      <c r="AJ294" s="16">
        <f t="shared" si="53"/>
        <v>-2.5</v>
      </c>
      <c r="AK294" s="88" t="s">
        <v>392</v>
      </c>
      <c r="AV294" s="109"/>
      <c r="AW294" s="109"/>
      <c r="AX294" s="109"/>
    </row>
    <row r="295" spans="1:50" hidden="1">
      <c r="A295" s="41">
        <v>2025</v>
      </c>
      <c r="B295" s="41" t="s">
        <v>171</v>
      </c>
      <c r="C295" s="41" t="s">
        <v>171</v>
      </c>
      <c r="D295" s="41" t="s">
        <v>168</v>
      </c>
      <c r="E295" s="41" t="s">
        <v>28</v>
      </c>
      <c r="F295" s="41" t="s">
        <v>28</v>
      </c>
      <c r="G295" s="41">
        <v>20</v>
      </c>
      <c r="H295" s="41" t="s">
        <v>161</v>
      </c>
      <c r="I295" s="41" t="s">
        <v>278</v>
      </c>
      <c r="J295" s="41" t="s">
        <v>391</v>
      </c>
      <c r="K295" s="16">
        <v>2</v>
      </c>
      <c r="L295" s="16">
        <v>123</v>
      </c>
      <c r="M295" s="113">
        <v>870000</v>
      </c>
      <c r="N295" s="16">
        <v>86200</v>
      </c>
      <c r="O295" s="16">
        <v>250000</v>
      </c>
      <c r="P295" s="16">
        <v>0</v>
      </c>
      <c r="Q295" s="16"/>
      <c r="R295" s="16">
        <v>0</v>
      </c>
      <c r="S295" s="16"/>
      <c r="T295" s="16">
        <f t="shared" si="59"/>
        <v>336200</v>
      </c>
      <c r="U295" s="16">
        <v>0</v>
      </c>
      <c r="V295" s="112">
        <v>490000</v>
      </c>
      <c r="W295" s="111">
        <v>0</v>
      </c>
      <c r="X295" s="16">
        <v>0</v>
      </c>
      <c r="Y295" s="16">
        <f t="shared" si="56"/>
        <v>490000</v>
      </c>
      <c r="Z295" s="54">
        <f>30%*M295</f>
        <v>261000</v>
      </c>
      <c r="AA295" s="16">
        <v>140000</v>
      </c>
      <c r="AB295" s="16">
        <v>0</v>
      </c>
      <c r="AC295" s="16"/>
      <c r="AD295" s="16">
        <v>0</v>
      </c>
      <c r="AE295" s="16">
        <f t="shared" si="51"/>
        <v>401000</v>
      </c>
      <c r="AF295" s="16">
        <f t="shared" si="52"/>
        <v>-425200</v>
      </c>
      <c r="AG29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-75200</v>
      </c>
      <c r="AH295" s="16">
        <f>IFERROR(AG295/(Z295+Table5[[#This Row],[Rider Penalty (Claim, Other Denda to Riders)]]),0)</f>
        <v>-0.28812260536398465</v>
      </c>
      <c r="AI295" s="16">
        <f t="shared" si="58"/>
        <v>-350000</v>
      </c>
      <c r="AJ295" s="16">
        <f t="shared" si="53"/>
        <v>-2.5</v>
      </c>
      <c r="AK295" s="88" t="s">
        <v>392</v>
      </c>
      <c r="AV295" s="109"/>
      <c r="AW295" s="109"/>
      <c r="AX295" s="109"/>
    </row>
    <row r="296" spans="1:50" hidden="1">
      <c r="A296" s="41">
        <v>2025</v>
      </c>
      <c r="B296" s="41" t="s">
        <v>175</v>
      </c>
      <c r="C296" s="41" t="s">
        <v>175</v>
      </c>
      <c r="D296" s="41" t="s">
        <v>169</v>
      </c>
      <c r="E296" s="41" t="s">
        <v>28</v>
      </c>
      <c r="F296" s="41" t="s">
        <v>28</v>
      </c>
      <c r="G296" s="41">
        <v>20</v>
      </c>
      <c r="H296" s="41" t="s">
        <v>161</v>
      </c>
      <c r="I296" s="41" t="s">
        <v>278</v>
      </c>
      <c r="J296" s="41" t="s">
        <v>391</v>
      </c>
      <c r="K296" s="16">
        <v>6</v>
      </c>
      <c r="L296" s="16">
        <v>418</v>
      </c>
      <c r="M296" s="16">
        <v>2892000</v>
      </c>
      <c r="N296" s="16">
        <v>418000</v>
      </c>
      <c r="O296" s="16">
        <v>600000</v>
      </c>
      <c r="P296" s="16">
        <v>0</v>
      </c>
      <c r="Q296" s="16"/>
      <c r="R296" s="16">
        <v>0</v>
      </c>
      <c r="S296" s="16"/>
      <c r="T296" s="16">
        <f t="shared" si="59"/>
        <v>1018000</v>
      </c>
      <c r="U296" s="16">
        <v>0</v>
      </c>
      <c r="V296" s="112">
        <v>1295000</v>
      </c>
      <c r="W296" s="111">
        <v>0</v>
      </c>
      <c r="X296" s="16">
        <v>0</v>
      </c>
      <c r="Y296" s="16">
        <f t="shared" si="56"/>
        <v>1295000</v>
      </c>
      <c r="Z296" s="57">
        <f>29%*M296</f>
        <v>838680</v>
      </c>
      <c r="AA296" s="16">
        <v>370000</v>
      </c>
      <c r="AB296" s="16">
        <v>0</v>
      </c>
      <c r="AC296" s="16"/>
      <c r="AD296" s="16">
        <v>0</v>
      </c>
      <c r="AE296" s="16">
        <f t="shared" si="51"/>
        <v>1208680</v>
      </c>
      <c r="AF296" s="16">
        <f t="shared" si="52"/>
        <v>-1104320</v>
      </c>
      <c r="AG29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-179320</v>
      </c>
      <c r="AH296" s="16">
        <f>IFERROR(AG296/(Z296+Table5[[#This Row],[Rider Penalty (Claim, Other Denda to Riders)]]),0)</f>
        <v>-0.21381218104640626</v>
      </c>
      <c r="AI296" s="16">
        <f t="shared" si="58"/>
        <v>-925000</v>
      </c>
      <c r="AJ296" s="16">
        <f t="shared" si="53"/>
        <v>-2.5</v>
      </c>
      <c r="AK296" s="88" t="s">
        <v>392</v>
      </c>
      <c r="AV296" s="109"/>
      <c r="AW296" s="109"/>
      <c r="AX296" s="109"/>
    </row>
    <row r="297" spans="1:50" hidden="1">
      <c r="A297" s="41">
        <v>2025</v>
      </c>
      <c r="B297" s="41" t="s">
        <v>196</v>
      </c>
      <c r="C297" s="41" t="s">
        <v>196</v>
      </c>
      <c r="D297" s="41" t="s">
        <v>169</v>
      </c>
      <c r="E297" s="41" t="s">
        <v>28</v>
      </c>
      <c r="F297" s="41" t="s">
        <v>28</v>
      </c>
      <c r="G297" s="41">
        <v>20</v>
      </c>
      <c r="H297" s="41" t="s">
        <v>161</v>
      </c>
      <c r="I297" s="41" t="s">
        <v>278</v>
      </c>
      <c r="J297" s="41" t="s">
        <v>391</v>
      </c>
      <c r="K297" s="16">
        <v>4</v>
      </c>
      <c r="L297" s="16">
        <v>85</v>
      </c>
      <c r="M297" s="16">
        <v>798000</v>
      </c>
      <c r="N297" s="16">
        <v>85000</v>
      </c>
      <c r="O297" s="16">
        <v>350000</v>
      </c>
      <c r="P297" s="16">
        <v>0</v>
      </c>
      <c r="Q297" s="16"/>
      <c r="R297" s="16">
        <v>0</v>
      </c>
      <c r="S297" s="16"/>
      <c r="T297" s="16">
        <f t="shared" si="59"/>
        <v>435000</v>
      </c>
      <c r="U297" s="16">
        <v>0</v>
      </c>
      <c r="V297" s="112">
        <v>735000</v>
      </c>
      <c r="W297" s="111">
        <v>0</v>
      </c>
      <c r="X297" s="16">
        <v>0</v>
      </c>
      <c r="Y297" s="16">
        <f t="shared" si="56"/>
        <v>735000</v>
      </c>
      <c r="Z297" s="54">
        <f>30%*M297</f>
        <v>239400</v>
      </c>
      <c r="AA297" s="16">
        <v>210000</v>
      </c>
      <c r="AB297" s="16">
        <v>0</v>
      </c>
      <c r="AC297" s="16"/>
      <c r="AD297" s="16">
        <v>0</v>
      </c>
      <c r="AE297" s="16">
        <f t="shared" si="51"/>
        <v>449400</v>
      </c>
      <c r="AF297" s="16">
        <f t="shared" si="52"/>
        <v>-720600</v>
      </c>
      <c r="AG29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-195600</v>
      </c>
      <c r="AH297" s="16">
        <f>IFERROR(AG297/(Z297+Table5[[#This Row],[Rider Penalty (Claim, Other Denda to Riders)]]),0)</f>
        <v>-0.81704260651629068</v>
      </c>
      <c r="AI297" s="16">
        <f t="shared" si="58"/>
        <v>-525000</v>
      </c>
      <c r="AJ297" s="109">
        <f t="shared" si="53"/>
        <v>-2.5</v>
      </c>
      <c r="AK297" s="88" t="s">
        <v>392</v>
      </c>
      <c r="AV297" s="109"/>
      <c r="AW297" s="109"/>
      <c r="AX297" s="109"/>
    </row>
    <row r="298" spans="1:50" hidden="1">
      <c r="A298" s="117">
        <v>2025</v>
      </c>
      <c r="B298" s="117" t="s">
        <v>23</v>
      </c>
      <c r="C298" s="117" t="s">
        <v>174</v>
      </c>
      <c r="D298" s="117" t="s">
        <v>168</v>
      </c>
      <c r="E298" s="117" t="s">
        <v>24</v>
      </c>
      <c r="F298" s="117" t="s">
        <v>24</v>
      </c>
      <c r="G298" s="41">
        <v>20</v>
      </c>
      <c r="H298" s="41" t="s">
        <v>161</v>
      </c>
      <c r="I298" s="41" t="s">
        <v>278</v>
      </c>
      <c r="J298" s="41" t="s">
        <v>391</v>
      </c>
      <c r="K298" s="54">
        <v>26</v>
      </c>
      <c r="L298" s="54">
        <v>4695</v>
      </c>
      <c r="M298" s="54">
        <v>42420000</v>
      </c>
      <c r="N298" s="54">
        <v>4225500</v>
      </c>
      <c r="O298" s="54">
        <v>1100000</v>
      </c>
      <c r="P298" s="54">
        <v>1020000</v>
      </c>
      <c r="Q298" s="54"/>
      <c r="R298" s="54">
        <v>0</v>
      </c>
      <c r="S298" s="54"/>
      <c r="T298" s="57">
        <f t="shared" si="59"/>
        <v>6345500</v>
      </c>
      <c r="U298" s="54">
        <v>840000</v>
      </c>
      <c r="V298" s="110">
        <v>4550000</v>
      </c>
      <c r="W298" s="111">
        <v>0</v>
      </c>
      <c r="X298" s="54">
        <v>0</v>
      </c>
      <c r="Y298" s="57">
        <f t="shared" si="56"/>
        <v>5390000</v>
      </c>
      <c r="Z298" s="57">
        <f>21%*M298</f>
        <v>8908200</v>
      </c>
      <c r="AA298" s="54">
        <v>2304000</v>
      </c>
      <c r="AB298" s="41">
        <f>7/31*9842400</f>
        <v>2222477.4193548388</v>
      </c>
      <c r="AC298" s="41"/>
      <c r="AD298" s="54">
        <v>400000</v>
      </c>
      <c r="AE298" s="54">
        <f t="shared" si="51"/>
        <v>13834677.419354839</v>
      </c>
      <c r="AF298" s="57">
        <f t="shared" si="52"/>
        <v>2099177.4193548393</v>
      </c>
      <c r="AG29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2122700</v>
      </c>
      <c r="AH298" s="59">
        <f>IFERROR(AG298/(Z298+Table5[[#This Row],[Rider Penalty (Claim, Other Denda to Riders)]]),0)</f>
        <v>0.22804623880019767</v>
      </c>
      <c r="AI298" s="57">
        <f t="shared" si="58"/>
        <v>-23522.58064516075</v>
      </c>
      <c r="AJ298" s="54">
        <f t="shared" si="53"/>
        <v>-5.1966636450190076E-3</v>
      </c>
      <c r="AK298" s="16"/>
      <c r="AV298" s="109">
        <f>Table5[[#This Row],[Total Selling Comission/Sales (Weekly)]]/Table5[[#This Row],[Total Revenue Sharing % (Weekly)]]*100%</f>
        <v>0.47433825015154579</v>
      </c>
      <c r="AW298" s="109">
        <f>Table5[[#This Row],[Total Daily Incentive (Weekly)]]/Table5[[#This Row],[Total Revenue Sharing % (Weekly)]]*100%</f>
        <v>0.12348173592869491</v>
      </c>
      <c r="AX298" s="109">
        <f>(N298+O298)/Z298*100%</f>
        <v>0.59781998608024067</v>
      </c>
    </row>
    <row r="299" spans="1:50" hidden="1">
      <c r="A299" s="119">
        <v>2025</v>
      </c>
      <c r="B299" s="119" t="s">
        <v>23</v>
      </c>
      <c r="C299" s="119" t="s">
        <v>173</v>
      </c>
      <c r="D299" s="119" t="s">
        <v>168</v>
      </c>
      <c r="E299" s="119" t="s">
        <v>24</v>
      </c>
      <c r="F299" s="120" t="s">
        <v>282</v>
      </c>
      <c r="G299" s="41">
        <v>20</v>
      </c>
      <c r="H299" s="41" t="s">
        <v>161</v>
      </c>
      <c r="I299" s="41" t="s">
        <v>278</v>
      </c>
      <c r="J299" s="41" t="s">
        <v>391</v>
      </c>
      <c r="K299" s="16">
        <v>16</v>
      </c>
      <c r="L299" s="16">
        <v>4825</v>
      </c>
      <c r="M299" s="16">
        <v>43856000</v>
      </c>
      <c r="N299" s="16">
        <v>4342500</v>
      </c>
      <c r="O299" s="16">
        <v>1460000</v>
      </c>
      <c r="P299" s="16">
        <v>900000</v>
      </c>
      <c r="Q299" s="16"/>
      <c r="R299" s="16">
        <v>0</v>
      </c>
      <c r="S299" s="16"/>
      <c r="T299" s="12">
        <f t="shared" si="59"/>
        <v>6702500</v>
      </c>
      <c r="U299" s="16">
        <v>0</v>
      </c>
      <c r="V299" s="112">
        <v>3360000</v>
      </c>
      <c r="W299" s="111">
        <v>0</v>
      </c>
      <c r="X299" s="16">
        <v>0</v>
      </c>
      <c r="Y299" s="12">
        <f t="shared" si="56"/>
        <v>3360000</v>
      </c>
      <c r="Z299" s="57">
        <f>21%*M299</f>
        <v>9209760</v>
      </c>
      <c r="AA299" s="16">
        <v>1692000</v>
      </c>
      <c r="AB299">
        <f>7/31*5473714</f>
        <v>1235999.935483871</v>
      </c>
      <c r="AD299" s="16">
        <v>0</v>
      </c>
      <c r="AE299" s="16">
        <f t="shared" si="51"/>
        <v>12137759.935483871</v>
      </c>
      <c r="AF299" s="12">
        <f t="shared" si="52"/>
        <v>2075259.935483871</v>
      </c>
      <c r="AG29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2507260</v>
      </c>
      <c r="AH299" s="13">
        <f>IFERROR(AG299/(Z299+Table5[[#This Row],[Rider Penalty (Claim, Other Denda to Riders)]]),0)</f>
        <v>0.27223945032226682</v>
      </c>
      <c r="AI299" s="12">
        <f t="shared" si="58"/>
        <v>-432000.06451612897</v>
      </c>
      <c r="AJ299" s="16">
        <f t="shared" si="53"/>
        <v>-0.1475410088917021</v>
      </c>
      <c r="AK299" s="16"/>
      <c r="AV299" s="109">
        <f>Table5[[#This Row],[Total Selling Comission/Sales (Weekly)]]/Table5[[#This Row],[Total Revenue Sharing % (Weekly)]]*100%</f>
        <v>0.47151065825819566</v>
      </c>
      <c r="AW299" s="109">
        <f>Table5[[#This Row],[Total Daily Incentive (Weekly)]]/Table5[[#This Row],[Total Revenue Sharing % (Weekly)]]*100%</f>
        <v>0.15852747520022237</v>
      </c>
      <c r="AX299" s="109">
        <f>(N299+O299)/Z299*100%</f>
        <v>0.63003813345841808</v>
      </c>
    </row>
    <row r="300" spans="1:50" hidden="1">
      <c r="A300" s="41">
        <v>2025</v>
      </c>
      <c r="B300" s="41" t="s">
        <v>170</v>
      </c>
      <c r="C300" s="41" t="s">
        <v>170</v>
      </c>
      <c r="D300" s="41" t="s">
        <v>169</v>
      </c>
      <c r="E300" s="41" t="s">
        <v>24</v>
      </c>
      <c r="F300" s="41" t="s">
        <v>24</v>
      </c>
      <c r="G300" s="41">
        <v>20</v>
      </c>
      <c r="H300" s="41" t="s">
        <v>161</v>
      </c>
      <c r="I300" s="41" t="s">
        <v>279</v>
      </c>
      <c r="J300" s="58" t="s">
        <v>393</v>
      </c>
      <c r="K300" s="16">
        <v>5</v>
      </c>
      <c r="L300" s="16">
        <v>356</v>
      </c>
      <c r="M300" s="16">
        <v>2956000</v>
      </c>
      <c r="N300" s="16">
        <v>320400</v>
      </c>
      <c r="O300" s="16">
        <v>0</v>
      </c>
      <c r="P300" s="16">
        <v>60000</v>
      </c>
      <c r="Q300" s="16"/>
      <c r="R300" s="16">
        <v>0</v>
      </c>
      <c r="S300" s="16"/>
      <c r="T300" s="12">
        <f t="shared" si="59"/>
        <v>380400</v>
      </c>
      <c r="U300" s="16">
        <v>0</v>
      </c>
      <c r="V300" s="112">
        <v>630000</v>
      </c>
      <c r="W300" s="111">
        <v>0</v>
      </c>
      <c r="X300" s="16">
        <v>0</v>
      </c>
      <c r="Y300" s="12">
        <f t="shared" si="56"/>
        <v>630000</v>
      </c>
      <c r="Z300" s="57">
        <f>30%*M300</f>
        <v>886800</v>
      </c>
      <c r="AA300" s="16">
        <v>324000</v>
      </c>
      <c r="AB300" s="16">
        <v>0</v>
      </c>
      <c r="AC300" s="16"/>
      <c r="AD300" s="16">
        <v>0</v>
      </c>
      <c r="AE300" s="16">
        <f t="shared" ref="AE300:AE363" si="60">SUM(Z300:AD300)</f>
        <v>1210800</v>
      </c>
      <c r="AF300" s="12">
        <f t="shared" ref="AF300:AF363" si="61">AE300-(T300+Y300)</f>
        <v>200400</v>
      </c>
      <c r="AG30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506400</v>
      </c>
      <c r="AH300" s="13">
        <f>IFERROR(AG300/(Z300+Table5[[#This Row],[Rider Penalty (Claim, Other Denda to Riders)]]),0)</f>
        <v>0.57104194857916102</v>
      </c>
      <c r="AI300" s="12">
        <f t="shared" si="58"/>
        <v>-306000</v>
      </c>
      <c r="AJ300" s="16">
        <f t="shared" ref="AJ300:AJ363" si="62">IFERROR(AI300/(AA300+AB300),0)</f>
        <v>-0.94444444444444442</v>
      </c>
      <c r="AK300" s="16"/>
      <c r="AV300" s="109"/>
      <c r="AW300" s="109"/>
      <c r="AX300" s="109"/>
    </row>
    <row r="301" spans="1:50" hidden="1">
      <c r="A301" s="41">
        <v>2025</v>
      </c>
      <c r="B301" s="54" t="s">
        <v>23</v>
      </c>
      <c r="C301" s="54" t="s">
        <v>23</v>
      </c>
      <c r="D301" s="54" t="s">
        <v>168</v>
      </c>
      <c r="E301" s="54" t="s">
        <v>28</v>
      </c>
      <c r="F301" s="54" t="s">
        <v>25</v>
      </c>
      <c r="G301" s="41">
        <v>21</v>
      </c>
      <c r="H301" s="41" t="s">
        <v>161</v>
      </c>
      <c r="I301" s="41" t="s">
        <v>279</v>
      </c>
      <c r="J301" s="58" t="s">
        <v>394</v>
      </c>
      <c r="K301" s="41">
        <v>275</v>
      </c>
      <c r="L301" s="41">
        <v>77750</v>
      </c>
      <c r="M301" s="54">
        <v>677939000</v>
      </c>
      <c r="N301" s="54">
        <v>77752500</v>
      </c>
      <c r="O301" s="54">
        <v>59300000</v>
      </c>
      <c r="P301" s="54">
        <v>55500000</v>
      </c>
      <c r="Q301" s="54">
        <v>300000</v>
      </c>
      <c r="R301" s="54">
        <v>6600000</v>
      </c>
      <c r="S301" s="16"/>
      <c r="T301" s="12">
        <f t="shared" si="59"/>
        <v>199452500</v>
      </c>
      <c r="U301" s="54">
        <f>(7*100000)+(13*75000)</f>
        <v>1675000</v>
      </c>
      <c r="V301" s="110">
        <v>64995000</v>
      </c>
      <c r="W301" s="111">
        <v>0</v>
      </c>
      <c r="X301" s="54">
        <v>648064.51612903224</v>
      </c>
      <c r="Y301" s="12">
        <f t="shared" si="56"/>
        <v>67318064.516129032</v>
      </c>
      <c r="Z301" s="54">
        <f>23%*M301</f>
        <v>155925970</v>
      </c>
      <c r="AA301" s="54">
        <v>40650000</v>
      </c>
      <c r="AB301" s="54">
        <f>7/31*151015429</f>
        <v>34100258.161290325</v>
      </c>
      <c r="AC301" s="54"/>
      <c r="AD301" s="54">
        <v>0</v>
      </c>
      <c r="AE301" s="54">
        <f t="shared" si="60"/>
        <v>230676228.16129032</v>
      </c>
      <c r="AF301" s="54">
        <f t="shared" si="61"/>
        <v>-36094336.354838699</v>
      </c>
      <c r="AG301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-45849594.516129032</v>
      </c>
      <c r="AH301" s="59">
        <f>IFERROR(AG301/(Z301+Table5[[#This Row],[Rider Penalty (Claim, Other Denda to Riders)]]),0)</f>
        <v>-0.29404719762929182</v>
      </c>
      <c r="AI301" s="57">
        <f t="shared" si="58"/>
        <v>9755258.1612903178</v>
      </c>
      <c r="AJ301" s="41">
        <f t="shared" si="62"/>
        <v>0.13050467518441444</v>
      </c>
      <c r="AK301" s="88" t="s">
        <v>395</v>
      </c>
      <c r="AV301" s="109">
        <f>Table5[[#This Row],[Total Selling Comission/Sales (Weekly)]]/Table5[[#This Row],[Total Revenue Sharing % (Weekly)]]*100%</f>
        <v>0.49865009658108911</v>
      </c>
      <c r="AW301" s="109">
        <f>Table5[[#This Row],[Total Daily Incentive (Weekly)]]/Table5[[#This Row],[Total Revenue Sharing % (Weekly)]]*100%</f>
        <v>0.38030868110039656</v>
      </c>
      <c r="AX301" s="109">
        <f>(N301+O301)/Z301*100%</f>
        <v>0.87895877768148567</v>
      </c>
    </row>
    <row r="302" spans="1:50" hidden="1">
      <c r="A302" s="41">
        <v>2025</v>
      </c>
      <c r="B302" s="41" t="s">
        <v>23</v>
      </c>
      <c r="C302" s="41" t="s">
        <v>172</v>
      </c>
      <c r="D302" s="41" t="s">
        <v>168</v>
      </c>
      <c r="E302" s="41" t="s">
        <v>28</v>
      </c>
      <c r="F302" s="41" t="s">
        <v>31</v>
      </c>
      <c r="G302" s="41">
        <v>21</v>
      </c>
      <c r="H302" s="41" t="s">
        <v>161</v>
      </c>
      <c r="I302" s="41" t="s">
        <v>279</v>
      </c>
      <c r="J302" s="58" t="s">
        <v>394</v>
      </c>
      <c r="K302" s="41">
        <v>21</v>
      </c>
      <c r="L302" s="41">
        <v>6454</v>
      </c>
      <c r="M302" s="54">
        <v>56899000</v>
      </c>
      <c r="N302" s="54">
        <v>6454500</v>
      </c>
      <c r="O302" s="54">
        <v>5125000</v>
      </c>
      <c r="P302" s="54">
        <v>4125000</v>
      </c>
      <c r="Q302" s="54"/>
      <c r="R302" s="54">
        <v>600000</v>
      </c>
      <c r="S302" s="16"/>
      <c r="T302" s="12">
        <f t="shared" si="59"/>
        <v>16304500</v>
      </c>
      <c r="U302" s="54">
        <f>(6*75000)</f>
        <v>450000</v>
      </c>
      <c r="V302" s="110">
        <v>5145000</v>
      </c>
      <c r="W302" s="111">
        <v>0</v>
      </c>
      <c r="X302" s="54">
        <v>411870.96774193551</v>
      </c>
      <c r="Y302" s="12">
        <f t="shared" si="56"/>
        <v>6006870.9677419355</v>
      </c>
      <c r="Z302" s="54">
        <f>23%*M302</f>
        <v>13086770</v>
      </c>
      <c r="AA302" s="54">
        <v>3198000</v>
      </c>
      <c r="AB302" s="16">
        <f>7/31*13114286</f>
        <v>2961290.3870967743</v>
      </c>
      <c r="AC302" s="16"/>
      <c r="AD302" s="16">
        <v>0</v>
      </c>
      <c r="AE302" s="16">
        <f t="shared" si="60"/>
        <v>19246060.387096774</v>
      </c>
      <c r="AF302" s="16">
        <f t="shared" si="61"/>
        <v>-3065310.5806451626</v>
      </c>
      <c r="AG30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-4079600.9677419355</v>
      </c>
      <c r="AH302" s="13">
        <f>IFERROR(AG302/(Z302+Table5[[#This Row],[Rider Penalty (Claim, Other Denda to Riders)]]),0)</f>
        <v>-0.31173474950212587</v>
      </c>
      <c r="AI302" s="12">
        <f t="shared" ref="AI302:AI324" si="63">AA302+AB302-V302</f>
        <v>1014290.3870967738</v>
      </c>
      <c r="AJ302">
        <f t="shared" si="62"/>
        <v>0.16467650059520361</v>
      </c>
      <c r="AK302" s="88" t="s">
        <v>395</v>
      </c>
      <c r="AV302" s="109">
        <f>Table5[[#This Row],[Total Selling Comission/Sales (Weekly)]]/Table5[[#This Row],[Total Revenue Sharing % (Weekly)]]*100%</f>
        <v>0.49320802612103676</v>
      </c>
      <c r="AW302" s="109">
        <f>Table5[[#This Row],[Total Daily Incentive (Weekly)]]/Table5[[#This Row],[Total Revenue Sharing % (Weekly)]]*100%</f>
        <v>0.39161687719735272</v>
      </c>
      <c r="AX302" s="109">
        <f>(N302+O302)/Z302*100%</f>
        <v>0.88482490331838948</v>
      </c>
    </row>
    <row r="303" spans="1:50" hidden="1">
      <c r="A303" s="41">
        <v>2025</v>
      </c>
      <c r="B303" s="41" t="s">
        <v>27</v>
      </c>
      <c r="C303" s="41" t="s">
        <v>27</v>
      </c>
      <c r="D303" s="41" t="s">
        <v>169</v>
      </c>
      <c r="E303" s="41" t="s">
        <v>28</v>
      </c>
      <c r="F303" s="48" t="s">
        <v>28</v>
      </c>
      <c r="G303" s="41">
        <v>21</v>
      </c>
      <c r="H303" s="41" t="s">
        <v>161</v>
      </c>
      <c r="I303" s="41" t="s">
        <v>279</v>
      </c>
      <c r="J303" s="58" t="s">
        <v>394</v>
      </c>
      <c r="K303">
        <v>5</v>
      </c>
      <c r="L303">
        <v>847</v>
      </c>
      <c r="M303" s="16">
        <v>7082000</v>
      </c>
      <c r="N303" s="16">
        <v>847000</v>
      </c>
      <c r="O303" s="16">
        <v>1050000</v>
      </c>
      <c r="P303" s="16">
        <v>0</v>
      </c>
      <c r="Q303" s="16"/>
      <c r="R303" s="16">
        <v>0</v>
      </c>
      <c r="S303" s="16"/>
      <c r="T303" s="16">
        <f t="shared" si="59"/>
        <v>1897000</v>
      </c>
      <c r="U303" s="16">
        <v>0</v>
      </c>
      <c r="V303" s="112">
        <v>1225000</v>
      </c>
      <c r="W303" s="111">
        <v>0</v>
      </c>
      <c r="X303" s="16">
        <v>0</v>
      </c>
      <c r="Y303" s="12">
        <f t="shared" ref="Y303:Y366" si="64">SUM(U303:X303)</f>
        <v>1225000</v>
      </c>
      <c r="Z303" s="16">
        <f>30%*M303</f>
        <v>2124600</v>
      </c>
      <c r="AA303" s="16">
        <v>350000</v>
      </c>
      <c r="AB303" s="16">
        <v>0</v>
      </c>
      <c r="AC303" s="16"/>
      <c r="AD303" s="16">
        <v>0</v>
      </c>
      <c r="AE303" s="16">
        <f t="shared" si="60"/>
        <v>2474600</v>
      </c>
      <c r="AF303" s="16">
        <f t="shared" si="61"/>
        <v>-647400</v>
      </c>
      <c r="AG303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227600</v>
      </c>
      <c r="AH303" s="13">
        <f>IFERROR(AG303/(Z303+Table5[[#This Row],[Rider Penalty (Claim, Other Denda to Riders)]]),0)</f>
        <v>0.10712604725595407</v>
      </c>
      <c r="AI303" s="12">
        <f t="shared" si="63"/>
        <v>-875000</v>
      </c>
      <c r="AJ303">
        <f t="shared" si="62"/>
        <v>-2.5</v>
      </c>
      <c r="AK303" s="88" t="s">
        <v>395</v>
      </c>
      <c r="AV303" s="109"/>
      <c r="AW303" s="109"/>
      <c r="AX303" s="109"/>
    </row>
    <row r="304" spans="1:50" hidden="1">
      <c r="A304" s="41">
        <v>2025</v>
      </c>
      <c r="B304" s="41" t="s">
        <v>29</v>
      </c>
      <c r="C304" s="41" t="s">
        <v>29</v>
      </c>
      <c r="D304" s="41" t="s">
        <v>169</v>
      </c>
      <c r="E304" s="41" t="s">
        <v>28</v>
      </c>
      <c r="F304" s="41" t="s">
        <v>28</v>
      </c>
      <c r="G304" s="41">
        <v>21</v>
      </c>
      <c r="H304" s="41" t="s">
        <v>161</v>
      </c>
      <c r="I304" s="41" t="s">
        <v>279</v>
      </c>
      <c r="J304" s="58" t="s">
        <v>394</v>
      </c>
      <c r="K304">
        <v>3</v>
      </c>
      <c r="L304">
        <v>100</v>
      </c>
      <c r="M304" s="16">
        <v>916000</v>
      </c>
      <c r="N304" s="16">
        <v>100000</v>
      </c>
      <c r="O304" s="16">
        <v>225000</v>
      </c>
      <c r="P304" s="16">
        <v>0</v>
      </c>
      <c r="Q304" s="16"/>
      <c r="R304" s="16">
        <v>0</v>
      </c>
      <c r="S304" s="16"/>
      <c r="T304" s="16">
        <f t="shared" si="59"/>
        <v>325000</v>
      </c>
      <c r="U304" s="16">
        <v>0</v>
      </c>
      <c r="V304" s="112">
        <v>525000</v>
      </c>
      <c r="W304" s="111">
        <v>0</v>
      </c>
      <c r="X304" s="16">
        <v>0</v>
      </c>
      <c r="Y304" s="12">
        <f t="shared" si="64"/>
        <v>525000</v>
      </c>
      <c r="Z304" s="16">
        <f>30%*M304</f>
        <v>274800</v>
      </c>
      <c r="AA304" s="16">
        <v>150000</v>
      </c>
      <c r="AB304" s="16">
        <v>0</v>
      </c>
      <c r="AC304" s="16"/>
      <c r="AD304" s="16">
        <v>0</v>
      </c>
      <c r="AE304" s="16">
        <f t="shared" si="60"/>
        <v>424800</v>
      </c>
      <c r="AF304" s="16">
        <f t="shared" si="61"/>
        <v>-425200</v>
      </c>
      <c r="AG304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-50200</v>
      </c>
      <c r="AH304" s="13">
        <f>IFERROR(AG304/(Z304+Table5[[#This Row],[Rider Penalty (Claim, Other Denda to Riders)]]),0)</f>
        <v>-0.18267831149927219</v>
      </c>
      <c r="AI304" s="12">
        <f t="shared" si="63"/>
        <v>-375000</v>
      </c>
      <c r="AJ304">
        <f t="shared" si="62"/>
        <v>-2.5</v>
      </c>
      <c r="AK304" s="88" t="s">
        <v>395</v>
      </c>
      <c r="AV304" s="109"/>
      <c r="AW304" s="109"/>
      <c r="AX304" s="109"/>
    </row>
    <row r="305" spans="1:50" hidden="1">
      <c r="A305" s="41">
        <v>2025</v>
      </c>
      <c r="B305" s="41" t="s">
        <v>171</v>
      </c>
      <c r="C305" s="41" t="s">
        <v>171</v>
      </c>
      <c r="D305" s="41" t="s">
        <v>168</v>
      </c>
      <c r="E305" s="41" t="s">
        <v>28</v>
      </c>
      <c r="F305" s="41" t="s">
        <v>28</v>
      </c>
      <c r="G305" s="41">
        <v>21</v>
      </c>
      <c r="H305" s="41" t="s">
        <v>161</v>
      </c>
      <c r="I305" s="41" t="s">
        <v>279</v>
      </c>
      <c r="J305" s="58" t="s">
        <v>394</v>
      </c>
      <c r="K305">
        <v>1</v>
      </c>
      <c r="L305">
        <v>87</v>
      </c>
      <c r="M305" s="16">
        <v>741000</v>
      </c>
      <c r="N305" s="16">
        <v>73000</v>
      </c>
      <c r="O305" s="16">
        <v>175000</v>
      </c>
      <c r="P305" s="16">
        <v>0</v>
      </c>
      <c r="Q305" s="16"/>
      <c r="R305" s="16">
        <v>0</v>
      </c>
      <c r="S305" s="16"/>
      <c r="T305" s="16">
        <f t="shared" si="59"/>
        <v>248000</v>
      </c>
      <c r="U305" s="16">
        <v>0</v>
      </c>
      <c r="V305" s="112">
        <v>245000</v>
      </c>
      <c r="W305" s="111">
        <v>0</v>
      </c>
      <c r="X305" s="16">
        <v>0</v>
      </c>
      <c r="Y305" s="12">
        <f t="shared" si="64"/>
        <v>245000</v>
      </c>
      <c r="Z305" s="16">
        <f>30%*M305</f>
        <v>222300</v>
      </c>
      <c r="AA305" s="16">
        <v>70000</v>
      </c>
      <c r="AB305" s="16">
        <v>0</v>
      </c>
      <c r="AC305" s="16"/>
      <c r="AD305" s="16">
        <v>0</v>
      </c>
      <c r="AE305" s="16">
        <f t="shared" si="60"/>
        <v>292300</v>
      </c>
      <c r="AF305" s="16">
        <f t="shared" si="61"/>
        <v>-200700</v>
      </c>
      <c r="AG30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-25700</v>
      </c>
      <c r="AH305" s="13">
        <f>IFERROR(AG305/(Z305+Table5[[#This Row],[Rider Penalty (Claim, Other Denda to Riders)]]),0)</f>
        <v>-0.11560953666216824</v>
      </c>
      <c r="AI305" s="12">
        <f t="shared" si="63"/>
        <v>-175000</v>
      </c>
      <c r="AJ305">
        <f t="shared" si="62"/>
        <v>-2.5</v>
      </c>
      <c r="AK305" s="88" t="s">
        <v>395</v>
      </c>
      <c r="AV305" s="109"/>
      <c r="AW305" s="109"/>
      <c r="AX305" s="109"/>
    </row>
    <row r="306" spans="1:50" hidden="1">
      <c r="A306" s="41">
        <v>2025</v>
      </c>
      <c r="B306" s="41" t="s">
        <v>33</v>
      </c>
      <c r="C306" s="41" t="s">
        <v>33</v>
      </c>
      <c r="D306" s="41" t="s">
        <v>169</v>
      </c>
      <c r="E306" s="41" t="s">
        <v>28</v>
      </c>
      <c r="F306" s="41" t="s">
        <v>28</v>
      </c>
      <c r="G306" s="41">
        <v>21</v>
      </c>
      <c r="H306" s="41" t="s">
        <v>161</v>
      </c>
      <c r="I306" s="41" t="s">
        <v>279</v>
      </c>
      <c r="J306" s="58" t="s">
        <v>394</v>
      </c>
      <c r="K306" s="41">
        <v>2</v>
      </c>
      <c r="L306" s="41">
        <v>11</v>
      </c>
      <c r="M306" s="54">
        <v>174000</v>
      </c>
      <c r="N306" s="54">
        <v>11000</v>
      </c>
      <c r="O306" s="54">
        <v>75000</v>
      </c>
      <c r="P306" s="54">
        <v>0</v>
      </c>
      <c r="Q306" s="54"/>
      <c r="R306" s="54">
        <v>0</v>
      </c>
      <c r="S306" s="54"/>
      <c r="T306" s="57">
        <f t="shared" si="59"/>
        <v>86000</v>
      </c>
      <c r="U306" s="54">
        <v>0</v>
      </c>
      <c r="V306" s="110">
        <v>140000</v>
      </c>
      <c r="W306" s="111">
        <v>0</v>
      </c>
      <c r="X306" s="54">
        <v>0</v>
      </c>
      <c r="Y306" s="57">
        <f t="shared" si="64"/>
        <v>140000</v>
      </c>
      <c r="Z306" s="16">
        <f>30%*M306</f>
        <v>52200</v>
      </c>
      <c r="AA306" s="54">
        <v>30000</v>
      </c>
      <c r="AB306" s="54">
        <v>0</v>
      </c>
      <c r="AC306" s="54"/>
      <c r="AD306" s="54">
        <v>0</v>
      </c>
      <c r="AE306" s="54">
        <f t="shared" si="60"/>
        <v>82200</v>
      </c>
      <c r="AF306" s="54">
        <f t="shared" si="61"/>
        <v>-143800</v>
      </c>
      <c r="AG30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-33800</v>
      </c>
      <c r="AH306" s="59">
        <f>IFERROR(AG306/(Z306+Table5[[#This Row],[Rider Penalty (Claim, Other Denda to Riders)]]),0)</f>
        <v>-0.64750957854406133</v>
      </c>
      <c r="AI306" s="57">
        <f t="shared" si="63"/>
        <v>-110000</v>
      </c>
      <c r="AJ306" s="41">
        <f t="shared" si="62"/>
        <v>-3.6666666666666665</v>
      </c>
      <c r="AK306" s="88" t="s">
        <v>395</v>
      </c>
      <c r="AV306" s="109"/>
      <c r="AW306" s="109"/>
      <c r="AX306" s="109"/>
    </row>
    <row r="307" spans="1:50" hidden="1">
      <c r="A307" s="41">
        <v>2025</v>
      </c>
      <c r="B307" s="41" t="s">
        <v>175</v>
      </c>
      <c r="C307" s="41" t="s">
        <v>175</v>
      </c>
      <c r="D307" s="41" t="s">
        <v>169</v>
      </c>
      <c r="E307" s="41" t="s">
        <v>28</v>
      </c>
      <c r="F307" s="41" t="s">
        <v>28</v>
      </c>
      <c r="G307" s="41">
        <v>21</v>
      </c>
      <c r="H307" s="41" t="s">
        <v>161</v>
      </c>
      <c r="I307" s="41" t="s">
        <v>279</v>
      </c>
      <c r="J307" s="58" t="s">
        <v>394</v>
      </c>
      <c r="K307">
        <v>7</v>
      </c>
      <c r="L307">
        <v>417</v>
      </c>
      <c r="M307" s="113">
        <v>2816000</v>
      </c>
      <c r="N307" s="16">
        <v>417000</v>
      </c>
      <c r="O307" s="16">
        <v>700000</v>
      </c>
      <c r="P307" s="16">
        <v>0</v>
      </c>
      <c r="Q307" s="16"/>
      <c r="R307" s="16">
        <v>0</v>
      </c>
      <c r="S307" s="16"/>
      <c r="T307" s="16">
        <f t="shared" si="59"/>
        <v>1117000</v>
      </c>
      <c r="U307" s="16">
        <v>0</v>
      </c>
      <c r="V307" s="112">
        <v>1330000</v>
      </c>
      <c r="W307" s="111">
        <v>0</v>
      </c>
      <c r="X307" s="16">
        <v>0</v>
      </c>
      <c r="Y307" s="12">
        <f t="shared" si="64"/>
        <v>1330000</v>
      </c>
      <c r="Z307" s="57">
        <f>29%*M307</f>
        <v>816640</v>
      </c>
      <c r="AA307" s="16">
        <v>380000</v>
      </c>
      <c r="AB307" s="16">
        <v>0</v>
      </c>
      <c r="AC307" s="16"/>
      <c r="AD307" s="16">
        <v>0</v>
      </c>
      <c r="AE307" s="16">
        <f t="shared" si="60"/>
        <v>1196640</v>
      </c>
      <c r="AF307" s="16">
        <f t="shared" si="61"/>
        <v>-1250360</v>
      </c>
      <c r="AG30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-300360</v>
      </c>
      <c r="AH307" s="13">
        <f>IFERROR(AG307/(Z307+Table5[[#This Row],[Rider Penalty (Claim, Other Denda to Riders)]]),0)</f>
        <v>-0.36779976489028215</v>
      </c>
      <c r="AI307" s="12">
        <f t="shared" si="63"/>
        <v>-950000</v>
      </c>
      <c r="AJ307">
        <f t="shared" si="62"/>
        <v>-2.5</v>
      </c>
      <c r="AK307" s="88" t="s">
        <v>395</v>
      </c>
      <c r="AV307" s="109"/>
      <c r="AW307" s="109"/>
      <c r="AX307" s="109"/>
    </row>
    <row r="308" spans="1:50" hidden="1">
      <c r="A308" s="41">
        <v>2025</v>
      </c>
      <c r="B308" s="41" t="s">
        <v>196</v>
      </c>
      <c r="C308" s="41" t="s">
        <v>196</v>
      </c>
      <c r="D308" s="41" t="s">
        <v>169</v>
      </c>
      <c r="E308" s="41" t="s">
        <v>28</v>
      </c>
      <c r="F308" s="41" t="s">
        <v>28</v>
      </c>
      <c r="G308" s="41">
        <v>21</v>
      </c>
      <c r="H308" s="41" t="s">
        <v>161</v>
      </c>
      <c r="I308" s="41" t="s">
        <v>279</v>
      </c>
      <c r="J308" s="58" t="s">
        <v>394</v>
      </c>
      <c r="K308">
        <v>5</v>
      </c>
      <c r="L308">
        <v>121</v>
      </c>
      <c r="M308">
        <v>540000</v>
      </c>
      <c r="N308">
        <v>121000</v>
      </c>
      <c r="O308">
        <v>425000</v>
      </c>
      <c r="P308">
        <v>0</v>
      </c>
      <c r="R308">
        <v>0</v>
      </c>
      <c r="T308" s="12">
        <f t="shared" si="59"/>
        <v>546000</v>
      </c>
      <c r="U308">
        <v>0</v>
      </c>
      <c r="V308" s="61">
        <v>1225000</v>
      </c>
      <c r="W308" s="86">
        <v>0</v>
      </c>
      <c r="X308">
        <v>0</v>
      </c>
      <c r="Y308" s="12">
        <f t="shared" si="64"/>
        <v>1225000</v>
      </c>
      <c r="Z308" s="16">
        <f>30%*M308</f>
        <v>162000</v>
      </c>
      <c r="AA308">
        <v>350000</v>
      </c>
      <c r="AB308">
        <v>0</v>
      </c>
      <c r="AD308">
        <v>0</v>
      </c>
      <c r="AE308">
        <f t="shared" si="60"/>
        <v>512000</v>
      </c>
      <c r="AF308" s="12">
        <f t="shared" si="61"/>
        <v>-1259000</v>
      </c>
      <c r="AG30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-384000</v>
      </c>
      <c r="AH308" s="13">
        <f>IFERROR(AG308/(Z308+Table5[[#This Row],[Rider Penalty (Claim, Other Denda to Riders)]]),0)</f>
        <v>-2.3703703703703702</v>
      </c>
      <c r="AI308" s="12">
        <f t="shared" si="63"/>
        <v>-875000</v>
      </c>
      <c r="AJ308">
        <f t="shared" si="62"/>
        <v>-2.5</v>
      </c>
      <c r="AK308" s="88" t="s">
        <v>395</v>
      </c>
      <c r="AV308" s="109"/>
      <c r="AW308" s="109"/>
      <c r="AX308" s="109"/>
    </row>
    <row r="309" spans="1:50" hidden="1">
      <c r="A309" s="117">
        <v>2025</v>
      </c>
      <c r="B309" s="117" t="s">
        <v>23</v>
      </c>
      <c r="C309" s="117" t="s">
        <v>174</v>
      </c>
      <c r="D309" s="117" t="s">
        <v>168</v>
      </c>
      <c r="E309" s="117" t="s">
        <v>24</v>
      </c>
      <c r="F309" s="117" t="s">
        <v>24</v>
      </c>
      <c r="G309" s="41">
        <v>21</v>
      </c>
      <c r="H309" s="41" t="s">
        <v>161</v>
      </c>
      <c r="I309" s="41" t="s">
        <v>279</v>
      </c>
      <c r="J309" s="41" t="s">
        <v>394</v>
      </c>
      <c r="K309" s="41">
        <v>24</v>
      </c>
      <c r="L309" s="41">
        <v>4759</v>
      </c>
      <c r="M309" s="41">
        <v>43152000</v>
      </c>
      <c r="N309" s="41">
        <v>4283100</v>
      </c>
      <c r="O309" s="41">
        <v>1170000</v>
      </c>
      <c r="P309" s="41">
        <v>1260000</v>
      </c>
      <c r="Q309" s="41"/>
      <c r="R309" s="41">
        <v>0</v>
      </c>
      <c r="S309" s="41"/>
      <c r="T309" s="57">
        <f t="shared" si="59"/>
        <v>6713100</v>
      </c>
      <c r="U309" s="41">
        <v>840000</v>
      </c>
      <c r="V309" s="55">
        <v>4970000</v>
      </c>
      <c r="W309" s="86">
        <v>0</v>
      </c>
      <c r="X309" s="41">
        <v>0</v>
      </c>
      <c r="Y309" s="57">
        <f t="shared" si="64"/>
        <v>5810000</v>
      </c>
      <c r="Z309" s="16">
        <f>21%*M309</f>
        <v>9061920</v>
      </c>
      <c r="AA309" s="41">
        <v>2412000</v>
      </c>
      <c r="AB309" s="41">
        <f>7/31*9842400</f>
        <v>2222477.4193548388</v>
      </c>
      <c r="AC309" s="41"/>
      <c r="AD309" s="41">
        <v>204200</v>
      </c>
      <c r="AE309" s="41">
        <f t="shared" si="60"/>
        <v>13900597.419354839</v>
      </c>
      <c r="AF309" s="57">
        <f t="shared" si="61"/>
        <v>1377497.4193548393</v>
      </c>
      <c r="AG30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1713020</v>
      </c>
      <c r="AH309" s="59">
        <f>IFERROR(AG309/(Z309+Table5[[#This Row],[Rider Penalty (Claim, Other Denda to Riders)]]),0)</f>
        <v>0.18486917933288149</v>
      </c>
      <c r="AI309" s="57">
        <f t="shared" si="63"/>
        <v>-335522.58064516075</v>
      </c>
      <c r="AJ309" s="41">
        <f t="shared" si="62"/>
        <v>-7.2397068813827237E-2</v>
      </c>
      <c r="AV309" s="109">
        <f>Table5[[#This Row],[Total Selling Comission/Sales (Weekly)]]/Table5[[#This Row],[Total Revenue Sharing % (Weekly)]]*100%</f>
        <v>0.47264818051803592</v>
      </c>
      <c r="AW309" s="109">
        <f>Table5[[#This Row],[Total Daily Incentive (Weekly)]]/Table5[[#This Row],[Total Revenue Sharing % (Weekly)]]*100%</f>
        <v>0.12911171142539329</v>
      </c>
      <c r="AX309" s="109">
        <f>(N309+O309)/Z309*100%</f>
        <v>0.60175989194342916</v>
      </c>
    </row>
    <row r="310" spans="1:50" hidden="1">
      <c r="A310" s="119">
        <v>2025</v>
      </c>
      <c r="B310" s="119" t="s">
        <v>23</v>
      </c>
      <c r="C310" s="119" t="s">
        <v>173</v>
      </c>
      <c r="D310" s="119" t="s">
        <v>168</v>
      </c>
      <c r="E310" s="119" t="s">
        <v>24</v>
      </c>
      <c r="F310" s="120" t="s">
        <v>282</v>
      </c>
      <c r="G310" s="41">
        <v>21</v>
      </c>
      <c r="H310" s="41" t="s">
        <v>161</v>
      </c>
      <c r="I310" s="41" t="s">
        <v>279</v>
      </c>
      <c r="J310" s="41" t="s">
        <v>394</v>
      </c>
      <c r="K310" s="41">
        <v>16</v>
      </c>
      <c r="L310" s="41">
        <v>4605</v>
      </c>
      <c r="M310" s="41">
        <v>41412000</v>
      </c>
      <c r="N310" s="41">
        <v>4144500</v>
      </c>
      <c r="O310" s="41">
        <v>1460000</v>
      </c>
      <c r="P310" s="41">
        <v>780000</v>
      </c>
      <c r="Q310" s="41"/>
      <c r="R310" s="41">
        <v>0</v>
      </c>
      <c r="S310" s="41"/>
      <c r="T310" s="57">
        <f t="shared" si="59"/>
        <v>6384500</v>
      </c>
      <c r="U310" s="41">
        <v>0</v>
      </c>
      <c r="V310" s="55">
        <v>3080000</v>
      </c>
      <c r="W310" s="86">
        <v>0</v>
      </c>
      <c r="X310" s="41">
        <v>0</v>
      </c>
      <c r="Y310" s="57">
        <f t="shared" si="64"/>
        <v>3080000</v>
      </c>
      <c r="Z310" s="57">
        <f>21%*M310</f>
        <v>8696520</v>
      </c>
      <c r="AA310" s="41">
        <v>1584000</v>
      </c>
      <c r="AB310">
        <f>7/31*5473714</f>
        <v>1235999.935483871</v>
      </c>
      <c r="AD310" s="41">
        <v>100000</v>
      </c>
      <c r="AE310" s="41">
        <f t="shared" si="60"/>
        <v>11616519.935483871</v>
      </c>
      <c r="AF310" s="57">
        <f t="shared" si="61"/>
        <v>2152019.935483871</v>
      </c>
      <c r="AG31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2412020</v>
      </c>
      <c r="AH310" s="59">
        <f>IFERROR(AG310/(Z310+Table5[[#This Row],[Rider Penalty (Claim, Other Denda to Riders)]]),0)</f>
        <v>0.27420161609363702</v>
      </c>
      <c r="AI310" s="57">
        <f t="shared" si="63"/>
        <v>-260000.06451612897</v>
      </c>
      <c r="AJ310" s="41">
        <f t="shared" si="62"/>
        <v>-9.2198606547668857E-2</v>
      </c>
      <c r="AV310" s="109">
        <f>Table5[[#This Row],[Total Selling Comission/Sales (Weekly)]]/Table5[[#This Row],[Total Revenue Sharing % (Weekly)]]*100%</f>
        <v>0.47656993832015565</v>
      </c>
      <c r="AW310" s="109">
        <f>Table5[[#This Row],[Total Daily Incentive (Weekly)]]/Table5[[#This Row],[Total Revenue Sharing % (Weekly)]]*100%</f>
        <v>0.16788324525212384</v>
      </c>
      <c r="AX310" s="109">
        <f>(N310+O310)/Z310*100%</f>
        <v>0.64445318357227943</v>
      </c>
    </row>
    <row r="311" spans="1:50" hidden="1">
      <c r="A311" s="41">
        <v>2025</v>
      </c>
      <c r="B311" s="41" t="s">
        <v>170</v>
      </c>
      <c r="C311" s="41" t="s">
        <v>170</v>
      </c>
      <c r="D311" s="41" t="s">
        <v>169</v>
      </c>
      <c r="E311" s="41" t="s">
        <v>24</v>
      </c>
      <c r="F311" s="41" t="s">
        <v>24</v>
      </c>
      <c r="G311" s="41">
        <v>21</v>
      </c>
      <c r="H311" s="41" t="s">
        <v>161</v>
      </c>
      <c r="I311" s="41" t="s">
        <v>279</v>
      </c>
      <c r="J311" s="58" t="s">
        <v>396</v>
      </c>
      <c r="K311">
        <v>4</v>
      </c>
      <c r="L311">
        <v>318</v>
      </c>
      <c r="M311">
        <v>2676000</v>
      </c>
      <c r="N311">
        <v>286200</v>
      </c>
      <c r="O311">
        <v>0</v>
      </c>
      <c r="P311">
        <v>60000</v>
      </c>
      <c r="R311">
        <v>0</v>
      </c>
      <c r="T311" s="57">
        <f t="shared" si="59"/>
        <v>346200</v>
      </c>
      <c r="U311">
        <v>0</v>
      </c>
      <c r="V311" s="61">
        <v>560000</v>
      </c>
      <c r="W311" s="86">
        <v>0</v>
      </c>
      <c r="X311">
        <v>0</v>
      </c>
      <c r="Y311" s="12">
        <f t="shared" si="64"/>
        <v>560000</v>
      </c>
      <c r="Z311" s="12">
        <f>30%*M311</f>
        <v>802800</v>
      </c>
      <c r="AA311">
        <v>270000</v>
      </c>
      <c r="AB311">
        <v>0</v>
      </c>
      <c r="AD311">
        <v>0</v>
      </c>
      <c r="AE311">
        <f t="shared" si="60"/>
        <v>1072800</v>
      </c>
      <c r="AF311" s="12">
        <f t="shared" si="61"/>
        <v>166600</v>
      </c>
      <c r="AG31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456600</v>
      </c>
      <c r="AH311" s="13">
        <f>IFERROR(AG311/(Z311+Table5[[#This Row],[Rider Penalty (Claim, Other Denda to Riders)]]),0)</f>
        <v>0.56875934230194325</v>
      </c>
      <c r="AI311" s="12">
        <f t="shared" si="63"/>
        <v>-290000</v>
      </c>
      <c r="AJ311">
        <f t="shared" si="62"/>
        <v>-1.0740740740740742</v>
      </c>
      <c r="AV311" s="109"/>
      <c r="AW311" s="109"/>
      <c r="AX311" s="109"/>
    </row>
    <row r="312" spans="1:50" hidden="1">
      <c r="A312" s="41">
        <v>2025</v>
      </c>
      <c r="B312" s="41" t="s">
        <v>170</v>
      </c>
      <c r="C312" s="41" t="s">
        <v>170</v>
      </c>
      <c r="D312" s="41" t="s">
        <v>169</v>
      </c>
      <c r="E312" s="41" t="s">
        <v>24</v>
      </c>
      <c r="F312" s="41" t="s">
        <v>282</v>
      </c>
      <c r="G312" s="41">
        <v>21</v>
      </c>
      <c r="H312" s="41" t="s">
        <v>161</v>
      </c>
      <c r="I312" s="41" t="s">
        <v>279</v>
      </c>
      <c r="J312" s="58" t="s">
        <v>396</v>
      </c>
      <c r="K312" s="16">
        <v>2</v>
      </c>
      <c r="L312" s="16">
        <v>38</v>
      </c>
      <c r="M312" s="16">
        <v>376000</v>
      </c>
      <c r="N312" s="16">
        <v>34200</v>
      </c>
      <c r="O312" s="16">
        <v>0</v>
      </c>
      <c r="P312" s="16">
        <v>0</v>
      </c>
      <c r="Q312" s="16"/>
      <c r="R312" s="16">
        <v>0</v>
      </c>
      <c r="S312" s="16"/>
      <c r="T312" s="12">
        <f t="shared" si="59"/>
        <v>34200</v>
      </c>
      <c r="U312" s="16">
        <v>0</v>
      </c>
      <c r="V312" s="16">
        <v>140000</v>
      </c>
      <c r="W312" s="16">
        <v>0</v>
      </c>
      <c r="X312" s="16">
        <v>0</v>
      </c>
      <c r="Y312" s="12">
        <f t="shared" si="64"/>
        <v>140000</v>
      </c>
      <c r="Z312" s="16">
        <f>30%*M312</f>
        <v>112800</v>
      </c>
      <c r="AA312" s="16">
        <v>72000</v>
      </c>
      <c r="AB312" s="16">
        <v>0</v>
      </c>
      <c r="AC312" s="16"/>
      <c r="AD312" s="16">
        <v>0</v>
      </c>
      <c r="AE312" s="16">
        <f t="shared" si="60"/>
        <v>184800</v>
      </c>
      <c r="AF312" s="16">
        <f t="shared" si="61"/>
        <v>10600</v>
      </c>
      <c r="AG31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78600</v>
      </c>
      <c r="AH312" s="13">
        <f>IFERROR(AG312/(Z312+Table5[[#This Row],[Rider Penalty (Claim, Other Denda to Riders)]]),0)</f>
        <v>0.69680851063829785</v>
      </c>
      <c r="AI312" s="12">
        <f t="shared" si="63"/>
        <v>-68000</v>
      </c>
      <c r="AJ312" s="16">
        <f t="shared" si="62"/>
        <v>-0.94444444444444442</v>
      </c>
      <c r="AK312" s="16"/>
      <c r="AV312" s="109"/>
      <c r="AW312" s="109"/>
      <c r="AX312" s="109"/>
    </row>
    <row r="313" spans="1:50" hidden="1">
      <c r="A313" s="117">
        <v>2025</v>
      </c>
      <c r="B313" s="117" t="s">
        <v>23</v>
      </c>
      <c r="C313" s="117" t="s">
        <v>174</v>
      </c>
      <c r="D313" s="117" t="s">
        <v>168</v>
      </c>
      <c r="E313" s="117" t="s">
        <v>24</v>
      </c>
      <c r="F313" s="117" t="s">
        <v>24</v>
      </c>
      <c r="G313" s="41">
        <v>22</v>
      </c>
      <c r="H313" s="41" t="s">
        <v>161</v>
      </c>
      <c r="I313" s="41" t="s">
        <v>280</v>
      </c>
      <c r="J313" s="41" t="s">
        <v>397</v>
      </c>
      <c r="K313" s="41">
        <v>24</v>
      </c>
      <c r="L313" s="41">
        <v>3706</v>
      </c>
      <c r="M313" s="41">
        <v>33324000</v>
      </c>
      <c r="N313" s="41">
        <f>6/7*3941100</f>
        <v>3378085.7142857141</v>
      </c>
      <c r="O313" s="41">
        <f>6/7*925000</f>
        <v>792857.14285714284</v>
      </c>
      <c r="P313" s="41">
        <f>6/7*900000</f>
        <v>771428.57142857136</v>
      </c>
      <c r="Q313" s="41"/>
      <c r="R313" s="41">
        <v>0</v>
      </c>
      <c r="S313" s="41"/>
      <c r="T313" s="57">
        <f t="shared" ref="T313:T344" si="65">SUM(N313:R313)</f>
        <v>4942371.4285714282</v>
      </c>
      <c r="U313" s="41">
        <f>6/7*840000</f>
        <v>720000</v>
      </c>
      <c r="V313" s="55">
        <f>6/7*4550000</f>
        <v>3900000</v>
      </c>
      <c r="W313" s="86">
        <v>0</v>
      </c>
      <c r="X313" s="41">
        <v>0</v>
      </c>
      <c r="Y313" s="57">
        <f t="shared" si="64"/>
        <v>4620000</v>
      </c>
      <c r="Z313" s="57">
        <f>21%*M313</f>
        <v>6998040</v>
      </c>
      <c r="AA313" s="41">
        <f>6/7*2304000</f>
        <v>1974857.1428571427</v>
      </c>
      <c r="AB313" s="41">
        <f>6/31*9842400</f>
        <v>1904980.6451612902</v>
      </c>
      <c r="AC313" s="41"/>
      <c r="AD313" s="41">
        <v>250000</v>
      </c>
      <c r="AE313" s="41">
        <f t="shared" si="60"/>
        <v>11127877.788018432</v>
      </c>
      <c r="AF313" s="57">
        <f t="shared" si="61"/>
        <v>1565506.3594470024</v>
      </c>
      <c r="AG31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1585668.5714285718</v>
      </c>
      <c r="AH313" s="59">
        <f>IFERROR(AG313/(Z313+Table5[[#This Row],[Rider Penalty (Claim, Other Denda to Riders)]]),0)</f>
        <v>0.21877205029615893</v>
      </c>
      <c r="AI313" s="57">
        <f t="shared" si="63"/>
        <v>-20162.211981567089</v>
      </c>
      <c r="AJ313" s="41">
        <f t="shared" si="62"/>
        <v>-5.1966636450191967E-3</v>
      </c>
      <c r="AV313" s="109">
        <f>Table5[[#This Row],[Total Selling Comission/Sales (Weekly)]]/Table5[[#This Row],[Total Revenue Sharing % (Weekly)]]*100%</f>
        <v>0.48271883474311578</v>
      </c>
      <c r="AW313" s="109">
        <f>Table5[[#This Row],[Total Daily Incentive (Weekly)]]/Table5[[#This Row],[Total Revenue Sharing % (Weekly)]]*100%</f>
        <v>0.11329702929065036</v>
      </c>
      <c r="AX313" s="109">
        <f>(N313+O313)/Z313*100%</f>
        <v>0.59601586403376616</v>
      </c>
    </row>
    <row r="314" spans="1:50" hidden="1">
      <c r="A314" s="117">
        <v>2025</v>
      </c>
      <c r="B314" s="117" t="s">
        <v>23</v>
      </c>
      <c r="C314" s="117" t="s">
        <v>174</v>
      </c>
      <c r="D314" s="117" t="s">
        <v>168</v>
      </c>
      <c r="E314" s="117" t="s">
        <v>24</v>
      </c>
      <c r="F314" s="117" t="s">
        <v>24</v>
      </c>
      <c r="G314" s="41">
        <v>22</v>
      </c>
      <c r="H314" s="41" t="s">
        <v>156</v>
      </c>
      <c r="I314" s="41" t="s">
        <v>280</v>
      </c>
      <c r="J314" s="150">
        <v>45809</v>
      </c>
      <c r="K314" s="41">
        <v>19</v>
      </c>
      <c r="L314" s="41">
        <v>673</v>
      </c>
      <c r="M314" s="41">
        <v>6000000</v>
      </c>
      <c r="N314" s="41">
        <f>1/7*3941100</f>
        <v>563014.28571428568</v>
      </c>
      <c r="O314" s="41">
        <f>1/7*925000</f>
        <v>132142.85714285713</v>
      </c>
      <c r="P314" s="41">
        <f>1/7*900000</f>
        <v>128571.42857142857</v>
      </c>
      <c r="Q314" s="41"/>
      <c r="R314" s="41">
        <v>0</v>
      </c>
      <c r="S314" s="41"/>
      <c r="T314" s="57">
        <f t="shared" si="65"/>
        <v>823728.57142857136</v>
      </c>
      <c r="U314" s="41">
        <f>1/7*840000</f>
        <v>120000</v>
      </c>
      <c r="V314" s="55">
        <f>1/7*4550000</f>
        <v>650000</v>
      </c>
      <c r="W314" s="86">
        <v>0</v>
      </c>
      <c r="X314" s="41">
        <v>0</v>
      </c>
      <c r="Y314" s="57">
        <f t="shared" si="64"/>
        <v>770000</v>
      </c>
      <c r="Z314" s="57">
        <f>21%*M314</f>
        <v>1260000</v>
      </c>
      <c r="AA314" s="41">
        <f>1/7*2304000</f>
        <v>329142.8571428571</v>
      </c>
      <c r="AB314" s="41">
        <f>1/8*2131200</f>
        <v>266400</v>
      </c>
      <c r="AC314" s="41"/>
      <c r="AD314" s="41">
        <v>0</v>
      </c>
      <c r="AE314" s="41">
        <f t="shared" si="60"/>
        <v>1855542.857142857</v>
      </c>
      <c r="AF314" s="57">
        <f t="shared" si="61"/>
        <v>261814.28571428568</v>
      </c>
      <c r="AG31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316271.42857142864</v>
      </c>
      <c r="AH314" s="59">
        <f>IFERROR(AG314/(Z314+Table5[[#This Row],[Rider Penalty (Claim, Other Denda to Riders)]]),0)</f>
        <v>0.25100907029478464</v>
      </c>
      <c r="AI314" s="57">
        <f t="shared" si="63"/>
        <v>-54457.142857142957</v>
      </c>
      <c r="AJ314" s="41">
        <f t="shared" si="62"/>
        <v>-9.1441182114757422E-2</v>
      </c>
      <c r="AV314" s="109">
        <f>Table5[[#This Row],[Total Selling Comission/Sales (Weekly)]]/Table5[[#This Row],[Total Revenue Sharing % (Weekly)]]*100%</f>
        <v>0.44683673469387752</v>
      </c>
      <c r="AW314" s="109">
        <f>Table5[[#This Row],[Total Daily Incentive (Weekly)]]/Table5[[#This Row],[Total Revenue Sharing % (Weekly)]]*100%</f>
        <v>0.10487528344671201</v>
      </c>
      <c r="AX314" s="109">
        <f>(N314+O314)/Z314*100%</f>
        <v>0.55171201814058957</v>
      </c>
    </row>
    <row r="315" spans="1:50" hidden="1">
      <c r="A315" s="119">
        <v>2025</v>
      </c>
      <c r="B315" s="119" t="s">
        <v>23</v>
      </c>
      <c r="C315" s="119" t="s">
        <v>173</v>
      </c>
      <c r="D315" s="119" t="s">
        <v>168</v>
      </c>
      <c r="E315" s="119" t="s">
        <v>24</v>
      </c>
      <c r="F315" s="120" t="s">
        <v>282</v>
      </c>
      <c r="G315" s="41">
        <v>22</v>
      </c>
      <c r="H315" s="41" t="s">
        <v>161</v>
      </c>
      <c r="I315" s="41" t="s">
        <v>280</v>
      </c>
      <c r="J315" s="41" t="s">
        <v>397</v>
      </c>
      <c r="K315" s="16">
        <v>14</v>
      </c>
      <c r="L315" s="16">
        <v>3572</v>
      </c>
      <c r="M315" s="16">
        <v>32136000</v>
      </c>
      <c r="N315" s="16">
        <f>6/7*3818700</f>
        <v>3273171.4285714282</v>
      </c>
      <c r="O315" s="16">
        <f>6/7*1345000</f>
        <v>1152857.1428571427</v>
      </c>
      <c r="P315" s="16">
        <f>6/7*780000</f>
        <v>668571.42857142852</v>
      </c>
      <c r="Q315" s="16"/>
      <c r="R315" s="16">
        <v>0</v>
      </c>
      <c r="S315" s="16"/>
      <c r="T315" s="12">
        <f t="shared" si="65"/>
        <v>5094599.9999999991</v>
      </c>
      <c r="U315" s="16">
        <v>0</v>
      </c>
      <c r="V315" s="16">
        <f>6/7*2765000</f>
        <v>2370000</v>
      </c>
      <c r="W315" s="16">
        <v>0</v>
      </c>
      <c r="X315" s="16">
        <v>0</v>
      </c>
      <c r="Y315" s="12">
        <f t="shared" si="64"/>
        <v>2370000</v>
      </c>
      <c r="Z315" s="16">
        <f>21%*M315</f>
        <v>6748560</v>
      </c>
      <c r="AA315" s="16">
        <f>6/7*1422000</f>
        <v>1218857.1428571427</v>
      </c>
      <c r="AB315">
        <f>6/31*5473714</f>
        <v>1059428.5161290322</v>
      </c>
      <c r="AD315" s="16">
        <v>50000</v>
      </c>
      <c r="AE315" s="16">
        <f t="shared" si="60"/>
        <v>9076845.6589861754</v>
      </c>
      <c r="AF315" s="16">
        <f t="shared" si="61"/>
        <v>1612245.6589861764</v>
      </c>
      <c r="AG31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1703960.0000000009</v>
      </c>
      <c r="AH315" s="13">
        <f>IFERROR(AG315/(Z315+Table5[[#This Row],[Rider Penalty (Claim, Other Denda to Riders)]]),0)</f>
        <v>0.2506354286790145</v>
      </c>
      <c r="AI315" s="12">
        <f t="shared" si="63"/>
        <v>-91714.341013825033</v>
      </c>
      <c r="AJ315" s="16">
        <f t="shared" si="62"/>
        <v>-4.0255856701761197E-2</v>
      </c>
      <c r="AK315" s="16"/>
      <c r="AV315" s="109">
        <f>Table5[[#This Row],[Total Selling Comission/Sales (Weekly)]]/Table5[[#This Row],[Total Revenue Sharing % (Weekly)]]*100%</f>
        <v>0.48501775616893505</v>
      </c>
      <c r="AW315" s="109">
        <f>Table5[[#This Row],[Total Daily Incentive (Weekly)]]/Table5[[#This Row],[Total Revenue Sharing % (Weekly)]]*100%</f>
        <v>0.17083009454715417</v>
      </c>
      <c r="AX315" s="109">
        <f>(N315+O315)/Z315*100%</f>
        <v>0.6558478507160892</v>
      </c>
    </row>
    <row r="316" spans="1:50" hidden="1">
      <c r="A316" s="64">
        <v>2025</v>
      </c>
      <c r="B316" s="64" t="s">
        <v>23</v>
      </c>
      <c r="C316" s="64" t="s">
        <v>173</v>
      </c>
      <c r="D316" s="64" t="s">
        <v>168</v>
      </c>
      <c r="E316" s="64" t="s">
        <v>24</v>
      </c>
      <c r="F316" s="147" t="s">
        <v>282</v>
      </c>
      <c r="G316" s="41">
        <v>22</v>
      </c>
      <c r="H316" s="41" t="s">
        <v>156</v>
      </c>
      <c r="I316" s="41" t="s">
        <v>280</v>
      </c>
      <c r="J316" s="150">
        <v>45809</v>
      </c>
      <c r="K316" s="54">
        <v>9</v>
      </c>
      <c r="L316" s="54">
        <v>671</v>
      </c>
      <c r="M316" s="54">
        <v>6092000</v>
      </c>
      <c r="N316" s="16">
        <f>1/7*3818700</f>
        <v>545528.57142857136</v>
      </c>
      <c r="O316" s="16">
        <f>1/7*1345000</f>
        <v>192142.85714285713</v>
      </c>
      <c r="P316" s="16">
        <f>1/7*780000</f>
        <v>111428.57142857142</v>
      </c>
      <c r="Q316" s="16"/>
      <c r="R316" s="54">
        <v>0</v>
      </c>
      <c r="S316" s="54"/>
      <c r="T316" s="57">
        <f t="shared" si="65"/>
        <v>849100</v>
      </c>
      <c r="U316" s="54">
        <v>0</v>
      </c>
      <c r="V316" s="16">
        <f>1/7*2765000</f>
        <v>395000</v>
      </c>
      <c r="W316" s="16">
        <v>0</v>
      </c>
      <c r="X316" s="54">
        <v>0</v>
      </c>
      <c r="Y316" s="57">
        <f t="shared" si="64"/>
        <v>395000</v>
      </c>
      <c r="Z316" s="54">
        <f>21%*M316</f>
        <v>1279320</v>
      </c>
      <c r="AA316" s="16">
        <f>1/7*1422000</f>
        <v>203142.85714285713</v>
      </c>
      <c r="AB316" s="16">
        <f>1/8*1234286</f>
        <v>154285.75</v>
      </c>
      <c r="AC316" s="16"/>
      <c r="AD316" s="54">
        <v>0</v>
      </c>
      <c r="AE316" s="54">
        <f t="shared" si="60"/>
        <v>1636748.607142857</v>
      </c>
      <c r="AF316" s="54">
        <f t="shared" si="61"/>
        <v>392648.60714285704</v>
      </c>
      <c r="AG31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430220</v>
      </c>
      <c r="AH316" s="59">
        <f>IFERROR(AG316/(Z316+Table5[[#This Row],[Rider Penalty (Claim, Other Denda to Riders)]]),0)</f>
        <v>0.33628802801488289</v>
      </c>
      <c r="AI316" s="57">
        <f t="shared" si="63"/>
        <v>-37571.392857142841</v>
      </c>
      <c r="AJ316" s="54">
        <f t="shared" si="62"/>
        <v>-0.10511579685093951</v>
      </c>
      <c r="AK316" s="16"/>
      <c r="AV316" s="109">
        <f>Table5[[#This Row],[Total Selling Comission/Sales (Weekly)]]/Table5[[#This Row],[Total Revenue Sharing % (Weekly)]]*100%</f>
        <v>0.42642073244268153</v>
      </c>
      <c r="AW316" s="109">
        <f>Table5[[#This Row],[Total Daily Incentive (Weekly)]]/Table5[[#This Row],[Total Revenue Sharing % (Weekly)]]*100%</f>
        <v>0.15019139632215328</v>
      </c>
      <c r="AX316" s="109">
        <f>(N316+O316)/Z316*100%</f>
        <v>0.57661212876483481</v>
      </c>
    </row>
    <row r="317" spans="1:50" hidden="1">
      <c r="A317" s="41">
        <v>2025</v>
      </c>
      <c r="B317" s="41" t="s">
        <v>170</v>
      </c>
      <c r="C317" s="41" t="s">
        <v>170</v>
      </c>
      <c r="D317" s="41" t="s">
        <v>169</v>
      </c>
      <c r="E317" s="41" t="s">
        <v>24</v>
      </c>
      <c r="F317" s="41" t="s">
        <v>24</v>
      </c>
      <c r="G317" s="41">
        <v>22</v>
      </c>
      <c r="H317" s="41" t="s">
        <v>161</v>
      </c>
      <c r="I317" s="41" t="s">
        <v>280</v>
      </c>
      <c r="J317" s="58" t="s">
        <v>397</v>
      </c>
      <c r="K317" s="16">
        <v>4</v>
      </c>
      <c r="L317" s="16">
        <v>278</v>
      </c>
      <c r="M317" s="16">
        <v>2340000</v>
      </c>
      <c r="N317" s="16">
        <v>250200</v>
      </c>
      <c r="O317" s="16">
        <v>0</v>
      </c>
      <c r="P317" s="16">
        <v>60000</v>
      </c>
      <c r="Q317" s="16"/>
      <c r="R317" s="16">
        <v>0</v>
      </c>
      <c r="S317" s="16"/>
      <c r="T317" s="12">
        <f t="shared" si="65"/>
        <v>310200</v>
      </c>
      <c r="U317" s="16">
        <v>0</v>
      </c>
      <c r="V317" s="16">
        <v>560000</v>
      </c>
      <c r="W317" s="16">
        <v>0</v>
      </c>
      <c r="X317" s="16">
        <v>0</v>
      </c>
      <c r="Y317" s="12">
        <f t="shared" si="64"/>
        <v>560000</v>
      </c>
      <c r="Z317" s="16">
        <f>30%*M317</f>
        <v>702000</v>
      </c>
      <c r="AA317" s="16">
        <v>288000</v>
      </c>
      <c r="AB317" s="16">
        <v>0</v>
      </c>
      <c r="AC317" s="16"/>
      <c r="AD317" s="16">
        <v>0</v>
      </c>
      <c r="AE317" s="16">
        <f t="shared" si="60"/>
        <v>990000</v>
      </c>
      <c r="AF317" s="16">
        <f t="shared" si="61"/>
        <v>119800</v>
      </c>
      <c r="AG31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391800</v>
      </c>
      <c r="AH317" s="13">
        <f>IFERROR(AG317/(Z317+Table5[[#This Row],[Rider Penalty (Claim, Other Denda to Riders)]]),0)</f>
        <v>0.55811965811965814</v>
      </c>
      <c r="AI317" s="12">
        <f t="shared" si="63"/>
        <v>-272000</v>
      </c>
      <c r="AJ317" s="16">
        <f t="shared" si="62"/>
        <v>-0.94444444444444442</v>
      </c>
      <c r="AK317" s="16"/>
      <c r="AV317" s="109"/>
      <c r="AW317" s="109"/>
      <c r="AX317" s="109"/>
    </row>
    <row r="318" spans="1:50" hidden="1">
      <c r="A318" s="41">
        <v>2025</v>
      </c>
      <c r="B318" s="41" t="s">
        <v>170</v>
      </c>
      <c r="C318" s="41" t="s">
        <v>170</v>
      </c>
      <c r="D318" s="41" t="s">
        <v>169</v>
      </c>
      <c r="E318" s="41" t="s">
        <v>24</v>
      </c>
      <c r="F318" s="41" t="s">
        <v>282</v>
      </c>
      <c r="G318" s="41">
        <v>22</v>
      </c>
      <c r="H318" s="41" t="s">
        <v>156</v>
      </c>
      <c r="I318" s="41" t="s">
        <v>280</v>
      </c>
      <c r="J318" s="58">
        <v>45809</v>
      </c>
      <c r="K318" s="16">
        <v>3</v>
      </c>
      <c r="L318" s="16">
        <v>64</v>
      </c>
      <c r="M318" s="16">
        <v>614000</v>
      </c>
      <c r="N318" s="16">
        <v>57600</v>
      </c>
      <c r="O318" s="16">
        <v>0</v>
      </c>
      <c r="P318" s="16">
        <v>0</v>
      </c>
      <c r="Q318" s="16"/>
      <c r="R318" s="16">
        <v>0</v>
      </c>
      <c r="S318" s="16"/>
      <c r="T318" s="12">
        <f t="shared" si="65"/>
        <v>57600</v>
      </c>
      <c r="U318" s="16">
        <v>0</v>
      </c>
      <c r="V318" s="16">
        <v>245000</v>
      </c>
      <c r="W318" s="16">
        <v>0</v>
      </c>
      <c r="X318" s="16">
        <v>0</v>
      </c>
      <c r="Y318" s="12">
        <f t="shared" si="64"/>
        <v>245000</v>
      </c>
      <c r="Z318" s="16">
        <f>30%*M318</f>
        <v>184200</v>
      </c>
      <c r="AA318" s="16">
        <v>126000</v>
      </c>
      <c r="AB318" s="16">
        <v>0</v>
      </c>
      <c r="AC318" s="16"/>
      <c r="AD318" s="16">
        <v>0</v>
      </c>
      <c r="AE318" s="16">
        <f t="shared" si="60"/>
        <v>310200</v>
      </c>
      <c r="AF318" s="16">
        <f t="shared" si="61"/>
        <v>7600</v>
      </c>
      <c r="AG31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126600</v>
      </c>
      <c r="AH318" s="13">
        <f>IFERROR(AG318/(Z318+Table5[[#This Row],[Rider Penalty (Claim, Other Denda to Riders)]]),0)</f>
        <v>0.68729641693811072</v>
      </c>
      <c r="AI318" s="12">
        <f t="shared" si="63"/>
        <v>-119000</v>
      </c>
      <c r="AJ318" s="16">
        <f t="shared" si="62"/>
        <v>-0.94444444444444442</v>
      </c>
      <c r="AK318" s="16"/>
      <c r="AV318" s="109"/>
      <c r="AW318" s="109"/>
      <c r="AX318" s="109"/>
    </row>
    <row r="319" spans="1:50" hidden="1">
      <c r="A319" s="41">
        <v>2025</v>
      </c>
      <c r="B319" s="54" t="s">
        <v>23</v>
      </c>
      <c r="C319" s="54" t="s">
        <v>23</v>
      </c>
      <c r="D319" s="54" t="s">
        <v>168</v>
      </c>
      <c r="E319" s="54" t="s">
        <v>28</v>
      </c>
      <c r="F319" s="54" t="s">
        <v>25</v>
      </c>
      <c r="G319" s="41">
        <v>22</v>
      </c>
      <c r="H319" s="41" t="s">
        <v>161</v>
      </c>
      <c r="I319" s="41" t="s">
        <v>280</v>
      </c>
      <c r="J319" s="41" t="s">
        <v>397</v>
      </c>
      <c r="K319" s="41">
        <v>269</v>
      </c>
      <c r="L319" s="48">
        <v>72627</v>
      </c>
      <c r="M319" s="54">
        <v>632814000</v>
      </c>
      <c r="N319" s="54">
        <f>6/7*86275000</f>
        <v>73950000</v>
      </c>
      <c r="O319" s="54">
        <f>6/7*61525000</f>
        <v>52735714.285714284</v>
      </c>
      <c r="P319" s="54">
        <v>0</v>
      </c>
      <c r="Q319" s="54"/>
      <c r="R319" s="54">
        <v>0</v>
      </c>
      <c r="S319" s="54"/>
      <c r="T319" s="54">
        <f t="shared" si="65"/>
        <v>126685714.28571428</v>
      </c>
      <c r="U319" s="54">
        <f>6/7*(7*100000)+(5*75000)+(5*75000)+(7*75000)</f>
        <v>1875000</v>
      </c>
      <c r="V319" s="110">
        <f>6/7*65450000</f>
        <v>56100000</v>
      </c>
      <c r="W319" s="111">
        <v>585000</v>
      </c>
      <c r="X319" s="54">
        <f>6/7*648064.516129032</f>
        <v>555483.87096774171</v>
      </c>
      <c r="Y319" s="54">
        <f t="shared" si="64"/>
        <v>59115483.870967738</v>
      </c>
      <c r="Z319" s="54">
        <f>23%*M319</f>
        <v>145547220</v>
      </c>
      <c r="AA319" s="54">
        <f>6/7*33660000</f>
        <v>28851428.571428571</v>
      </c>
      <c r="AB319" s="54">
        <f>6/31*151015429</f>
        <v>29228792.709677417</v>
      </c>
      <c r="AC319" s="54"/>
      <c r="AD319" s="41">
        <v>0</v>
      </c>
      <c r="AE319" s="41">
        <f t="shared" si="60"/>
        <v>203627441.281106</v>
      </c>
      <c r="AF319" s="57">
        <f t="shared" si="61"/>
        <v>17826243.124423981</v>
      </c>
      <c r="AG31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15846021.843317974</v>
      </c>
      <c r="AH319" s="59">
        <f>IFERROR(AG319/(Z319+Table5[[#This Row],[Rider Penalty (Claim, Other Denda to Riders)]]),0)</f>
        <v>0.10887203371742843</v>
      </c>
      <c r="AI319" s="57">
        <f t="shared" si="63"/>
        <v>1980221.2811059877</v>
      </c>
      <c r="AJ319" s="41">
        <f t="shared" si="62"/>
        <v>3.4094589129090858E-2</v>
      </c>
      <c r="AK319" s="88" t="s">
        <v>398</v>
      </c>
      <c r="AV319" s="109">
        <f>Table5[[#This Row],[Total Selling Comission/Sales (Weekly)]]/Table5[[#This Row],[Total Revenue Sharing % (Weekly)]]*100%</f>
        <v>0.50808253156604433</v>
      </c>
      <c r="AW319" s="109">
        <f>Table5[[#This Row],[Total Daily Incentive (Weekly)]]/Table5[[#This Row],[Total Revenue Sharing % (Weekly)]]*100%</f>
        <v>0.36232718347842224</v>
      </c>
      <c r="AX319" s="109">
        <f>(N319+O319)/Z319*100%</f>
        <v>0.87040971504446651</v>
      </c>
    </row>
    <row r="320" spans="1:50" hidden="1">
      <c r="A320" s="41">
        <v>2025</v>
      </c>
      <c r="B320" s="54" t="s">
        <v>23</v>
      </c>
      <c r="C320" s="54" t="s">
        <v>23</v>
      </c>
      <c r="D320" s="54" t="s">
        <v>168</v>
      </c>
      <c r="E320" s="54" t="s">
        <v>28</v>
      </c>
      <c r="F320" s="54" t="s">
        <v>25</v>
      </c>
      <c r="G320" s="41">
        <v>22</v>
      </c>
      <c r="H320" s="41" t="s">
        <v>156</v>
      </c>
      <c r="I320" s="41" t="s">
        <v>280</v>
      </c>
      <c r="J320" s="150">
        <v>45809</v>
      </c>
      <c r="K320" s="41">
        <v>212</v>
      </c>
      <c r="L320" s="41">
        <v>13650</v>
      </c>
      <c r="M320" s="54">
        <v>119170000</v>
      </c>
      <c r="N320" s="54">
        <f>1/7*86275000</f>
        <v>12325000</v>
      </c>
      <c r="O320" s="54">
        <f>1/7*61525000</f>
        <v>8789285.7142857146</v>
      </c>
      <c r="P320" s="54">
        <v>0</v>
      </c>
      <c r="Q320" s="54"/>
      <c r="R320" s="54">
        <v>0</v>
      </c>
      <c r="S320" s="54"/>
      <c r="T320" s="57">
        <f t="shared" si="65"/>
        <v>21114285.714285716</v>
      </c>
      <c r="U320" s="54">
        <f>1/7*(7*100000)+(5*75000)+(5*75000)+(7*75000)</f>
        <v>1375000</v>
      </c>
      <c r="V320" s="110">
        <f>1/7*65450000</f>
        <v>9350000</v>
      </c>
      <c r="W320" s="111">
        <v>0</v>
      </c>
      <c r="X320" s="54">
        <f>1/7*648064.516129032</f>
        <v>92580.645161290289</v>
      </c>
      <c r="Y320" s="57">
        <f t="shared" si="64"/>
        <v>10817580.64516129</v>
      </c>
      <c r="Z320" s="54">
        <f>23%*M320</f>
        <v>27409100</v>
      </c>
      <c r="AA320" s="54">
        <f>1/7*33660000</f>
        <v>4808571.4285714282</v>
      </c>
      <c r="AB320" s="54">
        <f>1/8*41060571</f>
        <v>5132571.375</v>
      </c>
      <c r="AC320" s="54"/>
      <c r="AD320" s="41">
        <v>0</v>
      </c>
      <c r="AE320" s="41">
        <f t="shared" si="60"/>
        <v>37350242.803571433</v>
      </c>
      <c r="AF320" s="57">
        <f t="shared" si="61"/>
        <v>5418376.4441244267</v>
      </c>
      <c r="AG32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4827233.6405529929</v>
      </c>
      <c r="AH320" s="59">
        <f>IFERROR(AG320/(Z320+Table5[[#This Row],[Rider Penalty (Claim, Other Denda to Riders)]]),0)</f>
        <v>0.17611791852169509</v>
      </c>
      <c r="AI320" s="57">
        <f t="shared" si="63"/>
        <v>591142.8035714291</v>
      </c>
      <c r="AJ320" s="41">
        <f t="shared" si="62"/>
        <v>5.946427038137473E-2</v>
      </c>
      <c r="AK320" s="88"/>
      <c r="AV320" s="109">
        <f>Table5[[#This Row],[Total Selling Comission/Sales (Weekly)]]/Table5[[#This Row],[Total Revenue Sharing % (Weekly)]]*100%</f>
        <v>0.44966817589778579</v>
      </c>
      <c r="AW320" s="109">
        <f>Table5[[#This Row],[Total Daily Incentive (Weekly)]]/Table5[[#This Row],[Total Revenue Sharing % (Weekly)]]*100%</f>
        <v>0.32067035087929607</v>
      </c>
      <c r="AX320" s="109">
        <f>(N320+O320)/Z320*100%</f>
        <v>0.77033852677708192</v>
      </c>
    </row>
    <row r="321" spans="1:50" hidden="1">
      <c r="A321" s="41">
        <v>2025</v>
      </c>
      <c r="B321" s="41" t="s">
        <v>23</v>
      </c>
      <c r="C321" s="41" t="s">
        <v>172</v>
      </c>
      <c r="D321" s="41" t="s">
        <v>168</v>
      </c>
      <c r="E321" s="41" t="s">
        <v>28</v>
      </c>
      <c r="F321" s="41" t="s">
        <v>31</v>
      </c>
      <c r="G321" s="41">
        <v>22</v>
      </c>
      <c r="H321" s="41" t="s">
        <v>161</v>
      </c>
      <c r="I321" s="41" t="s">
        <v>280</v>
      </c>
      <c r="J321" s="41" t="s">
        <v>397</v>
      </c>
      <c r="K321" s="16">
        <v>22</v>
      </c>
      <c r="L321" s="16">
        <v>6200</v>
      </c>
      <c r="M321" s="16">
        <v>54759000</v>
      </c>
      <c r="N321" s="16">
        <f>6/7*7380500</f>
        <v>6326142.8571428563</v>
      </c>
      <c r="O321" s="16">
        <f>6/7*5925000</f>
        <v>5078571.4285714282</v>
      </c>
      <c r="P321" s="16">
        <v>0</v>
      </c>
      <c r="Q321" s="16"/>
      <c r="R321" s="16">
        <v>0</v>
      </c>
      <c r="S321" s="16"/>
      <c r="T321" s="16">
        <f t="shared" si="65"/>
        <v>11404714.285714284</v>
      </c>
      <c r="U321" s="54">
        <f>6/7*(5*75000)</f>
        <v>321428.57142857142</v>
      </c>
      <c r="V321" s="16">
        <f>6/7*5040000</f>
        <v>4320000</v>
      </c>
      <c r="W321" s="16">
        <v>0</v>
      </c>
      <c r="X321" s="16">
        <f>6/7*411870.967741936</f>
        <v>353032.25806451653</v>
      </c>
      <c r="Y321" s="16">
        <f t="shared" si="64"/>
        <v>4994460.8294930886</v>
      </c>
      <c r="Z321" s="16">
        <f>23%*M321</f>
        <v>12594570</v>
      </c>
      <c r="AA321" s="16">
        <f>6/7*2592000</f>
        <v>2221714.2857142854</v>
      </c>
      <c r="AB321" s="16">
        <f>6/31*13114286</f>
        <v>2538248.9032258065</v>
      </c>
      <c r="AC321" s="16"/>
      <c r="AD321" s="16">
        <v>0</v>
      </c>
      <c r="AE321" s="16">
        <f t="shared" si="60"/>
        <v>17354533.188940093</v>
      </c>
      <c r="AF321" s="16">
        <f t="shared" si="61"/>
        <v>955358.07373272069</v>
      </c>
      <c r="AG32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515394.88479262852</v>
      </c>
      <c r="AH321" s="13">
        <f>IFERROR(AG321/(Z321+Table5[[#This Row],[Rider Penalty (Claim, Other Denda to Riders)]]),0)</f>
        <v>4.092199136553519E-2</v>
      </c>
      <c r="AI321" s="12">
        <f t="shared" si="63"/>
        <v>439963.18894009199</v>
      </c>
      <c r="AJ321" s="16">
        <f t="shared" si="62"/>
        <v>9.2429956173265965E-2</v>
      </c>
      <c r="AK321" s="88" t="s">
        <v>398</v>
      </c>
      <c r="AV321" s="109">
        <f>Table5[[#This Row],[Total Selling Comission/Sales (Weekly)]]/Table5[[#This Row],[Total Revenue Sharing % (Weekly)]]*100%</f>
        <v>0.50229129356086444</v>
      </c>
      <c r="AW321" s="109">
        <f>Table5[[#This Row],[Total Daily Incentive (Weekly)]]/Table5[[#This Row],[Total Revenue Sharing % (Weekly)]]*100%</f>
        <v>0.40323499957294517</v>
      </c>
      <c r="AX321" s="109">
        <f>(N321+O321)/Z321*100%</f>
        <v>0.9055262931338095</v>
      </c>
    </row>
    <row r="322" spans="1:50" hidden="1">
      <c r="A322" s="41">
        <v>2025</v>
      </c>
      <c r="B322" s="41" t="s">
        <v>23</v>
      </c>
      <c r="C322" s="41" t="s">
        <v>172</v>
      </c>
      <c r="D322" s="41" t="s">
        <v>168</v>
      </c>
      <c r="E322" s="41" t="s">
        <v>28</v>
      </c>
      <c r="F322" s="41" t="s">
        <v>31</v>
      </c>
      <c r="G322" s="41">
        <v>22</v>
      </c>
      <c r="H322" s="41" t="s">
        <v>156</v>
      </c>
      <c r="I322" s="41" t="s">
        <v>280</v>
      </c>
      <c r="J322" s="150">
        <v>45809</v>
      </c>
      <c r="K322" s="54">
        <v>22</v>
      </c>
      <c r="L322" s="54">
        <v>1182</v>
      </c>
      <c r="M322" s="54">
        <v>10396000</v>
      </c>
      <c r="N322" s="16">
        <f>1/7*7380500</f>
        <v>1054357.1428571427</v>
      </c>
      <c r="O322" s="16">
        <f>1/7*5925000</f>
        <v>846428.57142857136</v>
      </c>
      <c r="P322" s="54">
        <v>0</v>
      </c>
      <c r="Q322" s="54"/>
      <c r="R322" s="54">
        <v>0</v>
      </c>
      <c r="S322" s="54"/>
      <c r="T322" s="57">
        <f t="shared" si="65"/>
        <v>1900785.7142857141</v>
      </c>
      <c r="U322" s="54">
        <f>1/7*(5*75000)</f>
        <v>53571.428571428565</v>
      </c>
      <c r="V322" s="16">
        <f>1/7*5040000</f>
        <v>720000</v>
      </c>
      <c r="W322" s="16">
        <v>0</v>
      </c>
      <c r="X322" s="16">
        <f>1/7*411870.967741936</f>
        <v>58838.709677419421</v>
      </c>
      <c r="Y322" s="57">
        <f t="shared" si="64"/>
        <v>832410.13824884791</v>
      </c>
      <c r="Z322" s="54">
        <f>23%*M322</f>
        <v>2391080</v>
      </c>
      <c r="AA322" s="16">
        <f>1/7*2592000</f>
        <v>370285.71428571426</v>
      </c>
      <c r="AB322" s="16">
        <f>1/8*3565714</f>
        <v>445714.25</v>
      </c>
      <c r="AC322" s="16"/>
      <c r="AD322" s="54">
        <v>0</v>
      </c>
      <c r="AE322" s="54">
        <f t="shared" si="60"/>
        <v>3207079.9642857141</v>
      </c>
      <c r="AF322" s="54">
        <f t="shared" si="61"/>
        <v>473884.1117511522</v>
      </c>
      <c r="AG32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377884.14746543788</v>
      </c>
      <c r="AH322" s="59">
        <f>IFERROR(AG322/(Z322+Table5[[#This Row],[Rider Penalty (Claim, Other Denda to Riders)]]),0)</f>
        <v>0.15803910679083841</v>
      </c>
      <c r="AI322" s="57">
        <f t="shared" si="63"/>
        <v>95999.964285714319</v>
      </c>
      <c r="AJ322" s="54">
        <f t="shared" si="62"/>
        <v>0.11764702020513923</v>
      </c>
      <c r="AK322" s="88"/>
      <c r="AV322" s="109">
        <f>Table5[[#This Row],[Total Selling Comission/Sales (Weekly)]]/Table5[[#This Row],[Total Revenue Sharing % (Weekly)]]*100%</f>
        <v>0.44095435654898318</v>
      </c>
      <c r="AW322" s="109">
        <f>Table5[[#This Row],[Total Daily Incentive (Weekly)]]/Table5[[#This Row],[Total Revenue Sharing % (Weekly)]]*100%</f>
        <v>0.35399425005795349</v>
      </c>
      <c r="AX322" s="109">
        <f>(N322+O322)/Z322*100%</f>
        <v>0.79494860660693667</v>
      </c>
    </row>
    <row r="323" spans="1:50" hidden="1">
      <c r="A323" s="41">
        <v>2025</v>
      </c>
      <c r="B323" s="41" t="s">
        <v>27</v>
      </c>
      <c r="C323" s="41" t="s">
        <v>27</v>
      </c>
      <c r="D323" s="41" t="s">
        <v>169</v>
      </c>
      <c r="E323" s="41" t="s">
        <v>28</v>
      </c>
      <c r="F323" s="48" t="s">
        <v>28</v>
      </c>
      <c r="G323" s="41">
        <v>22</v>
      </c>
      <c r="H323" s="41" t="s">
        <v>161</v>
      </c>
      <c r="I323" s="41" t="s">
        <v>280</v>
      </c>
      <c r="J323" s="58" t="s">
        <v>399</v>
      </c>
      <c r="K323" s="16">
        <v>5</v>
      </c>
      <c r="L323" s="16">
        <v>710</v>
      </c>
      <c r="M323" s="16">
        <v>5808000</v>
      </c>
      <c r="N323" s="16">
        <v>710000</v>
      </c>
      <c r="O323" s="16">
        <v>825000</v>
      </c>
      <c r="P323" s="16">
        <v>0</v>
      </c>
      <c r="Q323" s="16"/>
      <c r="R323" s="16">
        <v>0</v>
      </c>
      <c r="S323" s="16"/>
      <c r="T323" s="16">
        <f t="shared" si="65"/>
        <v>1535000</v>
      </c>
      <c r="U323" s="16">
        <v>0</v>
      </c>
      <c r="V323" s="16">
        <v>1120000</v>
      </c>
      <c r="W323" s="16">
        <v>0</v>
      </c>
      <c r="X323" s="16">
        <v>0</v>
      </c>
      <c r="Y323" s="16">
        <f t="shared" si="64"/>
        <v>1120000</v>
      </c>
      <c r="Z323" s="16">
        <f>20%*M323</f>
        <v>1161600</v>
      </c>
      <c r="AA323" s="16">
        <v>350000</v>
      </c>
      <c r="AB323" s="16">
        <v>650000</v>
      </c>
      <c r="AC323" s="16"/>
      <c r="AD323" s="16">
        <v>0</v>
      </c>
      <c r="AE323" s="16">
        <f t="shared" si="60"/>
        <v>2161600</v>
      </c>
      <c r="AF323" s="16">
        <f t="shared" si="61"/>
        <v>-493400</v>
      </c>
      <c r="AG32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-373400</v>
      </c>
      <c r="AH323" s="13">
        <f>IFERROR(AG323/(Z323+Table5[[#This Row],[Rider Penalty (Claim, Other Denda to Riders)]]),0)</f>
        <v>-0.32145316804407714</v>
      </c>
      <c r="AI323" s="12">
        <f t="shared" si="63"/>
        <v>-120000</v>
      </c>
      <c r="AJ323" s="16">
        <f t="shared" si="62"/>
        <v>-0.12</v>
      </c>
      <c r="AK323" s="88" t="s">
        <v>398</v>
      </c>
      <c r="AV323" s="109"/>
      <c r="AW323" s="109"/>
      <c r="AX323" s="109"/>
    </row>
    <row r="324" spans="1:50" hidden="1">
      <c r="A324" s="41">
        <v>2025</v>
      </c>
      <c r="B324" s="41" t="s">
        <v>29</v>
      </c>
      <c r="C324" s="41" t="s">
        <v>29</v>
      </c>
      <c r="D324" s="41" t="s">
        <v>169</v>
      </c>
      <c r="E324" s="41" t="s">
        <v>28</v>
      </c>
      <c r="F324" s="41" t="s">
        <v>28</v>
      </c>
      <c r="G324" s="41">
        <v>22</v>
      </c>
      <c r="H324" s="41" t="s">
        <v>161</v>
      </c>
      <c r="I324" s="41" t="s">
        <v>280</v>
      </c>
      <c r="J324" s="58" t="s">
        <v>399</v>
      </c>
      <c r="K324" s="16">
        <v>1</v>
      </c>
      <c r="L324" s="16">
        <v>88</v>
      </c>
      <c r="M324" s="16">
        <v>788000</v>
      </c>
      <c r="N324" s="16">
        <v>88000</v>
      </c>
      <c r="O324" s="16">
        <v>125000</v>
      </c>
      <c r="P324" s="16">
        <v>0</v>
      </c>
      <c r="Q324" s="16"/>
      <c r="R324" s="16">
        <v>0</v>
      </c>
      <c r="S324" s="16"/>
      <c r="T324" s="16">
        <f t="shared" si="65"/>
        <v>213000</v>
      </c>
      <c r="U324" s="16">
        <v>0</v>
      </c>
      <c r="V324" s="16">
        <v>245000</v>
      </c>
      <c r="W324" s="16">
        <v>0</v>
      </c>
      <c r="X324" s="16">
        <v>0</v>
      </c>
      <c r="Y324" s="16">
        <f t="shared" si="64"/>
        <v>245000</v>
      </c>
      <c r="Z324" s="16">
        <f>20%*M324</f>
        <v>157600</v>
      </c>
      <c r="AA324" s="16">
        <v>70000</v>
      </c>
      <c r="AB324" s="16">
        <v>125000</v>
      </c>
      <c r="AC324" s="16"/>
      <c r="AD324" s="16">
        <v>0</v>
      </c>
      <c r="AE324" s="16">
        <f t="shared" si="60"/>
        <v>352600</v>
      </c>
      <c r="AF324" s="16">
        <f t="shared" si="61"/>
        <v>-105400</v>
      </c>
      <c r="AG32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-55400</v>
      </c>
      <c r="AH324" s="13">
        <f>IFERROR(AG324/(Z324+Table5[[#This Row],[Rider Penalty (Claim, Other Denda to Riders)]]),0)</f>
        <v>-0.35152284263959394</v>
      </c>
      <c r="AI324" s="12">
        <f t="shared" si="63"/>
        <v>-50000</v>
      </c>
      <c r="AJ324" s="16">
        <f t="shared" si="62"/>
        <v>-0.25641025641025639</v>
      </c>
      <c r="AK324" s="88" t="s">
        <v>398</v>
      </c>
      <c r="AV324" s="109"/>
      <c r="AW324" s="109"/>
      <c r="AX324" s="109"/>
    </row>
    <row r="325" spans="1:50" hidden="1">
      <c r="A325" s="41">
        <v>2025</v>
      </c>
      <c r="B325" s="41" t="s">
        <v>171</v>
      </c>
      <c r="C325" s="41" t="s">
        <v>171</v>
      </c>
      <c r="D325" s="41" t="s">
        <v>168</v>
      </c>
      <c r="E325" s="41" t="s">
        <v>28</v>
      </c>
      <c r="F325" s="41" t="s">
        <v>28</v>
      </c>
      <c r="G325" s="41">
        <v>22</v>
      </c>
      <c r="H325" s="41" t="s">
        <v>161</v>
      </c>
      <c r="I325" s="41" t="s">
        <v>280</v>
      </c>
      <c r="J325" s="58" t="s">
        <v>399</v>
      </c>
      <c r="K325" s="16">
        <v>1</v>
      </c>
      <c r="L325" s="16">
        <v>55</v>
      </c>
      <c r="M325" s="16">
        <v>477000</v>
      </c>
      <c r="N325" s="16">
        <v>47000</v>
      </c>
      <c r="O325" s="16">
        <v>175000</v>
      </c>
      <c r="P325" s="16">
        <v>0</v>
      </c>
      <c r="Q325" s="16"/>
      <c r="R325" s="16">
        <v>0</v>
      </c>
      <c r="S325" s="16"/>
      <c r="T325" s="16">
        <f t="shared" si="65"/>
        <v>222000</v>
      </c>
      <c r="U325" s="16">
        <v>0</v>
      </c>
      <c r="V325" s="55">
        <v>245000</v>
      </c>
      <c r="W325" s="16">
        <v>0</v>
      </c>
      <c r="X325" s="16">
        <v>0</v>
      </c>
      <c r="Y325" s="16">
        <f t="shared" si="64"/>
        <v>245000</v>
      </c>
      <c r="Z325" s="16">
        <f>30%*M325</f>
        <v>143100</v>
      </c>
      <c r="AA325" s="16">
        <v>70000</v>
      </c>
      <c r="AB325" s="16">
        <v>0</v>
      </c>
      <c r="AC325" s="16"/>
      <c r="AD325" s="16">
        <v>0</v>
      </c>
      <c r="AE325" s="16">
        <f t="shared" si="60"/>
        <v>213100</v>
      </c>
      <c r="AF325" s="16">
        <f t="shared" si="61"/>
        <v>-253900</v>
      </c>
      <c r="AG32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-78900</v>
      </c>
      <c r="AH325" s="13">
        <f>IFERROR(AG325/(Z325+Table5[[#This Row],[Rider Penalty (Claim, Other Denda to Riders)]]),0)</f>
        <v>-0.55136268343815509</v>
      </c>
      <c r="AI325" s="12">
        <f>AA325+AB325-V326</f>
        <v>-210000</v>
      </c>
      <c r="AJ325" s="16">
        <f t="shared" si="62"/>
        <v>-3</v>
      </c>
      <c r="AK325" s="88" t="s">
        <v>398</v>
      </c>
      <c r="AV325" s="109"/>
      <c r="AW325" s="109"/>
      <c r="AX325" s="109"/>
    </row>
    <row r="326" spans="1:50" hidden="1">
      <c r="A326" s="41">
        <v>2025</v>
      </c>
      <c r="B326" s="41" t="s">
        <v>33</v>
      </c>
      <c r="C326" s="41" t="s">
        <v>33</v>
      </c>
      <c r="D326" s="41" t="s">
        <v>169</v>
      </c>
      <c r="E326" s="41" t="s">
        <v>28</v>
      </c>
      <c r="F326" s="41" t="s">
        <v>28</v>
      </c>
      <c r="G326" s="41">
        <v>22</v>
      </c>
      <c r="H326" s="41" t="s">
        <v>161</v>
      </c>
      <c r="I326" s="41" t="s">
        <v>280</v>
      </c>
      <c r="J326" s="58" t="s">
        <v>399</v>
      </c>
      <c r="K326" s="16">
        <v>2</v>
      </c>
      <c r="L326" s="16">
        <v>37</v>
      </c>
      <c r="M326" s="16">
        <v>312000</v>
      </c>
      <c r="N326" s="16">
        <v>37000</v>
      </c>
      <c r="O326" s="16">
        <v>150000</v>
      </c>
      <c r="P326" s="16">
        <v>0</v>
      </c>
      <c r="Q326" s="16"/>
      <c r="R326" s="16">
        <v>0</v>
      </c>
      <c r="S326" s="16"/>
      <c r="T326" s="16">
        <f t="shared" si="65"/>
        <v>187000</v>
      </c>
      <c r="U326" s="16">
        <v>0</v>
      </c>
      <c r="V326" s="16">
        <v>280000</v>
      </c>
      <c r="W326" s="16">
        <v>0</v>
      </c>
      <c r="X326" s="16">
        <v>0</v>
      </c>
      <c r="Y326" s="16">
        <f t="shared" si="64"/>
        <v>280000</v>
      </c>
      <c r="Z326" s="16">
        <f>30%*M326</f>
        <v>93600</v>
      </c>
      <c r="AA326" s="16">
        <v>80000</v>
      </c>
      <c r="AB326" s="16">
        <v>0</v>
      </c>
      <c r="AC326" s="16"/>
      <c r="AD326" s="16">
        <v>0</v>
      </c>
      <c r="AE326" s="16">
        <f t="shared" si="60"/>
        <v>173600</v>
      </c>
      <c r="AF326" s="16">
        <f t="shared" si="61"/>
        <v>-293400</v>
      </c>
      <c r="AG32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-93400</v>
      </c>
      <c r="AH326" s="13">
        <f>IFERROR(AG326/(Z326+Table5[[#This Row],[Rider Penalty (Claim, Other Denda to Riders)]]),0)</f>
        <v>-0.99786324786324787</v>
      </c>
      <c r="AI326" s="12">
        <f>AA326+AB326-V327</f>
        <v>-900000</v>
      </c>
      <c r="AJ326" s="16">
        <f t="shared" si="62"/>
        <v>-11.25</v>
      </c>
      <c r="AK326" s="88" t="s">
        <v>398</v>
      </c>
      <c r="AV326" s="109"/>
      <c r="AW326" s="109"/>
      <c r="AX326" s="109"/>
    </row>
    <row r="327" spans="1:50" hidden="1">
      <c r="A327" s="41">
        <v>2025</v>
      </c>
      <c r="B327" s="41" t="s">
        <v>175</v>
      </c>
      <c r="C327" s="41" t="s">
        <v>175</v>
      </c>
      <c r="D327" s="41" t="s">
        <v>169</v>
      </c>
      <c r="E327" s="41" t="s">
        <v>28</v>
      </c>
      <c r="F327" s="41" t="s">
        <v>28</v>
      </c>
      <c r="G327" s="41">
        <v>22</v>
      </c>
      <c r="H327" s="41" t="s">
        <v>161</v>
      </c>
      <c r="I327" s="41" t="s">
        <v>280</v>
      </c>
      <c r="J327" s="58" t="s">
        <v>399</v>
      </c>
      <c r="K327" s="16">
        <v>4</v>
      </c>
      <c r="L327" s="16">
        <v>453</v>
      </c>
      <c r="M327" s="16">
        <v>2912000</v>
      </c>
      <c r="N327" s="16">
        <v>508000</v>
      </c>
      <c r="O327" s="16">
        <v>525000</v>
      </c>
      <c r="P327" s="16">
        <v>0</v>
      </c>
      <c r="Q327" s="16"/>
      <c r="R327" s="16">
        <v>0</v>
      </c>
      <c r="S327" s="16"/>
      <c r="T327" s="16">
        <f t="shared" si="65"/>
        <v>1033000</v>
      </c>
      <c r="U327" s="16">
        <v>0</v>
      </c>
      <c r="V327" s="16">
        <v>980000</v>
      </c>
      <c r="W327" s="16">
        <v>0</v>
      </c>
      <c r="X327" s="16">
        <v>0</v>
      </c>
      <c r="Y327" s="16">
        <f t="shared" si="64"/>
        <v>980000</v>
      </c>
      <c r="Z327" s="57">
        <f>29%*M327</f>
        <v>844480</v>
      </c>
      <c r="AA327" s="16">
        <v>280000</v>
      </c>
      <c r="AB327" s="16">
        <v>0</v>
      </c>
      <c r="AC327" s="16"/>
      <c r="AD327" s="16">
        <v>0</v>
      </c>
      <c r="AE327" s="16">
        <f t="shared" si="60"/>
        <v>1124480</v>
      </c>
      <c r="AF327" s="16">
        <f t="shared" si="61"/>
        <v>-888520</v>
      </c>
      <c r="AG32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-188520</v>
      </c>
      <c r="AH327" s="13">
        <f>IFERROR(AG327/(Z327+Table5[[#This Row],[Rider Penalty (Claim, Other Denda to Riders)]]),0)</f>
        <v>-0.2232379689276241</v>
      </c>
      <c r="AI327" s="12">
        <f t="shared" ref="AI327:AI358" si="66">AA327+AB327-V327</f>
        <v>-700000</v>
      </c>
      <c r="AJ327" s="16">
        <f t="shared" si="62"/>
        <v>-2.5</v>
      </c>
      <c r="AK327" s="88" t="s">
        <v>398</v>
      </c>
      <c r="AV327" s="109"/>
      <c r="AW327" s="109"/>
      <c r="AX327" s="109"/>
    </row>
    <row r="328" spans="1:50" hidden="1">
      <c r="A328" s="41">
        <v>2025</v>
      </c>
      <c r="B328" s="41" t="s">
        <v>196</v>
      </c>
      <c r="C328" s="41" t="s">
        <v>196</v>
      </c>
      <c r="D328" s="41" t="s">
        <v>169</v>
      </c>
      <c r="E328" s="41" t="s">
        <v>28</v>
      </c>
      <c r="F328" s="41" t="s">
        <v>28</v>
      </c>
      <c r="G328" s="41">
        <v>22</v>
      </c>
      <c r="H328" s="41" t="s">
        <v>161</v>
      </c>
      <c r="I328" s="41" t="s">
        <v>280</v>
      </c>
      <c r="J328" s="58" t="s">
        <v>399</v>
      </c>
      <c r="K328" s="16">
        <v>4</v>
      </c>
      <c r="L328" s="16">
        <v>133</v>
      </c>
      <c r="M328" s="16">
        <v>1505000</v>
      </c>
      <c r="N328" s="16">
        <v>133000</v>
      </c>
      <c r="O328" s="16">
        <v>555000</v>
      </c>
      <c r="P328" s="16">
        <v>0</v>
      </c>
      <c r="Q328" s="16"/>
      <c r="R328" s="16">
        <v>0</v>
      </c>
      <c r="S328" s="16"/>
      <c r="T328" s="12">
        <f t="shared" si="65"/>
        <v>688000</v>
      </c>
      <c r="U328" s="16">
        <v>0</v>
      </c>
      <c r="V328" s="16">
        <v>980000</v>
      </c>
      <c r="W328" s="16">
        <v>0</v>
      </c>
      <c r="X328" s="16">
        <v>0</v>
      </c>
      <c r="Y328" s="12">
        <f t="shared" si="64"/>
        <v>980000</v>
      </c>
      <c r="Z328" s="16">
        <f>30%*M328</f>
        <v>451500</v>
      </c>
      <c r="AA328" s="16">
        <v>210000</v>
      </c>
      <c r="AB328" s="16">
        <v>0</v>
      </c>
      <c r="AC328" s="16"/>
      <c r="AD328" s="16">
        <v>0</v>
      </c>
      <c r="AE328" s="16">
        <f t="shared" si="60"/>
        <v>661500</v>
      </c>
      <c r="AF328" s="16">
        <f t="shared" si="61"/>
        <v>-1006500</v>
      </c>
      <c r="AG32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-236500</v>
      </c>
      <c r="AH328" s="13">
        <f>IFERROR(AG328/(Z328+Table5[[#This Row],[Rider Penalty (Claim, Other Denda to Riders)]]),0)</f>
        <v>-0.52380952380952384</v>
      </c>
      <c r="AI328" s="12">
        <f t="shared" si="66"/>
        <v>-770000</v>
      </c>
      <c r="AJ328" s="16">
        <f t="shared" si="62"/>
        <v>-3.6666666666666665</v>
      </c>
      <c r="AK328" s="88" t="s">
        <v>398</v>
      </c>
      <c r="AV328" s="109"/>
      <c r="AW328" s="109"/>
      <c r="AX328" s="109"/>
    </row>
    <row r="329" spans="1:50" hidden="1">
      <c r="A329" s="41">
        <v>2025</v>
      </c>
      <c r="B329" s="117" t="s">
        <v>23</v>
      </c>
      <c r="C329" s="117" t="s">
        <v>174</v>
      </c>
      <c r="D329" s="117" t="s">
        <v>168</v>
      </c>
      <c r="E329" s="117" t="s">
        <v>24</v>
      </c>
      <c r="F329" s="117" t="s">
        <v>24</v>
      </c>
      <c r="G329" s="41">
        <v>23</v>
      </c>
      <c r="H329" s="41" t="s">
        <v>156</v>
      </c>
      <c r="I329" s="41" t="s">
        <v>275</v>
      </c>
      <c r="J329" s="151" t="s">
        <v>361</v>
      </c>
      <c r="K329" s="41">
        <v>22</v>
      </c>
      <c r="L329" s="41">
        <v>4783</v>
      </c>
      <c r="M329" s="41">
        <v>43594000</v>
      </c>
      <c r="N329" s="41">
        <v>2220000</v>
      </c>
      <c r="O329" s="41">
        <v>3020000</v>
      </c>
      <c r="P329" s="41">
        <v>1180000</v>
      </c>
      <c r="Q329" s="41"/>
      <c r="R329" s="41">
        <v>0</v>
      </c>
      <c r="S329" s="41"/>
      <c r="T329" s="57">
        <f t="shared" si="65"/>
        <v>6420000</v>
      </c>
      <c r="U329" s="41">
        <v>840000</v>
      </c>
      <c r="V329" s="55">
        <f>129*35000</f>
        <v>4515000</v>
      </c>
      <c r="W329" s="86">
        <v>0</v>
      </c>
      <c r="X329" s="41">
        <v>0</v>
      </c>
      <c r="Y329" s="57">
        <f t="shared" si="64"/>
        <v>5355000</v>
      </c>
      <c r="Z329" s="57">
        <f>21%*M329</f>
        <v>9154740</v>
      </c>
      <c r="AA329" s="41">
        <v>3850000</v>
      </c>
      <c r="AB329" s="41">
        <f>7/8*2131200</f>
        <v>1864800</v>
      </c>
      <c r="AC329" s="41"/>
      <c r="AD329" s="41">
        <v>0</v>
      </c>
      <c r="AE329" s="41">
        <f t="shared" si="60"/>
        <v>14869540</v>
      </c>
      <c r="AF329" s="57">
        <f t="shared" si="61"/>
        <v>3094540</v>
      </c>
      <c r="AG329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1894740</v>
      </c>
      <c r="AH329" s="59">
        <f>IFERROR(AG329/(Z329+Table5[[#This Row],[Rider Penalty (Claim, Other Denda to Riders)]]),0)</f>
        <v>0.2069681935259767</v>
      </c>
      <c r="AI329" s="57">
        <f t="shared" si="66"/>
        <v>1199800</v>
      </c>
      <c r="AJ329" s="41">
        <f t="shared" si="62"/>
        <v>0.20994610485056345</v>
      </c>
      <c r="AV329" s="109">
        <f>Table5[[#This Row],[Total Selling Comission/Sales (Weekly)]]/Table5[[#This Row],[Total Revenue Sharing % (Weekly)]]*100%</f>
        <v>0.24249732925238729</v>
      </c>
      <c r="AW329" s="109">
        <f>Table5[[#This Row],[Total Daily Incentive (Weekly)]]/Table5[[#This Row],[Total Revenue Sharing % (Weekly)]]*100%</f>
        <v>0.32988375420820254</v>
      </c>
      <c r="AX329" s="109">
        <f>(N329+O329)/Z329*100%</f>
        <v>0.5723810834605898</v>
      </c>
    </row>
    <row r="330" spans="1:50" hidden="1">
      <c r="A330" s="41">
        <v>2025</v>
      </c>
      <c r="B330" s="64" t="s">
        <v>23</v>
      </c>
      <c r="C330" s="64" t="s">
        <v>173</v>
      </c>
      <c r="D330" s="64" t="s">
        <v>168</v>
      </c>
      <c r="E330" s="64" t="s">
        <v>24</v>
      </c>
      <c r="F330" s="147" t="s">
        <v>282</v>
      </c>
      <c r="G330" s="41">
        <v>23</v>
      </c>
      <c r="H330" s="41" t="s">
        <v>156</v>
      </c>
      <c r="I330" s="41" t="s">
        <v>275</v>
      </c>
      <c r="J330" s="151" t="s">
        <v>361</v>
      </c>
      <c r="K330" s="16">
        <v>13</v>
      </c>
      <c r="L330" s="16">
        <v>3966</v>
      </c>
      <c r="M330" s="16">
        <v>35600000</v>
      </c>
      <c r="N330" s="16">
        <v>2878940</v>
      </c>
      <c r="O330" s="16">
        <v>1930000</v>
      </c>
      <c r="P330" s="16">
        <v>600000</v>
      </c>
      <c r="Q330" s="16"/>
      <c r="R330" s="16">
        <v>0</v>
      </c>
      <c r="S330" s="16"/>
      <c r="T330" s="12">
        <f t="shared" si="65"/>
        <v>5408940</v>
      </c>
      <c r="U330" s="16">
        <v>0</v>
      </c>
      <c r="V330" s="16">
        <f>71*35000</f>
        <v>2485000</v>
      </c>
      <c r="W330" s="16">
        <v>0</v>
      </c>
      <c r="X330" s="16">
        <v>0</v>
      </c>
      <c r="Y330" s="12">
        <f t="shared" si="64"/>
        <v>2485000</v>
      </c>
      <c r="Z330" s="16">
        <f>21%*M330</f>
        <v>7476000</v>
      </c>
      <c r="AA330" s="16">
        <v>2275000</v>
      </c>
      <c r="AB330" s="16">
        <f>7/8*1234286</f>
        <v>1080000.25</v>
      </c>
      <c r="AC330" s="16"/>
      <c r="AD330" s="16">
        <v>0</v>
      </c>
      <c r="AE330" s="16">
        <f t="shared" si="60"/>
        <v>10831000.25</v>
      </c>
      <c r="AF330" s="16">
        <f t="shared" si="61"/>
        <v>2937060.25</v>
      </c>
      <c r="AG33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2067060</v>
      </c>
      <c r="AH330" s="13">
        <f>IFERROR(AG330/(Z330+Table5[[#This Row],[Rider Penalty (Claim, Other Denda to Riders)]]),0)</f>
        <v>0.2764927768860353</v>
      </c>
      <c r="AI330" s="12">
        <f t="shared" si="66"/>
        <v>870000.25</v>
      </c>
      <c r="AJ330" s="16">
        <f t="shared" si="62"/>
        <v>0.25931451122842686</v>
      </c>
      <c r="AK330" s="16"/>
      <c r="AV330" s="109">
        <f>Table5[[#This Row],[Total Selling Comission/Sales (Weekly)]]/Table5[[#This Row],[Total Revenue Sharing % (Weekly)]]*100%</f>
        <v>0.38509095773140717</v>
      </c>
      <c r="AW330" s="109">
        <f>Table5[[#This Row],[Total Daily Incentive (Weekly)]]/Table5[[#This Row],[Total Revenue Sharing % (Weekly)]]*100%</f>
        <v>0.25815944355270198</v>
      </c>
      <c r="AX330" s="109">
        <f>(N330+O330)/Z330*100%</f>
        <v>0.64325040128410915</v>
      </c>
    </row>
    <row r="331" spans="1:50" hidden="1">
      <c r="A331" s="41">
        <v>2025</v>
      </c>
      <c r="B331" s="41" t="s">
        <v>170</v>
      </c>
      <c r="C331" s="41" t="s">
        <v>170</v>
      </c>
      <c r="D331" s="41" t="s">
        <v>169</v>
      </c>
      <c r="E331" s="41" t="s">
        <v>24</v>
      </c>
      <c r="F331" s="41" t="s">
        <v>24</v>
      </c>
      <c r="G331" s="41">
        <v>23</v>
      </c>
      <c r="H331" s="41" t="s">
        <v>156</v>
      </c>
      <c r="I331" s="41" t="s">
        <v>275</v>
      </c>
      <c r="J331" s="150" t="s">
        <v>361</v>
      </c>
      <c r="K331" s="16">
        <v>3</v>
      </c>
      <c r="L331" s="16">
        <v>216</v>
      </c>
      <c r="M331" s="16">
        <v>1841500</v>
      </c>
      <c r="N331" s="16">
        <v>60000</v>
      </c>
      <c r="O331" s="16">
        <v>36000</v>
      </c>
      <c r="P331" s="16">
        <v>60000</v>
      </c>
      <c r="Q331" s="16"/>
      <c r="R331" s="16">
        <v>0</v>
      </c>
      <c r="S331" s="16"/>
      <c r="T331" s="12">
        <f t="shared" si="65"/>
        <v>156000</v>
      </c>
      <c r="U331" s="16">
        <v>0</v>
      </c>
      <c r="V331" s="16">
        <f>11*35000</f>
        <v>385000</v>
      </c>
      <c r="W331" s="16">
        <v>0</v>
      </c>
      <c r="X331" s="16">
        <v>0</v>
      </c>
      <c r="Y331" s="12">
        <f t="shared" si="64"/>
        <v>385000</v>
      </c>
      <c r="Z331" s="16">
        <f>30%*M331</f>
        <v>552450</v>
      </c>
      <c r="AA331" s="16">
        <v>275000</v>
      </c>
      <c r="AB331" s="16">
        <v>0</v>
      </c>
      <c r="AC331" s="16"/>
      <c r="AD331" s="16">
        <v>0</v>
      </c>
      <c r="AE331" s="16">
        <f t="shared" si="60"/>
        <v>827450</v>
      </c>
      <c r="AF331" s="16">
        <f t="shared" si="61"/>
        <v>286450</v>
      </c>
      <c r="AG33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396450</v>
      </c>
      <c r="AH331" s="13">
        <f>IFERROR(AG331/(Z331+Table5[[#This Row],[Rider Penalty (Claim, Other Denda to Riders)]]),0)</f>
        <v>0.71762150420852566</v>
      </c>
      <c r="AI331" s="12">
        <f t="shared" si="66"/>
        <v>-110000</v>
      </c>
      <c r="AJ331" s="16">
        <f t="shared" si="62"/>
        <v>-0.4</v>
      </c>
      <c r="AK331" s="16"/>
      <c r="AV331" s="109"/>
      <c r="AW331" s="109"/>
      <c r="AX331" s="109"/>
    </row>
    <row r="332" spans="1:50" hidden="1">
      <c r="A332" s="41">
        <v>2025</v>
      </c>
      <c r="B332" s="41" t="s">
        <v>171</v>
      </c>
      <c r="C332" s="41" t="s">
        <v>171</v>
      </c>
      <c r="D332" s="41" t="s">
        <v>168</v>
      </c>
      <c r="E332" s="41" t="s">
        <v>24</v>
      </c>
      <c r="F332" s="41" t="s">
        <v>24</v>
      </c>
      <c r="G332" s="41">
        <v>23</v>
      </c>
      <c r="H332" s="41" t="s">
        <v>156</v>
      </c>
      <c r="I332" s="41" t="s">
        <v>275</v>
      </c>
      <c r="J332" s="150" t="s">
        <v>361</v>
      </c>
      <c r="K332" s="41">
        <v>1</v>
      </c>
      <c r="L332" s="41">
        <v>58</v>
      </c>
      <c r="M332" s="41">
        <v>359000</v>
      </c>
      <c r="N332" s="41">
        <v>0</v>
      </c>
      <c r="O332" s="41">
        <v>40000</v>
      </c>
      <c r="P332" s="41">
        <v>0</v>
      </c>
      <c r="Q332" s="41"/>
      <c r="R332" s="41">
        <v>0</v>
      </c>
      <c r="S332" s="41"/>
      <c r="T332" s="57">
        <f t="shared" si="65"/>
        <v>40000</v>
      </c>
      <c r="U332" s="41">
        <v>0</v>
      </c>
      <c r="V332" s="55">
        <v>0</v>
      </c>
      <c r="W332" s="86">
        <v>0</v>
      </c>
      <c r="X332" s="41">
        <v>0</v>
      </c>
      <c r="Y332" s="12">
        <f t="shared" si="64"/>
        <v>0</v>
      </c>
      <c r="Z332" s="57">
        <f>35%*M332</f>
        <v>125649.99999999999</v>
      </c>
      <c r="AA332" s="41">
        <v>0</v>
      </c>
      <c r="AB332" s="41">
        <v>0</v>
      </c>
      <c r="AC332" s="41"/>
      <c r="AD332" s="41">
        <v>0</v>
      </c>
      <c r="AE332" s="41">
        <f t="shared" si="60"/>
        <v>125649.99999999999</v>
      </c>
      <c r="AF332" s="57">
        <f t="shared" si="61"/>
        <v>85649.999999999985</v>
      </c>
      <c r="AG33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85649.999999999985</v>
      </c>
      <c r="AH332" s="59">
        <f>IFERROR(AG332/(Z332+Table5[[#This Row],[Rider Penalty (Claim, Other Denda to Riders)]]),0)</f>
        <v>0.68165539196179858</v>
      </c>
      <c r="AI332" s="57">
        <f t="shared" si="66"/>
        <v>0</v>
      </c>
      <c r="AJ332" s="41">
        <f t="shared" si="62"/>
        <v>0</v>
      </c>
      <c r="AV332" s="109"/>
      <c r="AW332" s="109"/>
      <c r="AX332" s="109"/>
    </row>
    <row r="333" spans="1:50" hidden="1">
      <c r="A333" s="41">
        <v>2025</v>
      </c>
      <c r="B333" s="41" t="s">
        <v>171</v>
      </c>
      <c r="C333" s="41" t="s">
        <v>171</v>
      </c>
      <c r="D333" s="41" t="s">
        <v>168</v>
      </c>
      <c r="E333" s="41" t="s">
        <v>24</v>
      </c>
      <c r="F333" s="117" t="s">
        <v>282</v>
      </c>
      <c r="G333" s="41">
        <v>23</v>
      </c>
      <c r="H333" s="41" t="s">
        <v>156</v>
      </c>
      <c r="I333" s="41" t="s">
        <v>275</v>
      </c>
      <c r="J333" s="150" t="s">
        <v>361</v>
      </c>
      <c r="K333" s="16">
        <v>2</v>
      </c>
      <c r="L333" s="16">
        <v>53</v>
      </c>
      <c r="M333" s="16">
        <v>482000</v>
      </c>
      <c r="N333" s="16">
        <v>0</v>
      </c>
      <c r="O333" s="16">
        <v>20000</v>
      </c>
      <c r="P333" s="16">
        <v>0</v>
      </c>
      <c r="Q333" s="16"/>
      <c r="R333" s="16">
        <v>0</v>
      </c>
      <c r="S333" s="16"/>
      <c r="T333" s="57">
        <f t="shared" si="65"/>
        <v>20000</v>
      </c>
      <c r="U333" s="16">
        <v>0</v>
      </c>
      <c r="V333" s="16">
        <f>4*35000</f>
        <v>140000</v>
      </c>
      <c r="W333" s="16">
        <v>0</v>
      </c>
      <c r="X333" s="16">
        <v>0</v>
      </c>
      <c r="Y333" s="57">
        <f t="shared" si="64"/>
        <v>140000</v>
      </c>
      <c r="Z333" s="57">
        <f>35%*M333</f>
        <v>168700</v>
      </c>
      <c r="AA333" s="16">
        <v>100000</v>
      </c>
      <c r="AB333" s="16">
        <v>0</v>
      </c>
      <c r="AC333" s="16"/>
      <c r="AD333" s="16">
        <v>0</v>
      </c>
      <c r="AE333" s="41">
        <f t="shared" si="60"/>
        <v>268700</v>
      </c>
      <c r="AF333" s="57">
        <f t="shared" si="61"/>
        <v>108700</v>
      </c>
      <c r="AG33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148700</v>
      </c>
      <c r="AH333" s="59">
        <f>IFERROR(AG333/(Z333+Table5[[#This Row],[Rider Penalty (Claim, Other Denda to Riders)]]),0)</f>
        <v>0.8814463544754001</v>
      </c>
      <c r="AI333" s="57">
        <f t="shared" si="66"/>
        <v>-40000</v>
      </c>
      <c r="AJ333" s="41">
        <f t="shared" si="62"/>
        <v>-0.4</v>
      </c>
      <c r="AK333" s="16"/>
      <c r="AV333" s="109"/>
      <c r="AW333" s="109"/>
      <c r="AX333" s="109"/>
    </row>
    <row r="334" spans="1:50" hidden="1">
      <c r="A334" s="41">
        <v>2025</v>
      </c>
      <c r="B334" s="54" t="s">
        <v>23</v>
      </c>
      <c r="C334" s="54" t="s">
        <v>23</v>
      </c>
      <c r="D334" s="54" t="s">
        <v>168</v>
      </c>
      <c r="E334" s="54" t="s">
        <v>28</v>
      </c>
      <c r="F334" s="54" t="s">
        <v>25</v>
      </c>
      <c r="G334" s="41">
        <v>23</v>
      </c>
      <c r="H334" s="41" t="s">
        <v>156</v>
      </c>
      <c r="I334" s="41" t="s">
        <v>275</v>
      </c>
      <c r="J334" s="150" t="s">
        <v>361</v>
      </c>
      <c r="K334" s="54">
        <v>275</v>
      </c>
      <c r="L334" s="54">
        <v>90194</v>
      </c>
      <c r="M334" s="54">
        <v>788438000</v>
      </c>
      <c r="N334" s="54">
        <v>90190000</v>
      </c>
      <c r="O334" s="54">
        <v>62675000</v>
      </c>
      <c r="P334" s="54">
        <v>0</v>
      </c>
      <c r="Q334" s="54"/>
      <c r="R334" s="54">
        <v>0</v>
      </c>
      <c r="S334" s="54"/>
      <c r="T334" s="54">
        <f t="shared" si="65"/>
        <v>152865000</v>
      </c>
      <c r="U334" s="54">
        <f>(5*100000)+(7*75000)</f>
        <v>1025000</v>
      </c>
      <c r="V334" s="110">
        <v>65940000</v>
      </c>
      <c r="W334" s="111">
        <v>0</v>
      </c>
      <c r="X334" s="54">
        <v>648064.51612903224</v>
      </c>
      <c r="Y334" s="54">
        <f t="shared" si="64"/>
        <v>67613064.516129032</v>
      </c>
      <c r="Z334" s="54">
        <f>23%*M334</f>
        <v>181340740</v>
      </c>
      <c r="AA334" s="54">
        <v>33912000</v>
      </c>
      <c r="AB334" s="54">
        <f>7/8*41060571</f>
        <v>35927999.625</v>
      </c>
      <c r="AC334" s="16"/>
      <c r="AD334" s="16">
        <v>0</v>
      </c>
      <c r="AE334" s="54">
        <f t="shared" si="60"/>
        <v>251180739.625</v>
      </c>
      <c r="AF334" s="54">
        <f t="shared" si="61"/>
        <v>30702675.108870983</v>
      </c>
      <c r="AG334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26802675.483870968</v>
      </c>
      <c r="AH334" s="59">
        <f>IFERROR(AG334/(Z334+Table5[[#This Row],[Rider Penalty (Claim, Other Denda to Riders)]]),0)</f>
        <v>0.14780283505995934</v>
      </c>
      <c r="AI334" s="57">
        <f t="shared" si="66"/>
        <v>3899999.625</v>
      </c>
      <c r="AJ334" s="41">
        <f t="shared" si="62"/>
        <v>5.5841919329048105E-2</v>
      </c>
      <c r="AV334" s="109">
        <f>Table5[[#This Row],[Total Selling Comission/Sales (Weekly)]]/Table5[[#This Row],[Total Revenue Sharing % (Weekly)]]*100%</f>
        <v>0.49735100893489242</v>
      </c>
      <c r="AW334" s="109">
        <f>Table5[[#This Row],[Total Daily Incentive (Weekly)]]/Table5[[#This Row],[Total Revenue Sharing % (Weekly)]]*100%</f>
        <v>0.34562007412123719</v>
      </c>
      <c r="AX334" s="109">
        <f>(N334+O334)/Z334*100%</f>
        <v>0.84297108305612956</v>
      </c>
    </row>
    <row r="335" spans="1:50" hidden="1">
      <c r="A335" s="41">
        <v>2025</v>
      </c>
      <c r="B335" s="41" t="s">
        <v>23</v>
      </c>
      <c r="C335" s="41" t="s">
        <v>172</v>
      </c>
      <c r="D335" s="41" t="s">
        <v>168</v>
      </c>
      <c r="E335" s="41" t="s">
        <v>28</v>
      </c>
      <c r="F335" s="41" t="s">
        <v>31</v>
      </c>
      <c r="G335" s="41">
        <v>23</v>
      </c>
      <c r="H335" s="41" t="s">
        <v>156</v>
      </c>
      <c r="I335" s="41" t="s">
        <v>275</v>
      </c>
      <c r="J335" s="150" t="s">
        <v>361</v>
      </c>
      <c r="K335" s="16">
        <v>23</v>
      </c>
      <c r="L335" s="16">
        <v>7686</v>
      </c>
      <c r="M335" s="16">
        <v>67626000</v>
      </c>
      <c r="N335" s="16">
        <v>7685000</v>
      </c>
      <c r="O335" s="16">
        <v>5325000</v>
      </c>
      <c r="P335" s="16">
        <v>0</v>
      </c>
      <c r="Q335" s="16"/>
      <c r="R335" s="16">
        <v>0</v>
      </c>
      <c r="S335" s="16"/>
      <c r="T335" s="16">
        <f t="shared" si="65"/>
        <v>13010000</v>
      </c>
      <c r="U335" s="16">
        <f>3*75000</f>
        <v>225000</v>
      </c>
      <c r="V335" s="16">
        <v>5530000</v>
      </c>
      <c r="W335" s="16">
        <v>0</v>
      </c>
      <c r="X335" s="16">
        <v>411870.96774193551</v>
      </c>
      <c r="Y335" s="16">
        <f t="shared" si="64"/>
        <v>6166870.9677419355</v>
      </c>
      <c r="Z335" s="16">
        <f>23%*M335</f>
        <v>15553980</v>
      </c>
      <c r="AA335" s="16">
        <v>2844000</v>
      </c>
      <c r="AB335" s="16">
        <f>7/8*3565714</f>
        <v>3119999.75</v>
      </c>
      <c r="AC335" s="16"/>
      <c r="AD335" s="16">
        <v>0</v>
      </c>
      <c r="AE335" s="16">
        <f t="shared" si="60"/>
        <v>21517979.75</v>
      </c>
      <c r="AF335" s="16">
        <f t="shared" si="61"/>
        <v>2341108.7822580636</v>
      </c>
      <c r="AG33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1907109.0322580645</v>
      </c>
      <c r="AH335" s="13">
        <f>IFERROR(AG335/(Z335+Table5[[#This Row],[Rider Penalty (Claim, Other Denda to Riders)]]),0)</f>
        <v>0.12261228523233697</v>
      </c>
      <c r="AI335" s="12">
        <f t="shared" si="66"/>
        <v>433999.75</v>
      </c>
      <c r="AJ335" s="16">
        <f t="shared" si="62"/>
        <v>7.2769914183849524E-2</v>
      </c>
      <c r="AK335" s="16"/>
      <c r="AV335" s="109">
        <f>Table5[[#This Row],[Total Selling Comission/Sales (Weekly)]]/Table5[[#This Row],[Total Revenue Sharing % (Weekly)]]*100%</f>
        <v>0.49408575811464334</v>
      </c>
      <c r="AW335" s="109">
        <f>Table5[[#This Row],[Total Daily Incentive (Weekly)]]/Table5[[#This Row],[Total Revenue Sharing % (Weekly)]]*100%</f>
        <v>0.34235610435399816</v>
      </c>
      <c r="AX335" s="109">
        <f>(N335+O335)/Z335*100%</f>
        <v>0.83644186246864149</v>
      </c>
    </row>
    <row r="336" spans="1:50" hidden="1">
      <c r="A336" s="41">
        <v>2025</v>
      </c>
      <c r="B336" s="41" t="s">
        <v>27</v>
      </c>
      <c r="C336" s="41" t="s">
        <v>27</v>
      </c>
      <c r="D336" s="41" t="s">
        <v>169</v>
      </c>
      <c r="E336" s="41" t="s">
        <v>28</v>
      </c>
      <c r="F336" s="48" t="s">
        <v>28</v>
      </c>
      <c r="G336" s="41">
        <v>23</v>
      </c>
      <c r="H336" s="41" t="s">
        <v>156</v>
      </c>
      <c r="I336" s="41" t="s">
        <v>275</v>
      </c>
      <c r="J336" s="150" t="s">
        <v>361</v>
      </c>
      <c r="K336" s="16">
        <v>4</v>
      </c>
      <c r="L336" s="16">
        <v>838</v>
      </c>
      <c r="M336" s="16">
        <v>6764000</v>
      </c>
      <c r="N336" s="16">
        <v>838000</v>
      </c>
      <c r="O336" s="16">
        <v>750000</v>
      </c>
      <c r="P336" s="16">
        <v>0</v>
      </c>
      <c r="Q336" s="16"/>
      <c r="R336" s="16">
        <v>0</v>
      </c>
      <c r="S336" s="16"/>
      <c r="T336" s="16">
        <f t="shared" si="65"/>
        <v>1588000</v>
      </c>
      <c r="U336" s="16">
        <v>0</v>
      </c>
      <c r="V336" s="16">
        <v>980000</v>
      </c>
      <c r="W336" s="16">
        <v>0</v>
      </c>
      <c r="X336" s="16">
        <v>0</v>
      </c>
      <c r="Y336" s="16">
        <f t="shared" si="64"/>
        <v>980000</v>
      </c>
      <c r="Z336" s="16">
        <f>20%*M336</f>
        <v>1352800</v>
      </c>
      <c r="AA336" s="16">
        <v>280000</v>
      </c>
      <c r="AB336" s="16">
        <v>575000</v>
      </c>
      <c r="AC336" s="16"/>
      <c r="AD336" s="16">
        <v>0</v>
      </c>
      <c r="AE336" s="16">
        <f t="shared" si="60"/>
        <v>2207800</v>
      </c>
      <c r="AF336" s="16">
        <f t="shared" si="61"/>
        <v>-360200</v>
      </c>
      <c r="AG33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-235200</v>
      </c>
      <c r="AH336" s="13">
        <f>IFERROR(AG336/(Z336+Table5[[#This Row],[Rider Penalty (Claim, Other Denda to Riders)]]),0)</f>
        <v>-0.17386162034299232</v>
      </c>
      <c r="AI336" s="12">
        <f t="shared" si="66"/>
        <v>-125000</v>
      </c>
      <c r="AJ336" s="16">
        <f t="shared" si="62"/>
        <v>-0.14619883040935672</v>
      </c>
      <c r="AK336" s="16"/>
      <c r="AV336" s="109"/>
      <c r="AW336" s="109"/>
      <c r="AX336" s="109"/>
    </row>
    <row r="337" spans="1:50" hidden="1">
      <c r="A337" s="41">
        <v>2025</v>
      </c>
      <c r="B337" s="41" t="s">
        <v>29</v>
      </c>
      <c r="C337" s="41" t="s">
        <v>29</v>
      </c>
      <c r="D337" s="41" t="s">
        <v>169</v>
      </c>
      <c r="E337" s="41" t="s">
        <v>28</v>
      </c>
      <c r="F337" s="41" t="s">
        <v>28</v>
      </c>
      <c r="G337" s="41">
        <v>23</v>
      </c>
      <c r="H337" s="41" t="s">
        <v>156</v>
      </c>
      <c r="I337" s="41" t="s">
        <v>275</v>
      </c>
      <c r="J337" s="150" t="s">
        <v>361</v>
      </c>
      <c r="K337" s="16">
        <v>1</v>
      </c>
      <c r="L337" s="16">
        <v>81</v>
      </c>
      <c r="M337" s="16">
        <v>750000</v>
      </c>
      <c r="N337" s="16">
        <v>81000</v>
      </c>
      <c r="O337" s="16">
        <v>150000</v>
      </c>
      <c r="P337" s="16">
        <v>0</v>
      </c>
      <c r="Q337" s="16"/>
      <c r="R337" s="16">
        <v>0</v>
      </c>
      <c r="S337" s="16"/>
      <c r="T337" s="16">
        <f t="shared" si="65"/>
        <v>231000</v>
      </c>
      <c r="U337" s="16">
        <v>0</v>
      </c>
      <c r="V337" s="16">
        <v>245000</v>
      </c>
      <c r="W337" s="16">
        <v>0</v>
      </c>
      <c r="X337" s="16">
        <v>0</v>
      </c>
      <c r="Y337" s="16">
        <f t="shared" si="64"/>
        <v>245000</v>
      </c>
      <c r="Z337" s="16">
        <f>20%*M337</f>
        <v>150000</v>
      </c>
      <c r="AA337" s="16">
        <v>70000</v>
      </c>
      <c r="AB337" s="16">
        <v>150000</v>
      </c>
      <c r="AC337" s="16"/>
      <c r="AD337" s="16">
        <v>0</v>
      </c>
      <c r="AE337" s="16">
        <f t="shared" si="60"/>
        <v>370000</v>
      </c>
      <c r="AF337" s="16">
        <f t="shared" si="61"/>
        <v>-106000</v>
      </c>
      <c r="AG33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-81000</v>
      </c>
      <c r="AH337" s="13">
        <f>IFERROR(AG337/(Z337+Table5[[#This Row],[Rider Penalty (Claim, Other Denda to Riders)]]),0)</f>
        <v>-0.54</v>
      </c>
      <c r="AI337" s="12">
        <f t="shared" si="66"/>
        <v>-25000</v>
      </c>
      <c r="AJ337" s="16">
        <f t="shared" si="62"/>
        <v>-0.11363636363636363</v>
      </c>
      <c r="AK337" s="16"/>
      <c r="AV337" s="109"/>
      <c r="AW337" s="109"/>
      <c r="AX337" s="109"/>
    </row>
    <row r="338" spans="1:50" hidden="1">
      <c r="A338" s="41">
        <v>2025</v>
      </c>
      <c r="B338" s="41" t="s">
        <v>171</v>
      </c>
      <c r="C338" s="41" t="s">
        <v>171</v>
      </c>
      <c r="D338" s="41" t="s">
        <v>168</v>
      </c>
      <c r="E338" s="41" t="s">
        <v>28</v>
      </c>
      <c r="F338" s="41" t="s">
        <v>28</v>
      </c>
      <c r="G338" s="41">
        <v>23</v>
      </c>
      <c r="H338" s="41" t="s">
        <v>156</v>
      </c>
      <c r="I338" s="41" t="s">
        <v>275</v>
      </c>
      <c r="J338" s="150" t="s">
        <v>361</v>
      </c>
      <c r="K338" s="16">
        <v>1</v>
      </c>
      <c r="L338" s="16">
        <v>24</v>
      </c>
      <c r="M338" s="16">
        <v>203000</v>
      </c>
      <c r="N338" s="16">
        <v>24000</v>
      </c>
      <c r="O338" s="16">
        <v>50000</v>
      </c>
      <c r="P338" s="16">
        <v>0</v>
      </c>
      <c r="Q338" s="16"/>
      <c r="R338" s="16">
        <v>0</v>
      </c>
      <c r="S338" s="16"/>
      <c r="T338" s="16">
        <f t="shared" si="65"/>
        <v>74000</v>
      </c>
      <c r="U338" s="16">
        <v>0</v>
      </c>
      <c r="V338" s="16">
        <v>245000</v>
      </c>
      <c r="W338" s="16">
        <v>0</v>
      </c>
      <c r="X338" s="16">
        <v>0</v>
      </c>
      <c r="Y338" s="16">
        <f t="shared" si="64"/>
        <v>245000</v>
      </c>
      <c r="Z338" s="16">
        <f>30%*M338</f>
        <v>60900</v>
      </c>
      <c r="AA338" s="16">
        <v>70000</v>
      </c>
      <c r="AB338" s="16">
        <v>0</v>
      </c>
      <c r="AC338" s="16"/>
      <c r="AD338" s="16">
        <v>0</v>
      </c>
      <c r="AE338" s="16">
        <f t="shared" si="60"/>
        <v>130900</v>
      </c>
      <c r="AF338" s="16">
        <f t="shared" si="61"/>
        <v>-188100</v>
      </c>
      <c r="AG33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-13100</v>
      </c>
      <c r="AH338" s="13">
        <f>IFERROR(AG338/(Z338+Table5[[#This Row],[Rider Penalty (Claim, Other Denda to Riders)]]),0)</f>
        <v>-0.21510673234811165</v>
      </c>
      <c r="AI338" s="12">
        <f t="shared" si="66"/>
        <v>-175000</v>
      </c>
      <c r="AJ338" s="16">
        <f t="shared" si="62"/>
        <v>-2.5</v>
      </c>
      <c r="AK338" s="16"/>
      <c r="AV338" s="109"/>
      <c r="AW338" s="109"/>
      <c r="AX338" s="109"/>
    </row>
    <row r="339" spans="1:50" hidden="1">
      <c r="A339" s="41">
        <v>2025</v>
      </c>
      <c r="B339" s="41" t="s">
        <v>33</v>
      </c>
      <c r="C339" s="41" t="s">
        <v>33</v>
      </c>
      <c r="D339" s="41" t="s">
        <v>169</v>
      </c>
      <c r="E339" s="41" t="s">
        <v>28</v>
      </c>
      <c r="F339" s="41" t="s">
        <v>28</v>
      </c>
      <c r="G339" s="41">
        <v>23</v>
      </c>
      <c r="H339" s="41" t="s">
        <v>156</v>
      </c>
      <c r="I339" s="41" t="s">
        <v>275</v>
      </c>
      <c r="J339" s="150" t="s">
        <v>361</v>
      </c>
      <c r="K339" s="16">
        <v>2</v>
      </c>
      <c r="L339" s="16">
        <v>171</v>
      </c>
      <c r="M339" s="16">
        <v>1554000</v>
      </c>
      <c r="N339" s="16">
        <v>171000</v>
      </c>
      <c r="O339" s="16">
        <v>225000</v>
      </c>
      <c r="P339" s="16">
        <v>0</v>
      </c>
      <c r="Q339" s="16"/>
      <c r="R339" s="16">
        <v>0</v>
      </c>
      <c r="S339" s="16"/>
      <c r="T339" s="16">
        <f t="shared" si="65"/>
        <v>396000</v>
      </c>
      <c r="U339" s="16">
        <v>0</v>
      </c>
      <c r="V339" s="16">
        <v>490000</v>
      </c>
      <c r="W339" s="16">
        <v>0</v>
      </c>
      <c r="X339" s="16">
        <v>0</v>
      </c>
      <c r="Y339" s="16">
        <f t="shared" si="64"/>
        <v>490000</v>
      </c>
      <c r="Z339" s="16">
        <f>20%*M339</f>
        <v>310800</v>
      </c>
      <c r="AA339" s="16">
        <v>130000</v>
      </c>
      <c r="AB339" s="16">
        <v>225000</v>
      </c>
      <c r="AC339" s="16"/>
      <c r="AD339" s="16">
        <v>0</v>
      </c>
      <c r="AE339" s="16">
        <f t="shared" si="60"/>
        <v>665800</v>
      </c>
      <c r="AF339" s="16">
        <f t="shared" si="61"/>
        <v>-220200</v>
      </c>
      <c r="AG33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-85200</v>
      </c>
      <c r="AH339" s="13">
        <f>IFERROR(AG339/(Z339+Table5[[#This Row],[Rider Penalty (Claim, Other Denda to Riders)]]),0)</f>
        <v>-0.27413127413127414</v>
      </c>
      <c r="AI339" s="12">
        <f t="shared" si="66"/>
        <v>-135000</v>
      </c>
      <c r="AJ339" s="16">
        <f t="shared" si="62"/>
        <v>-0.38028169014084506</v>
      </c>
      <c r="AK339" s="16"/>
      <c r="AV339" s="109"/>
      <c r="AW339" s="109"/>
      <c r="AX339" s="109"/>
    </row>
    <row r="340" spans="1:50" hidden="1">
      <c r="A340" s="41">
        <v>2025</v>
      </c>
      <c r="B340" s="41" t="s">
        <v>175</v>
      </c>
      <c r="C340" s="41" t="s">
        <v>175</v>
      </c>
      <c r="D340" s="41" t="s">
        <v>169</v>
      </c>
      <c r="E340" s="41" t="s">
        <v>28</v>
      </c>
      <c r="F340" s="41" t="s">
        <v>28</v>
      </c>
      <c r="G340" s="41">
        <v>23</v>
      </c>
      <c r="H340" s="41" t="s">
        <v>156</v>
      </c>
      <c r="I340" s="41" t="s">
        <v>275</v>
      </c>
      <c r="J340" s="150" t="s">
        <v>361</v>
      </c>
      <c r="K340" s="16">
        <v>4</v>
      </c>
      <c r="L340" s="16">
        <v>386</v>
      </c>
      <c r="M340" s="16">
        <v>2516000</v>
      </c>
      <c r="N340" s="16">
        <v>386000</v>
      </c>
      <c r="O340" s="16">
        <v>580000</v>
      </c>
      <c r="P340" s="16">
        <v>0</v>
      </c>
      <c r="Q340" s="16"/>
      <c r="R340" s="16">
        <v>0</v>
      </c>
      <c r="S340" s="16"/>
      <c r="T340" s="16">
        <f t="shared" si="65"/>
        <v>966000</v>
      </c>
      <c r="U340" s="16">
        <v>0</v>
      </c>
      <c r="V340" s="16">
        <v>980000</v>
      </c>
      <c r="W340" s="16">
        <v>0</v>
      </c>
      <c r="X340" s="16">
        <v>0</v>
      </c>
      <c r="Y340" s="16">
        <f t="shared" si="64"/>
        <v>980000</v>
      </c>
      <c r="Z340" s="57">
        <f>29%*M340</f>
        <v>729640</v>
      </c>
      <c r="AA340" s="16">
        <v>280000</v>
      </c>
      <c r="AB340" s="16">
        <v>0</v>
      </c>
      <c r="AC340" s="16"/>
      <c r="AD340" s="16">
        <v>0</v>
      </c>
      <c r="AE340" s="16">
        <f t="shared" si="60"/>
        <v>1009640</v>
      </c>
      <c r="AF340" s="16">
        <f t="shared" si="61"/>
        <v>-936360</v>
      </c>
      <c r="AG34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-236360</v>
      </c>
      <c r="AH340" s="13">
        <f>IFERROR(AG340/(Z340+Table5[[#This Row],[Rider Penalty (Claim, Other Denda to Riders)]]),0)</f>
        <v>-0.32394057343347404</v>
      </c>
      <c r="AI340" s="12">
        <f t="shared" si="66"/>
        <v>-700000</v>
      </c>
      <c r="AJ340" s="16">
        <f t="shared" si="62"/>
        <v>-2.5</v>
      </c>
      <c r="AK340" s="16"/>
      <c r="AV340" s="109"/>
      <c r="AW340" s="109"/>
      <c r="AX340" s="109"/>
    </row>
    <row r="341" spans="1:50" hidden="1">
      <c r="A341" s="41">
        <v>2025</v>
      </c>
      <c r="B341" s="54" t="s">
        <v>23</v>
      </c>
      <c r="C341" s="54" t="s">
        <v>23</v>
      </c>
      <c r="D341" s="54" t="s">
        <v>168</v>
      </c>
      <c r="E341" s="54" t="s">
        <v>28</v>
      </c>
      <c r="F341" s="54" t="s">
        <v>25</v>
      </c>
      <c r="G341" s="41">
        <v>24</v>
      </c>
      <c r="H341" s="41" t="s">
        <v>156</v>
      </c>
      <c r="I341" s="41" t="s">
        <v>256</v>
      </c>
      <c r="J341" s="150" t="s">
        <v>360</v>
      </c>
      <c r="K341" s="143">
        <v>271</v>
      </c>
      <c r="L341" s="144">
        <v>84711</v>
      </c>
      <c r="M341" s="54">
        <v>762978000</v>
      </c>
      <c r="N341" s="54">
        <v>88544685</v>
      </c>
      <c r="O341" s="54">
        <v>66732500</v>
      </c>
      <c r="P341" s="54">
        <v>0</v>
      </c>
      <c r="Q341" s="54"/>
      <c r="R341" s="54">
        <v>0</v>
      </c>
      <c r="S341" s="54"/>
      <c r="T341" s="54">
        <f t="shared" si="65"/>
        <v>155277185</v>
      </c>
      <c r="U341" s="54">
        <f>(18*75000)+(7*100000)</f>
        <v>2050000</v>
      </c>
      <c r="V341" s="110">
        <v>65345000</v>
      </c>
      <c r="W341" s="16">
        <v>0</v>
      </c>
      <c r="X341" s="54">
        <v>648064.51612903224</v>
      </c>
      <c r="Y341" s="54">
        <f t="shared" si="64"/>
        <v>68043064.516129032</v>
      </c>
      <c r="Z341" s="54">
        <f>26%*M341</f>
        <v>198374280</v>
      </c>
      <c r="AA341" s="54">
        <v>46675000</v>
      </c>
      <c r="AB341" s="54">
        <v>0</v>
      </c>
      <c r="AC341" s="54"/>
      <c r="AD341" s="54">
        <v>0</v>
      </c>
      <c r="AE341" s="41">
        <f t="shared" si="60"/>
        <v>245049280</v>
      </c>
      <c r="AF341" s="57">
        <f t="shared" si="61"/>
        <v>21729030.483870983</v>
      </c>
      <c r="AG34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40399030.483870968</v>
      </c>
      <c r="AH341" s="59">
        <f>IFERROR(AG341/(Z341+Table5[[#This Row],[Rider Penalty (Claim, Other Denda to Riders)]]),0)</f>
        <v>0.20365054624959933</v>
      </c>
      <c r="AI341" s="57">
        <f t="shared" si="66"/>
        <v>-18670000</v>
      </c>
      <c r="AJ341" s="41">
        <f t="shared" si="62"/>
        <v>-0.4</v>
      </c>
      <c r="AK341" s="88" t="s">
        <v>400</v>
      </c>
      <c r="AV341" s="109">
        <f>Table5[[#This Row],[Total Selling Comission/Sales (Weekly)]]/Table5[[#This Row],[Total Revenue Sharing % (Weekly)]]*100%</f>
        <v>0.44635163893222446</v>
      </c>
      <c r="AW341" s="109">
        <f>Table5[[#This Row],[Total Daily Incentive (Weekly)]]/Table5[[#This Row],[Total Revenue Sharing % (Weekly)]]*100%</f>
        <v>0.33639693613506749</v>
      </c>
      <c r="AX341" s="109">
        <f>(N341+O341)/Z341*100%</f>
        <v>0.78274857506729201</v>
      </c>
    </row>
    <row r="342" spans="1:50" hidden="1">
      <c r="A342" s="41">
        <v>2025</v>
      </c>
      <c r="B342" s="41" t="s">
        <v>23</v>
      </c>
      <c r="C342" s="41" t="s">
        <v>172</v>
      </c>
      <c r="D342" s="41" t="s">
        <v>168</v>
      </c>
      <c r="E342" s="41" t="s">
        <v>28</v>
      </c>
      <c r="F342" s="41" t="s">
        <v>31</v>
      </c>
      <c r="G342" s="41">
        <v>24</v>
      </c>
      <c r="H342" s="41" t="s">
        <v>156</v>
      </c>
      <c r="I342" s="41" t="s">
        <v>256</v>
      </c>
      <c r="J342" s="150" t="s">
        <v>360</v>
      </c>
      <c r="K342" s="16">
        <v>23</v>
      </c>
      <c r="L342" s="16">
        <v>8082</v>
      </c>
      <c r="M342" s="16">
        <v>70808000</v>
      </c>
      <c r="N342" s="16">
        <v>8406454</v>
      </c>
      <c r="O342" s="16">
        <v>6382500</v>
      </c>
      <c r="P342" s="16">
        <v>0</v>
      </c>
      <c r="Q342" s="16"/>
      <c r="R342" s="16">
        <v>0</v>
      </c>
      <c r="S342" s="16"/>
      <c r="T342" s="16">
        <f t="shared" si="65"/>
        <v>14788954</v>
      </c>
      <c r="U342" s="16">
        <f>6*75000</f>
        <v>450000</v>
      </c>
      <c r="V342" s="16">
        <v>5635000</v>
      </c>
      <c r="W342" s="16">
        <v>0</v>
      </c>
      <c r="X342" s="16">
        <v>411870.96774193551</v>
      </c>
      <c r="Y342" s="16">
        <f t="shared" si="64"/>
        <v>6496870.9677419355</v>
      </c>
      <c r="Z342" s="54">
        <f>26%*M342</f>
        <v>18410080</v>
      </c>
      <c r="AA342" s="16">
        <v>4025000</v>
      </c>
      <c r="AB342" s="16">
        <v>0</v>
      </c>
      <c r="AC342" s="16"/>
      <c r="AD342" s="16">
        <v>0</v>
      </c>
      <c r="AE342" s="16">
        <f t="shared" si="60"/>
        <v>22435080</v>
      </c>
      <c r="AF342" s="16">
        <f t="shared" si="61"/>
        <v>1149255.0322580636</v>
      </c>
      <c r="AG34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2759255.0322580645</v>
      </c>
      <c r="AH342" s="13">
        <f>IFERROR(AG342/(Z342+Table5[[#This Row],[Rider Penalty (Claim, Other Denda to Riders)]]),0)</f>
        <v>0.14987740586993997</v>
      </c>
      <c r="AI342" s="12">
        <f t="shared" si="66"/>
        <v>-1610000</v>
      </c>
      <c r="AJ342" s="16">
        <f t="shared" si="62"/>
        <v>-0.4</v>
      </c>
      <c r="AK342" s="88" t="s">
        <v>400</v>
      </c>
      <c r="AV342" s="109">
        <f>Table5[[#This Row],[Total Selling Comission/Sales (Weekly)]]/Table5[[#This Row],[Total Revenue Sharing % (Weekly)]]*100%</f>
        <v>0.45662235036458287</v>
      </c>
      <c r="AW342" s="109">
        <f>Table5[[#This Row],[Total Daily Incentive (Weekly)]]/Table5[[#This Row],[Total Revenue Sharing % (Weekly)]]*100%</f>
        <v>0.34668507687093159</v>
      </c>
      <c r="AX342" s="109">
        <f>(N342+O342)/Z342*100%</f>
        <v>0.8033074272355144</v>
      </c>
    </row>
    <row r="343" spans="1:50" hidden="1">
      <c r="A343" s="41">
        <v>2025</v>
      </c>
      <c r="B343" s="41" t="s">
        <v>27</v>
      </c>
      <c r="C343" s="41" t="s">
        <v>27</v>
      </c>
      <c r="D343" s="41" t="s">
        <v>169</v>
      </c>
      <c r="E343" s="41" t="s">
        <v>28</v>
      </c>
      <c r="F343" s="48" t="s">
        <v>28</v>
      </c>
      <c r="G343" s="41">
        <v>24</v>
      </c>
      <c r="H343" s="41" t="s">
        <v>156</v>
      </c>
      <c r="I343" s="41" t="s">
        <v>256</v>
      </c>
      <c r="J343" s="150" t="s">
        <v>360</v>
      </c>
      <c r="K343" s="16">
        <v>4</v>
      </c>
      <c r="L343" s="16">
        <v>744</v>
      </c>
      <c r="M343" s="16">
        <v>6432000</v>
      </c>
      <c r="N343" s="16">
        <v>744000</v>
      </c>
      <c r="O343" s="16">
        <v>725000</v>
      </c>
      <c r="P343" s="16">
        <v>0</v>
      </c>
      <c r="Q343" s="16"/>
      <c r="R343" s="16">
        <v>0</v>
      </c>
      <c r="S343" s="16"/>
      <c r="T343" s="16">
        <f t="shared" si="65"/>
        <v>1469000</v>
      </c>
      <c r="U343" s="16">
        <v>0</v>
      </c>
      <c r="V343" s="16">
        <v>980000</v>
      </c>
      <c r="W343" s="16">
        <v>0</v>
      </c>
      <c r="X343" s="16">
        <v>0</v>
      </c>
      <c r="Y343" s="16">
        <f t="shared" si="64"/>
        <v>980000</v>
      </c>
      <c r="Z343" s="16">
        <f>20%*M343</f>
        <v>1286400</v>
      </c>
      <c r="AA343" s="16">
        <v>280000</v>
      </c>
      <c r="AB343" s="16">
        <v>575000</v>
      </c>
      <c r="AC343" s="16"/>
      <c r="AD343" s="16">
        <v>0</v>
      </c>
      <c r="AE343" s="16">
        <f t="shared" si="60"/>
        <v>2141400</v>
      </c>
      <c r="AF343" s="16">
        <f t="shared" si="61"/>
        <v>-307600</v>
      </c>
      <c r="AG34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-182600</v>
      </c>
      <c r="AH343" s="13">
        <f>IFERROR(AG343/(Z343+Table5[[#This Row],[Rider Penalty (Claim, Other Denda to Riders)]]),0)</f>
        <v>-0.14194651741293532</v>
      </c>
      <c r="AI343" s="12">
        <f t="shared" si="66"/>
        <v>-125000</v>
      </c>
      <c r="AJ343" s="16">
        <f t="shared" si="62"/>
        <v>-0.14619883040935672</v>
      </c>
      <c r="AK343" s="88" t="s">
        <v>400</v>
      </c>
      <c r="AV343" s="109"/>
      <c r="AW343" s="109"/>
      <c r="AX343" s="109"/>
    </row>
    <row r="344" spans="1:50" hidden="1">
      <c r="A344" s="41">
        <v>2025</v>
      </c>
      <c r="B344" s="41" t="s">
        <v>29</v>
      </c>
      <c r="C344" s="41" t="s">
        <v>29</v>
      </c>
      <c r="D344" s="41" t="s">
        <v>169</v>
      </c>
      <c r="E344" s="41" t="s">
        <v>28</v>
      </c>
      <c r="F344" s="41" t="s">
        <v>28</v>
      </c>
      <c r="G344" s="41">
        <v>24</v>
      </c>
      <c r="H344" s="41" t="s">
        <v>156</v>
      </c>
      <c r="I344" s="41" t="s">
        <v>256</v>
      </c>
      <c r="J344" s="150" t="s">
        <v>360</v>
      </c>
      <c r="K344" s="16">
        <v>4</v>
      </c>
      <c r="L344" s="16">
        <v>314</v>
      </c>
      <c r="M344" s="16">
        <v>2918000</v>
      </c>
      <c r="N344" s="16">
        <v>314000</v>
      </c>
      <c r="O344" s="16">
        <v>425000</v>
      </c>
      <c r="P344" s="16">
        <v>0</v>
      </c>
      <c r="Q344" s="16"/>
      <c r="R344" s="16">
        <v>0</v>
      </c>
      <c r="S344" s="16"/>
      <c r="T344" s="16">
        <f t="shared" si="65"/>
        <v>739000</v>
      </c>
      <c r="U344" s="16">
        <v>0</v>
      </c>
      <c r="V344" s="16">
        <v>700000</v>
      </c>
      <c r="W344" s="16">
        <v>0</v>
      </c>
      <c r="X344" s="16">
        <v>0</v>
      </c>
      <c r="Y344" s="16">
        <f t="shared" si="64"/>
        <v>700000</v>
      </c>
      <c r="Z344" s="16">
        <f>20%*M344</f>
        <v>583600</v>
      </c>
      <c r="AA344" s="16">
        <v>200000</v>
      </c>
      <c r="AB344" s="16">
        <v>425000</v>
      </c>
      <c r="AC344" s="16"/>
      <c r="AD344" s="16">
        <v>0</v>
      </c>
      <c r="AE344" s="16">
        <f t="shared" si="60"/>
        <v>1208600</v>
      </c>
      <c r="AF344" s="16">
        <f t="shared" si="61"/>
        <v>-230400</v>
      </c>
      <c r="AG34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-155400</v>
      </c>
      <c r="AH344" s="13">
        <f>IFERROR(AG344/(Z344+Table5[[#This Row],[Rider Penalty (Claim, Other Denda to Riders)]]),0)</f>
        <v>-0.26627827278958188</v>
      </c>
      <c r="AI344" s="12">
        <f t="shared" si="66"/>
        <v>-75000</v>
      </c>
      <c r="AJ344" s="16">
        <f t="shared" si="62"/>
        <v>-0.12</v>
      </c>
      <c r="AK344" s="88" t="s">
        <v>400</v>
      </c>
      <c r="AV344" s="109"/>
      <c r="AW344" s="109"/>
      <c r="AX344" s="109"/>
    </row>
    <row r="345" spans="1:50" hidden="1">
      <c r="A345" s="41">
        <v>2025</v>
      </c>
      <c r="B345" s="41" t="s">
        <v>176</v>
      </c>
      <c r="C345" s="41" t="s">
        <v>176</v>
      </c>
      <c r="D345" s="41" t="s">
        <v>169</v>
      </c>
      <c r="E345" s="41" t="s">
        <v>28</v>
      </c>
      <c r="F345" s="41" t="s">
        <v>28</v>
      </c>
      <c r="G345" s="41">
        <v>24</v>
      </c>
      <c r="H345" s="41" t="s">
        <v>156</v>
      </c>
      <c r="I345" s="41" t="s">
        <v>256</v>
      </c>
      <c r="J345" s="150" t="s">
        <v>360</v>
      </c>
      <c r="K345" s="16">
        <v>9</v>
      </c>
      <c r="L345" s="16">
        <v>774</v>
      </c>
      <c r="M345" s="16">
        <v>7320000</v>
      </c>
      <c r="N345" s="16">
        <v>774000</v>
      </c>
      <c r="O345" s="16">
        <v>850000</v>
      </c>
      <c r="P345" s="16">
        <v>0</v>
      </c>
      <c r="Q345" s="16"/>
      <c r="R345" s="16">
        <v>0</v>
      </c>
      <c r="S345" s="16"/>
      <c r="T345" s="16">
        <f t="shared" ref="T345:T376" si="67">SUM(N345:R345)</f>
        <v>1624000</v>
      </c>
      <c r="U345" s="16">
        <v>0</v>
      </c>
      <c r="V345" s="16">
        <v>1365000</v>
      </c>
      <c r="W345" s="16">
        <v>0</v>
      </c>
      <c r="X345" s="16">
        <v>0</v>
      </c>
      <c r="Y345" s="16">
        <f t="shared" si="64"/>
        <v>1365000</v>
      </c>
      <c r="Z345" s="16">
        <f>30%*M345</f>
        <v>2196000</v>
      </c>
      <c r="AA345" s="16">
        <v>390000</v>
      </c>
      <c r="AB345" s="16">
        <v>0</v>
      </c>
      <c r="AC345" s="16"/>
      <c r="AD345" s="16">
        <v>0</v>
      </c>
      <c r="AE345" s="16">
        <f t="shared" si="60"/>
        <v>2586000</v>
      </c>
      <c r="AF345" s="16">
        <f t="shared" si="61"/>
        <v>-403000</v>
      </c>
      <c r="AG34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572000</v>
      </c>
      <c r="AH345" s="13">
        <f>IFERROR(AG345/(Z345+Table5[[#This Row],[Rider Penalty (Claim, Other Denda to Riders)]]),0)</f>
        <v>0.26047358834244078</v>
      </c>
      <c r="AI345" s="12">
        <f t="shared" si="66"/>
        <v>-975000</v>
      </c>
      <c r="AJ345" s="16">
        <f t="shared" si="62"/>
        <v>-2.5</v>
      </c>
      <c r="AK345" s="88" t="s">
        <v>400</v>
      </c>
      <c r="AV345" s="109"/>
      <c r="AW345" s="109"/>
      <c r="AX345" s="109"/>
    </row>
    <row r="346" spans="1:50" hidden="1">
      <c r="A346" s="41">
        <v>2025</v>
      </c>
      <c r="B346" s="41" t="s">
        <v>33</v>
      </c>
      <c r="C346" s="41" t="s">
        <v>33</v>
      </c>
      <c r="D346" s="41" t="s">
        <v>169</v>
      </c>
      <c r="E346" s="41" t="s">
        <v>28</v>
      </c>
      <c r="F346" s="41" t="s">
        <v>28</v>
      </c>
      <c r="G346" s="41">
        <v>24</v>
      </c>
      <c r="H346" s="41" t="s">
        <v>156</v>
      </c>
      <c r="I346" s="41" t="s">
        <v>256</v>
      </c>
      <c r="J346" s="150" t="s">
        <v>360</v>
      </c>
      <c r="K346" s="16">
        <v>2</v>
      </c>
      <c r="L346" s="16">
        <v>140</v>
      </c>
      <c r="M346" s="16">
        <v>1270000</v>
      </c>
      <c r="N346" s="16">
        <v>140000</v>
      </c>
      <c r="O346" s="16">
        <v>200000</v>
      </c>
      <c r="P346" s="16">
        <v>0</v>
      </c>
      <c r="Q346" s="16"/>
      <c r="R346" s="16">
        <v>0</v>
      </c>
      <c r="S346" s="16"/>
      <c r="T346" s="16">
        <f t="shared" si="67"/>
        <v>340000</v>
      </c>
      <c r="U346" s="16">
        <v>0</v>
      </c>
      <c r="V346" s="16">
        <v>490000</v>
      </c>
      <c r="W346" s="16">
        <v>0</v>
      </c>
      <c r="X346" s="16">
        <v>0</v>
      </c>
      <c r="Y346" s="16">
        <f t="shared" si="64"/>
        <v>490000</v>
      </c>
      <c r="Z346" s="16">
        <f>20%*M346</f>
        <v>254000</v>
      </c>
      <c r="AA346" s="16">
        <v>130000</v>
      </c>
      <c r="AB346" s="16">
        <v>200000</v>
      </c>
      <c r="AC346" s="16"/>
      <c r="AD346" s="16">
        <v>0</v>
      </c>
      <c r="AE346" s="16">
        <f t="shared" si="60"/>
        <v>584000</v>
      </c>
      <c r="AF346" s="16">
        <f t="shared" si="61"/>
        <v>-246000</v>
      </c>
      <c r="AG34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-86000</v>
      </c>
      <c r="AH346" s="13">
        <f>IFERROR(AG346/(Z346+Table5[[#This Row],[Rider Penalty (Claim, Other Denda to Riders)]]),0)</f>
        <v>-0.33858267716535434</v>
      </c>
      <c r="AI346" s="12">
        <f t="shared" si="66"/>
        <v>-160000</v>
      </c>
      <c r="AJ346" s="16">
        <f t="shared" si="62"/>
        <v>-0.48484848484848486</v>
      </c>
      <c r="AK346" s="88" t="s">
        <v>400</v>
      </c>
      <c r="AV346" s="109"/>
      <c r="AW346" s="109"/>
      <c r="AX346" s="109"/>
    </row>
    <row r="347" spans="1:50" hidden="1">
      <c r="A347" s="41">
        <v>2025</v>
      </c>
      <c r="B347" s="41" t="s">
        <v>175</v>
      </c>
      <c r="C347" s="41" t="s">
        <v>175</v>
      </c>
      <c r="D347" s="41" t="s">
        <v>169</v>
      </c>
      <c r="E347" s="41" t="s">
        <v>28</v>
      </c>
      <c r="F347" s="41" t="s">
        <v>28</v>
      </c>
      <c r="G347" s="41">
        <v>24</v>
      </c>
      <c r="H347" s="41" t="s">
        <v>156</v>
      </c>
      <c r="I347" s="41" t="s">
        <v>256</v>
      </c>
      <c r="J347" s="150" t="s">
        <v>360</v>
      </c>
      <c r="K347" s="16">
        <v>3</v>
      </c>
      <c r="L347" s="114">
        <v>367</v>
      </c>
      <c r="M347" s="113">
        <v>2454000</v>
      </c>
      <c r="N347" s="16">
        <v>367000</v>
      </c>
      <c r="O347" s="16">
        <v>375000</v>
      </c>
      <c r="P347" s="16">
        <v>0</v>
      </c>
      <c r="Q347" s="16"/>
      <c r="R347" s="16">
        <v>0</v>
      </c>
      <c r="S347" s="16"/>
      <c r="T347" s="12">
        <f t="shared" si="67"/>
        <v>742000</v>
      </c>
      <c r="U347" s="16">
        <v>0</v>
      </c>
      <c r="V347" s="16">
        <v>735000</v>
      </c>
      <c r="W347" s="16">
        <v>0</v>
      </c>
      <c r="X347" s="16">
        <v>0</v>
      </c>
      <c r="Y347" s="12">
        <f t="shared" si="64"/>
        <v>735000</v>
      </c>
      <c r="Z347" s="57">
        <f>29%*M347</f>
        <v>711660</v>
      </c>
      <c r="AA347" s="16">
        <v>210000</v>
      </c>
      <c r="AB347" s="16">
        <v>0</v>
      </c>
      <c r="AC347" s="16"/>
      <c r="AD347" s="16">
        <v>0</v>
      </c>
      <c r="AE347" s="16">
        <f t="shared" si="60"/>
        <v>921660</v>
      </c>
      <c r="AF347" s="16">
        <f t="shared" si="61"/>
        <v>-555340</v>
      </c>
      <c r="AG34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-30340</v>
      </c>
      <c r="AH347" s="13">
        <f>IFERROR(AG347/(Z347+Table5[[#This Row],[Rider Penalty (Claim, Other Denda to Riders)]]),0)</f>
        <v>-4.2632717870893407E-2</v>
      </c>
      <c r="AI347" s="12">
        <f t="shared" si="66"/>
        <v>-525000</v>
      </c>
      <c r="AJ347" s="16">
        <f t="shared" si="62"/>
        <v>-2.5</v>
      </c>
      <c r="AK347" s="88" t="s">
        <v>400</v>
      </c>
      <c r="AV347" s="109"/>
      <c r="AW347" s="109"/>
      <c r="AX347" s="109"/>
    </row>
    <row r="348" spans="1:50" hidden="1">
      <c r="A348" s="41">
        <v>2025</v>
      </c>
      <c r="B348" s="117" t="s">
        <v>23</v>
      </c>
      <c r="C348" s="117" t="s">
        <v>174</v>
      </c>
      <c r="D348" s="117" t="s">
        <v>168</v>
      </c>
      <c r="E348" s="117" t="s">
        <v>24</v>
      </c>
      <c r="F348" s="117" t="s">
        <v>24</v>
      </c>
      <c r="G348" s="41">
        <v>24</v>
      </c>
      <c r="H348" s="41" t="s">
        <v>156</v>
      </c>
      <c r="I348" s="41" t="s">
        <v>256</v>
      </c>
      <c r="J348" s="151" t="s">
        <v>360</v>
      </c>
      <c r="K348" s="41">
        <v>22</v>
      </c>
      <c r="L348" s="41">
        <v>4124</v>
      </c>
      <c r="M348" s="41">
        <v>37134000</v>
      </c>
      <c r="N348" s="41">
        <v>3986840</v>
      </c>
      <c r="O348" s="41">
        <v>2715000</v>
      </c>
      <c r="P348" s="41">
        <v>930000</v>
      </c>
      <c r="Q348" s="41"/>
      <c r="R348" s="41">
        <v>0</v>
      </c>
      <c r="T348" s="16">
        <f t="shared" si="67"/>
        <v>7631840</v>
      </c>
      <c r="U348" s="41">
        <v>840000</v>
      </c>
      <c r="V348" s="55">
        <f>116*35000</f>
        <v>4060000</v>
      </c>
      <c r="W348" s="86">
        <v>0</v>
      </c>
      <c r="X348" s="41">
        <v>0</v>
      </c>
      <c r="Y348" s="57">
        <f t="shared" si="64"/>
        <v>4900000</v>
      </c>
      <c r="Z348" s="57">
        <f>26%*M348</f>
        <v>9654840</v>
      </c>
      <c r="AA348" s="41">
        <v>3850000</v>
      </c>
      <c r="AB348" s="41">
        <v>0</v>
      </c>
      <c r="AC348" s="41"/>
      <c r="AD348" s="41">
        <v>0</v>
      </c>
      <c r="AE348" s="41">
        <f t="shared" si="60"/>
        <v>13504840</v>
      </c>
      <c r="AF348" s="57">
        <f t="shared" si="61"/>
        <v>973000</v>
      </c>
      <c r="AG34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1183000</v>
      </c>
      <c r="AH348" s="59">
        <f>IFERROR(AG348/(Z348+Table5[[#This Row],[Rider Penalty (Claim, Other Denda to Riders)]]),0)</f>
        <v>0.12252921850595141</v>
      </c>
      <c r="AI348" s="57">
        <f t="shared" si="66"/>
        <v>-210000</v>
      </c>
      <c r="AJ348" s="41">
        <f t="shared" si="62"/>
        <v>-5.4545454545454543E-2</v>
      </c>
      <c r="AV348" s="109">
        <f>Table5[[#This Row],[Total Selling Comission/Sales (Weekly)]]/Table5[[#This Row],[Total Revenue Sharing % (Weekly)]]*100%</f>
        <v>0.41293693111434265</v>
      </c>
      <c r="AW348" s="109">
        <f>Table5[[#This Row],[Total Daily Incentive (Weekly)]]/Table5[[#This Row],[Total Revenue Sharing % (Weekly)]]*100%</f>
        <v>0.28120611009607616</v>
      </c>
      <c r="AX348" s="109">
        <f>(N348+O348)/Z348*100%</f>
        <v>0.69414304121041881</v>
      </c>
    </row>
    <row r="349" spans="1:50" hidden="1">
      <c r="A349" s="41">
        <v>2025</v>
      </c>
      <c r="B349" s="119" t="s">
        <v>23</v>
      </c>
      <c r="C349" s="119" t="s">
        <v>173</v>
      </c>
      <c r="D349" s="119" t="s">
        <v>168</v>
      </c>
      <c r="E349" s="119" t="s">
        <v>24</v>
      </c>
      <c r="F349" s="120" t="s">
        <v>282</v>
      </c>
      <c r="G349" s="41">
        <v>24</v>
      </c>
      <c r="H349" s="41" t="s">
        <v>156</v>
      </c>
      <c r="I349" s="41" t="s">
        <v>256</v>
      </c>
      <c r="J349" s="151" t="s">
        <v>360</v>
      </c>
      <c r="K349" s="16">
        <v>12</v>
      </c>
      <c r="L349" s="16">
        <v>3303</v>
      </c>
      <c r="M349" s="16">
        <v>22072000</v>
      </c>
      <c r="N349" s="16">
        <v>1871060</v>
      </c>
      <c r="O349" s="16">
        <v>1670000</v>
      </c>
      <c r="P349" s="16">
        <v>480000</v>
      </c>
      <c r="Q349" s="16"/>
      <c r="R349" s="16">
        <v>0</v>
      </c>
      <c r="S349" s="16"/>
      <c r="T349" s="12">
        <f t="shared" si="67"/>
        <v>4021060</v>
      </c>
      <c r="U349" s="16">
        <v>0</v>
      </c>
      <c r="V349" s="16">
        <f>61*35000</f>
        <v>2135000</v>
      </c>
      <c r="W349" s="16">
        <v>0</v>
      </c>
      <c r="X349" s="16">
        <v>0</v>
      </c>
      <c r="Y349" s="12">
        <f t="shared" si="64"/>
        <v>2135000</v>
      </c>
      <c r="Z349" s="16">
        <f>26%*M349</f>
        <v>5738720</v>
      </c>
      <c r="AA349" s="16">
        <v>2100000</v>
      </c>
      <c r="AB349" s="16">
        <v>0</v>
      </c>
      <c r="AC349" s="16"/>
      <c r="AD349" s="16">
        <v>0</v>
      </c>
      <c r="AE349" s="16">
        <f t="shared" si="60"/>
        <v>7838720</v>
      </c>
      <c r="AF349" s="16">
        <f t="shared" si="61"/>
        <v>1682660</v>
      </c>
      <c r="AG34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1717660</v>
      </c>
      <c r="AH349" s="13">
        <f>IFERROR(AG349/(Z349+Table5[[#This Row],[Rider Penalty (Claim, Other Denda to Riders)]]),0)</f>
        <v>0.2993106476705607</v>
      </c>
      <c r="AI349" s="12">
        <f t="shared" si="66"/>
        <v>-35000</v>
      </c>
      <c r="AJ349" s="16">
        <f t="shared" si="62"/>
        <v>-1.6666666666666666E-2</v>
      </c>
      <c r="AK349" s="16"/>
      <c r="AV349" s="109">
        <f>Table5[[#This Row],[Total Selling Comission/Sales (Weekly)]]/Table5[[#This Row],[Total Revenue Sharing % (Weekly)]]*100%</f>
        <v>0.3260413471993755</v>
      </c>
      <c r="AW349" s="109">
        <f>Table5[[#This Row],[Total Daily Incentive (Weekly)]]/Table5[[#This Row],[Total Revenue Sharing % (Weekly)]]*100%</f>
        <v>0.29100565979870074</v>
      </c>
      <c r="AX349" s="109">
        <f>(N349+O349)/Z349*100%</f>
        <v>0.61704700699807624</v>
      </c>
    </row>
    <row r="350" spans="1:50" hidden="1">
      <c r="A350" s="41">
        <v>2025</v>
      </c>
      <c r="B350" s="41" t="s">
        <v>170</v>
      </c>
      <c r="C350" s="41" t="s">
        <v>170</v>
      </c>
      <c r="D350" s="41" t="s">
        <v>169</v>
      </c>
      <c r="E350" s="41" t="s">
        <v>24</v>
      </c>
      <c r="F350" s="41" t="s">
        <v>24</v>
      </c>
      <c r="G350" s="41">
        <v>24</v>
      </c>
      <c r="H350" s="41" t="s">
        <v>156</v>
      </c>
      <c r="I350" s="41" t="s">
        <v>256</v>
      </c>
      <c r="J350" s="150" t="s">
        <v>360</v>
      </c>
      <c r="K350" s="16">
        <v>2</v>
      </c>
      <c r="L350" s="16">
        <v>156</v>
      </c>
      <c r="M350" s="16">
        <v>1336000</v>
      </c>
      <c r="N350" s="16">
        <v>0</v>
      </c>
      <c r="O350" s="16">
        <v>140000</v>
      </c>
      <c r="P350" s="16">
        <v>0</v>
      </c>
      <c r="Q350" s="16"/>
      <c r="R350" s="16">
        <v>0</v>
      </c>
      <c r="S350" s="16"/>
      <c r="T350" s="12">
        <f t="shared" si="67"/>
        <v>140000</v>
      </c>
      <c r="U350" s="16">
        <v>0</v>
      </c>
      <c r="V350" s="16">
        <f>7*35000</f>
        <v>245000</v>
      </c>
      <c r="W350" s="16">
        <v>0</v>
      </c>
      <c r="X350" s="16">
        <v>0</v>
      </c>
      <c r="Y350" s="12">
        <f t="shared" si="64"/>
        <v>245000</v>
      </c>
      <c r="Z350" s="16">
        <f>30%*M350</f>
        <v>400800</v>
      </c>
      <c r="AA350" s="16">
        <v>175000</v>
      </c>
      <c r="AB350" s="16">
        <v>0</v>
      </c>
      <c r="AC350" s="16"/>
      <c r="AD350" s="16">
        <v>0</v>
      </c>
      <c r="AE350" s="16">
        <f t="shared" si="60"/>
        <v>575800</v>
      </c>
      <c r="AF350" s="16">
        <f t="shared" si="61"/>
        <v>190800</v>
      </c>
      <c r="AG35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260800</v>
      </c>
      <c r="AH350" s="13">
        <f>IFERROR(AG350/(Z350+Table5[[#This Row],[Rider Penalty (Claim, Other Denda to Riders)]]),0)</f>
        <v>0.65069860279441116</v>
      </c>
      <c r="AI350" s="12">
        <f t="shared" si="66"/>
        <v>-70000</v>
      </c>
      <c r="AJ350" s="16">
        <f t="shared" si="62"/>
        <v>-0.4</v>
      </c>
      <c r="AK350" s="16"/>
      <c r="AV350" s="109"/>
      <c r="AW350" s="109"/>
      <c r="AX350" s="109"/>
    </row>
    <row r="351" spans="1:50" hidden="1">
      <c r="A351" s="41">
        <v>2025</v>
      </c>
      <c r="B351" s="41" t="s">
        <v>171</v>
      </c>
      <c r="C351" s="41" t="s">
        <v>171</v>
      </c>
      <c r="D351" s="41" t="s">
        <v>168</v>
      </c>
      <c r="E351" s="41" t="s">
        <v>24</v>
      </c>
      <c r="F351" s="41" t="s">
        <v>24</v>
      </c>
      <c r="G351" s="41">
        <v>24</v>
      </c>
      <c r="H351" s="41" t="s">
        <v>156</v>
      </c>
      <c r="I351" s="41" t="s">
        <v>256</v>
      </c>
      <c r="J351" s="150" t="s">
        <v>360</v>
      </c>
      <c r="K351" s="16">
        <v>1</v>
      </c>
      <c r="L351" s="16">
        <v>24</v>
      </c>
      <c r="M351" s="16">
        <v>136000</v>
      </c>
      <c r="N351" s="16">
        <v>0</v>
      </c>
      <c r="O351" s="16">
        <v>0</v>
      </c>
      <c r="P351" s="16">
        <v>0</v>
      </c>
      <c r="Q351" s="16"/>
      <c r="R351" s="16">
        <v>0</v>
      </c>
      <c r="S351" s="16"/>
      <c r="T351" s="12">
        <f t="shared" si="67"/>
        <v>0</v>
      </c>
      <c r="U351" s="16">
        <v>0</v>
      </c>
      <c r="V351" s="16">
        <v>0</v>
      </c>
      <c r="W351" s="16">
        <v>0</v>
      </c>
      <c r="X351" s="16">
        <v>0</v>
      </c>
      <c r="Y351" s="12">
        <f t="shared" si="64"/>
        <v>0</v>
      </c>
      <c r="Z351" s="16">
        <f>35%*M351</f>
        <v>47600</v>
      </c>
      <c r="AA351" s="16">
        <v>0</v>
      </c>
      <c r="AB351" s="16">
        <v>0</v>
      </c>
      <c r="AC351" s="16"/>
      <c r="AD351" s="16">
        <v>0</v>
      </c>
      <c r="AE351" s="16">
        <f t="shared" si="60"/>
        <v>47600</v>
      </c>
      <c r="AF351" s="16">
        <f t="shared" si="61"/>
        <v>47600</v>
      </c>
      <c r="AG35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47600</v>
      </c>
      <c r="AH351" s="13">
        <f>IFERROR(AG351/(Z351+Table5[[#This Row],[Rider Penalty (Claim, Other Denda to Riders)]]),0)</f>
        <v>1</v>
      </c>
      <c r="AI351" s="12">
        <f t="shared" si="66"/>
        <v>0</v>
      </c>
      <c r="AJ351" s="16">
        <f t="shared" si="62"/>
        <v>0</v>
      </c>
      <c r="AK351" s="16"/>
      <c r="AV351" s="109"/>
      <c r="AW351" s="109"/>
      <c r="AX351" s="109"/>
    </row>
    <row r="352" spans="1:50" hidden="1">
      <c r="A352" s="41">
        <v>2025</v>
      </c>
      <c r="B352" s="41" t="s">
        <v>171</v>
      </c>
      <c r="C352" s="41" t="s">
        <v>171</v>
      </c>
      <c r="D352" s="41" t="s">
        <v>168</v>
      </c>
      <c r="E352" s="41" t="s">
        <v>24</v>
      </c>
      <c r="F352" s="117" t="s">
        <v>282</v>
      </c>
      <c r="G352" s="41">
        <v>24</v>
      </c>
      <c r="H352" s="41" t="s">
        <v>156</v>
      </c>
      <c r="I352" s="41" t="s">
        <v>256</v>
      </c>
      <c r="J352" s="150" t="s">
        <v>360</v>
      </c>
      <c r="K352" s="16">
        <v>2</v>
      </c>
      <c r="L352" s="16">
        <v>72</v>
      </c>
      <c r="M352" s="16">
        <v>638000</v>
      </c>
      <c r="N352" s="16">
        <v>36000</v>
      </c>
      <c r="O352" s="16">
        <v>40000</v>
      </c>
      <c r="P352" s="16">
        <v>60000</v>
      </c>
      <c r="Q352" s="16"/>
      <c r="R352" s="16">
        <v>0</v>
      </c>
      <c r="S352" s="16"/>
      <c r="T352" s="12">
        <f t="shared" si="67"/>
        <v>136000</v>
      </c>
      <c r="U352" s="16">
        <v>0</v>
      </c>
      <c r="V352" s="16">
        <f>11*35000</f>
        <v>385000</v>
      </c>
      <c r="W352" s="16">
        <v>0</v>
      </c>
      <c r="X352" s="16">
        <v>0</v>
      </c>
      <c r="Y352" s="12">
        <f t="shared" si="64"/>
        <v>385000</v>
      </c>
      <c r="Z352" s="16">
        <f>35%*M352</f>
        <v>223300</v>
      </c>
      <c r="AA352" s="16">
        <v>275000</v>
      </c>
      <c r="AB352" s="16">
        <v>0</v>
      </c>
      <c r="AC352" s="16"/>
      <c r="AD352" s="16">
        <v>0</v>
      </c>
      <c r="AE352" s="16">
        <f t="shared" si="60"/>
        <v>498300</v>
      </c>
      <c r="AF352" s="16">
        <f t="shared" si="61"/>
        <v>-22700</v>
      </c>
      <c r="AG35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87300</v>
      </c>
      <c r="AH352" s="13">
        <f>IFERROR(AG352/(Z352+Table5[[#This Row],[Rider Penalty (Claim, Other Denda to Riders)]]),0)</f>
        <v>0.3909538737124944</v>
      </c>
      <c r="AI352" s="12">
        <f t="shared" si="66"/>
        <v>-110000</v>
      </c>
      <c r="AJ352" s="16">
        <f t="shared" si="62"/>
        <v>-0.4</v>
      </c>
      <c r="AK352" s="16"/>
      <c r="AV352" s="109"/>
      <c r="AW352" s="109"/>
      <c r="AX352" s="109"/>
    </row>
    <row r="353" spans="1:50" hidden="1">
      <c r="A353" s="41">
        <v>2025</v>
      </c>
      <c r="B353" s="117" t="s">
        <v>23</v>
      </c>
      <c r="C353" s="117" t="s">
        <v>174</v>
      </c>
      <c r="D353" s="117" t="s">
        <v>168</v>
      </c>
      <c r="E353" s="117" t="s">
        <v>24</v>
      </c>
      <c r="F353" s="117" t="s">
        <v>24</v>
      </c>
      <c r="G353" s="41">
        <v>25</v>
      </c>
      <c r="H353" s="41" t="s">
        <v>156</v>
      </c>
      <c r="I353" s="41" t="s">
        <v>278</v>
      </c>
      <c r="J353" s="151" t="s">
        <v>359</v>
      </c>
      <c r="K353" s="41">
        <v>28</v>
      </c>
      <c r="L353" s="41">
        <v>4587</v>
      </c>
      <c r="M353" s="41">
        <v>41672000</v>
      </c>
      <c r="N353" s="41">
        <v>3798620</v>
      </c>
      <c r="O353" s="41">
        <v>470000</v>
      </c>
      <c r="P353" s="41">
        <v>0</v>
      </c>
      <c r="Q353" s="41"/>
      <c r="R353" s="41">
        <v>0</v>
      </c>
      <c r="S353" s="41"/>
      <c r="T353" s="57">
        <f t="shared" si="67"/>
        <v>4268620</v>
      </c>
      <c r="U353" s="41">
        <v>840000</v>
      </c>
      <c r="V353" s="55">
        <f>142*35000</f>
        <v>4970000</v>
      </c>
      <c r="W353" s="86">
        <v>0</v>
      </c>
      <c r="X353" s="41">
        <v>0</v>
      </c>
      <c r="Y353" s="57">
        <f t="shared" si="64"/>
        <v>5810000</v>
      </c>
      <c r="Z353" s="57">
        <f>26%*M353</f>
        <v>10834720</v>
      </c>
      <c r="AA353" s="41">
        <v>4075000</v>
      </c>
      <c r="AB353" s="41">
        <v>0</v>
      </c>
      <c r="AC353" s="41"/>
      <c r="AD353" s="41">
        <v>75000</v>
      </c>
      <c r="AE353" s="41">
        <f t="shared" si="60"/>
        <v>14984720</v>
      </c>
      <c r="AF353" s="57">
        <f t="shared" si="61"/>
        <v>4906100</v>
      </c>
      <c r="AG35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5801100</v>
      </c>
      <c r="AH353" s="59">
        <f>IFERROR(AG353/(Z353+Table5[[#This Row],[Rider Penalty (Claim, Other Denda to Riders)]]),0)</f>
        <v>0.53173683650909465</v>
      </c>
      <c r="AI353" s="57">
        <f t="shared" si="66"/>
        <v>-895000</v>
      </c>
      <c r="AJ353" s="41">
        <f t="shared" si="62"/>
        <v>-0.21963190184049081</v>
      </c>
      <c r="AV353" s="109">
        <f>Table5[[#This Row],[Total Selling Comission/Sales (Weekly)]]/Table5[[#This Row],[Total Revenue Sharing % (Weekly)]]*100%</f>
        <v>0.35059696974171922</v>
      </c>
      <c r="AW353" s="109">
        <f>Table5[[#This Row],[Total Daily Incentive (Weekly)]]/Table5[[#This Row],[Total Revenue Sharing % (Weekly)]]*100%</f>
        <v>4.3379062864568718E-2</v>
      </c>
      <c r="AX353" s="109">
        <f>(N353+O353)/Z353*100%</f>
        <v>0.39397603260628794</v>
      </c>
    </row>
    <row r="354" spans="1:50" hidden="1">
      <c r="A354" s="41">
        <v>2025</v>
      </c>
      <c r="B354" s="64" t="s">
        <v>23</v>
      </c>
      <c r="C354" s="64" t="s">
        <v>173</v>
      </c>
      <c r="D354" s="64" t="s">
        <v>168</v>
      </c>
      <c r="E354" s="64" t="s">
        <v>24</v>
      </c>
      <c r="F354" s="147" t="s">
        <v>282</v>
      </c>
      <c r="G354" s="41">
        <v>25</v>
      </c>
      <c r="H354" s="41" t="s">
        <v>156</v>
      </c>
      <c r="I354" s="41" t="s">
        <v>278</v>
      </c>
      <c r="J354" s="151" t="s">
        <v>359</v>
      </c>
      <c r="K354" s="16">
        <v>12</v>
      </c>
      <c r="L354" s="16">
        <v>3323</v>
      </c>
      <c r="M354" s="16">
        <v>29730000</v>
      </c>
      <c r="N354" s="16">
        <v>3349940</v>
      </c>
      <c r="O354" s="16">
        <v>2625000</v>
      </c>
      <c r="P354" s="16">
        <v>0</v>
      </c>
      <c r="Q354" s="16"/>
      <c r="R354" s="16">
        <v>0</v>
      </c>
      <c r="S354" s="16"/>
      <c r="T354" s="12">
        <f t="shared" si="67"/>
        <v>5974940</v>
      </c>
      <c r="U354" s="16">
        <v>0</v>
      </c>
      <c r="V354" s="16">
        <f>64*35000</f>
        <v>2240000</v>
      </c>
      <c r="W354" s="16">
        <v>0</v>
      </c>
      <c r="X354" s="16">
        <v>0</v>
      </c>
      <c r="Y354" s="12">
        <f t="shared" si="64"/>
        <v>2240000</v>
      </c>
      <c r="Z354" s="16">
        <f>26%*M354</f>
        <v>7729800</v>
      </c>
      <c r="AA354" s="16">
        <v>1900000</v>
      </c>
      <c r="AB354" s="16">
        <v>0</v>
      </c>
      <c r="AC354" s="16"/>
      <c r="AD354" s="16">
        <v>75000</v>
      </c>
      <c r="AE354" s="16">
        <f t="shared" si="60"/>
        <v>9704800</v>
      </c>
      <c r="AF354" s="16">
        <f t="shared" si="61"/>
        <v>1489860</v>
      </c>
      <c r="AG35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1829860</v>
      </c>
      <c r="AH354" s="13">
        <f>IFERROR(AG354/(Z354+Table5[[#This Row],[Rider Penalty (Claim, Other Denda to Riders)]]),0)</f>
        <v>0.23445315703157033</v>
      </c>
      <c r="AI354" s="12">
        <f t="shared" si="66"/>
        <v>-340000</v>
      </c>
      <c r="AJ354" s="16">
        <f t="shared" si="62"/>
        <v>-0.17894736842105263</v>
      </c>
      <c r="AK354" s="16"/>
      <c r="AV354" s="109">
        <f>Table5[[#This Row],[Total Selling Comission/Sales (Weekly)]]/Table5[[#This Row],[Total Revenue Sharing % (Weekly)]]*100%</f>
        <v>0.4333799063365158</v>
      </c>
      <c r="AW354" s="109">
        <f>Table5[[#This Row],[Total Daily Incentive (Weekly)]]/Table5[[#This Row],[Total Revenue Sharing % (Weekly)]]*100%</f>
        <v>0.33959481487231236</v>
      </c>
      <c r="AX354" s="109">
        <f>(N354+O354)/Z354*100%</f>
        <v>0.77297472120882815</v>
      </c>
    </row>
    <row r="355" spans="1:50" hidden="1">
      <c r="A355" s="41">
        <v>2025</v>
      </c>
      <c r="B355" s="41" t="s">
        <v>23</v>
      </c>
      <c r="C355" s="41" t="s">
        <v>23</v>
      </c>
      <c r="D355" s="41" t="s">
        <v>168</v>
      </c>
      <c r="E355" s="41" t="s">
        <v>28</v>
      </c>
      <c r="F355" s="41" t="s">
        <v>25</v>
      </c>
      <c r="G355" s="41">
        <v>25</v>
      </c>
      <c r="H355" s="41" t="s">
        <v>156</v>
      </c>
      <c r="I355" s="41" t="s">
        <v>278</v>
      </c>
      <c r="J355" s="151" t="s">
        <v>359</v>
      </c>
      <c r="K355" s="41">
        <v>263</v>
      </c>
      <c r="L355" s="54">
        <v>79581</v>
      </c>
      <c r="M355" s="54">
        <v>694238000</v>
      </c>
      <c r="N355" s="54">
        <v>78395193</v>
      </c>
      <c r="O355" s="54">
        <v>61855000</v>
      </c>
      <c r="P355" s="54">
        <v>0</v>
      </c>
      <c r="Q355" s="54"/>
      <c r="R355" s="54">
        <v>0</v>
      </c>
      <c r="S355" s="54"/>
      <c r="T355" s="54">
        <f t="shared" si="67"/>
        <v>140250193</v>
      </c>
      <c r="U355" s="54">
        <v>1675000</v>
      </c>
      <c r="V355" s="110">
        <v>64435000</v>
      </c>
      <c r="W355" s="111">
        <v>0</v>
      </c>
      <c r="X355" s="54">
        <v>844445</v>
      </c>
      <c r="Y355" s="54">
        <f t="shared" si="64"/>
        <v>66954445</v>
      </c>
      <c r="Z355" s="54">
        <f>26%*M355</f>
        <v>180501880</v>
      </c>
      <c r="AA355" s="54">
        <v>32800000</v>
      </c>
      <c r="AB355" s="54">
        <v>0</v>
      </c>
      <c r="AC355" s="54"/>
      <c r="AD355" s="54">
        <v>0</v>
      </c>
      <c r="AE355" s="54">
        <f t="shared" si="60"/>
        <v>213301880</v>
      </c>
      <c r="AF355" s="54">
        <f t="shared" si="61"/>
        <v>6097242</v>
      </c>
      <c r="AG355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37732242</v>
      </c>
      <c r="AH355" s="59">
        <f>IFERROR(AG355/(Z355+Table5[[#This Row],[Rider Penalty (Claim, Other Denda to Riders)]]),0)</f>
        <v>0.20904071470058927</v>
      </c>
      <c r="AI355" s="57">
        <f t="shared" si="66"/>
        <v>-31635000</v>
      </c>
      <c r="AJ355" s="41">
        <f t="shared" si="62"/>
        <v>-0.96448170731707317</v>
      </c>
      <c r="AK355" s="88" t="s">
        <v>401</v>
      </c>
      <c r="AV355" s="109">
        <f>Table5[[#This Row],[Total Selling Comission/Sales (Weekly)]]/Table5[[#This Row],[Total Revenue Sharing % (Weekly)]]*100%</f>
        <v>0.43431787524872317</v>
      </c>
      <c r="AW355" s="109">
        <f>Table5[[#This Row],[Total Daily Incentive (Weekly)]]/Table5[[#This Row],[Total Revenue Sharing % (Weekly)]]*100%</f>
        <v>0.34268341138607533</v>
      </c>
      <c r="AX355" s="109">
        <f>(N355+O355)/Z355*100%</f>
        <v>0.7770012866347985</v>
      </c>
    </row>
    <row r="356" spans="1:50" hidden="1">
      <c r="A356" s="41">
        <v>2025</v>
      </c>
      <c r="B356" s="41" t="s">
        <v>23</v>
      </c>
      <c r="C356" s="41" t="s">
        <v>172</v>
      </c>
      <c r="D356" s="41" t="s">
        <v>168</v>
      </c>
      <c r="E356" s="41" t="s">
        <v>28</v>
      </c>
      <c r="F356" s="41" t="s">
        <v>31</v>
      </c>
      <c r="G356" s="41">
        <v>25</v>
      </c>
      <c r="H356" s="41" t="s">
        <v>156</v>
      </c>
      <c r="I356" s="41" t="s">
        <v>278</v>
      </c>
      <c r="J356" s="151" t="s">
        <v>359</v>
      </c>
      <c r="K356" s="16">
        <v>22</v>
      </c>
      <c r="L356" s="16">
        <v>6354</v>
      </c>
      <c r="M356" s="16">
        <v>56013000</v>
      </c>
      <c r="N356" s="16">
        <v>6323990</v>
      </c>
      <c r="O356" s="16">
        <v>5082500</v>
      </c>
      <c r="P356" s="16">
        <v>0</v>
      </c>
      <c r="Q356" s="16"/>
      <c r="R356" s="16">
        <v>0</v>
      </c>
      <c r="S356" s="16"/>
      <c r="T356" s="16">
        <f t="shared" si="67"/>
        <v>11406490</v>
      </c>
      <c r="U356" s="16">
        <v>0</v>
      </c>
      <c r="V356" s="16">
        <v>5390000</v>
      </c>
      <c r="W356" s="16">
        <v>0</v>
      </c>
      <c r="X356" s="16">
        <v>425600</v>
      </c>
      <c r="Y356" s="16">
        <f t="shared" si="64"/>
        <v>5815600</v>
      </c>
      <c r="Z356" s="16">
        <f>26%*M356</f>
        <v>14563380</v>
      </c>
      <c r="AA356" s="16">
        <v>2700000</v>
      </c>
      <c r="AB356" s="16">
        <v>0</v>
      </c>
      <c r="AC356" s="16"/>
      <c r="AD356" s="16">
        <v>0</v>
      </c>
      <c r="AE356" s="16">
        <f t="shared" si="60"/>
        <v>17263380</v>
      </c>
      <c r="AF356" s="16">
        <f t="shared" si="61"/>
        <v>41290</v>
      </c>
      <c r="AG35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2731290</v>
      </c>
      <c r="AH356" s="13">
        <f>IFERROR(AG356/(Z356+Table5[[#This Row],[Rider Penalty (Claim, Other Denda to Riders)]]),0)</f>
        <v>0.18754506165464335</v>
      </c>
      <c r="AI356" s="12">
        <f t="shared" si="66"/>
        <v>-2690000</v>
      </c>
      <c r="AJ356" s="16">
        <f t="shared" si="62"/>
        <v>-0.99629629629629635</v>
      </c>
      <c r="AK356" s="88" t="s">
        <v>401</v>
      </c>
      <c r="AV356" s="109">
        <f>Table5[[#This Row],[Total Selling Comission/Sales (Weekly)]]/Table5[[#This Row],[Total Revenue Sharing % (Weekly)]]*100%</f>
        <v>0.43423916700656029</v>
      </c>
      <c r="AW356" s="109">
        <f>Table5[[#This Row],[Total Daily Incentive (Weekly)]]/Table5[[#This Row],[Total Revenue Sharing % (Weekly)]]*100%</f>
        <v>0.34899178624742333</v>
      </c>
      <c r="AX356" s="109">
        <f>(N356+O356)/Z356*100%</f>
        <v>0.78323095325398362</v>
      </c>
    </row>
    <row r="357" spans="1:50" hidden="1">
      <c r="A357" s="41">
        <v>2025</v>
      </c>
      <c r="B357" s="41" t="s">
        <v>27</v>
      </c>
      <c r="C357" s="41" t="s">
        <v>27</v>
      </c>
      <c r="D357" s="41" t="s">
        <v>169</v>
      </c>
      <c r="E357" s="41" t="s">
        <v>28</v>
      </c>
      <c r="F357" s="41" t="s">
        <v>28</v>
      </c>
      <c r="G357" s="41">
        <v>25</v>
      </c>
      <c r="H357" s="41" t="s">
        <v>156</v>
      </c>
      <c r="I357" s="41" t="s">
        <v>278</v>
      </c>
      <c r="J357" s="151" t="s">
        <v>359</v>
      </c>
      <c r="K357" s="16">
        <v>5</v>
      </c>
      <c r="L357" s="16">
        <v>816</v>
      </c>
      <c r="M357" s="16">
        <v>6921000</v>
      </c>
      <c r="N357" s="16">
        <v>816000</v>
      </c>
      <c r="O357" s="16">
        <v>775000</v>
      </c>
      <c r="P357" s="16">
        <v>0</v>
      </c>
      <c r="Q357" s="16"/>
      <c r="R357" s="16">
        <v>0</v>
      </c>
      <c r="S357" s="16"/>
      <c r="T357" s="16">
        <f t="shared" si="67"/>
        <v>1591000</v>
      </c>
      <c r="U357" s="16">
        <v>0</v>
      </c>
      <c r="V357" s="16">
        <v>1225000</v>
      </c>
      <c r="W357" s="16">
        <v>0</v>
      </c>
      <c r="X357" s="16">
        <v>0</v>
      </c>
      <c r="Y357" s="16">
        <f t="shared" si="64"/>
        <v>1225000</v>
      </c>
      <c r="Z357" s="16">
        <f>20%*M357</f>
        <v>1384200</v>
      </c>
      <c r="AA357" s="16">
        <v>350000</v>
      </c>
      <c r="AB357" s="16">
        <v>650000</v>
      </c>
      <c r="AC357" s="16"/>
      <c r="AD357" s="16">
        <v>0</v>
      </c>
      <c r="AE357" s="16">
        <f t="shared" si="60"/>
        <v>2384200</v>
      </c>
      <c r="AF357" s="16">
        <f t="shared" si="61"/>
        <v>-431800</v>
      </c>
      <c r="AG35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-206800</v>
      </c>
      <c r="AH357" s="13">
        <f>IFERROR(AG357/(Z357+Table5[[#This Row],[Rider Penalty (Claim, Other Denda to Riders)]]),0)</f>
        <v>-0.14940037566825604</v>
      </c>
      <c r="AI357" s="12">
        <f t="shared" si="66"/>
        <v>-225000</v>
      </c>
      <c r="AJ357" s="16">
        <f t="shared" si="62"/>
        <v>-0.22500000000000001</v>
      </c>
      <c r="AK357" s="88" t="s">
        <v>401</v>
      </c>
      <c r="AV357" s="109"/>
      <c r="AW357" s="109"/>
      <c r="AX357" s="109"/>
    </row>
    <row r="358" spans="1:50" hidden="1">
      <c r="A358" s="41">
        <v>2025</v>
      </c>
      <c r="B358" s="41" t="s">
        <v>29</v>
      </c>
      <c r="C358" s="41" t="s">
        <v>29</v>
      </c>
      <c r="D358" s="41" t="s">
        <v>169</v>
      </c>
      <c r="E358" s="41" t="s">
        <v>28</v>
      </c>
      <c r="F358" s="41" t="s">
        <v>28</v>
      </c>
      <c r="G358" s="41">
        <v>25</v>
      </c>
      <c r="H358" s="41" t="s">
        <v>156</v>
      </c>
      <c r="I358" s="41" t="s">
        <v>278</v>
      </c>
      <c r="J358" s="151" t="s">
        <v>359</v>
      </c>
      <c r="K358" s="16">
        <v>6</v>
      </c>
      <c r="L358" s="16">
        <v>493</v>
      </c>
      <c r="M358" s="16">
        <v>4512000</v>
      </c>
      <c r="N358" s="16">
        <v>493000</v>
      </c>
      <c r="O358" s="16">
        <v>775000</v>
      </c>
      <c r="P358" s="16">
        <v>0</v>
      </c>
      <c r="Q358" s="16"/>
      <c r="R358" s="16">
        <v>0</v>
      </c>
      <c r="S358" s="16"/>
      <c r="T358" s="16">
        <f t="shared" si="67"/>
        <v>1268000</v>
      </c>
      <c r="U358" s="16">
        <v>0</v>
      </c>
      <c r="V358" s="16">
        <v>1260000</v>
      </c>
      <c r="W358" s="16">
        <v>0</v>
      </c>
      <c r="X358" s="16">
        <v>0</v>
      </c>
      <c r="Y358" s="16">
        <f t="shared" si="64"/>
        <v>1260000</v>
      </c>
      <c r="Z358" s="16">
        <f>20%*M358</f>
        <v>902400</v>
      </c>
      <c r="AA358" s="16">
        <v>360000</v>
      </c>
      <c r="AB358" s="16">
        <v>775000</v>
      </c>
      <c r="AC358" s="16"/>
      <c r="AD358" s="16">
        <v>0</v>
      </c>
      <c r="AE358" s="16">
        <f t="shared" si="60"/>
        <v>2037400</v>
      </c>
      <c r="AF358" s="16">
        <f t="shared" si="61"/>
        <v>-490600</v>
      </c>
      <c r="AG35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-365600</v>
      </c>
      <c r="AH358" s="13">
        <f>IFERROR(AG358/(Z358+Table5[[#This Row],[Rider Penalty (Claim, Other Denda to Riders)]]),0)</f>
        <v>-0.40514184397163122</v>
      </c>
      <c r="AI358" s="12">
        <f t="shared" si="66"/>
        <v>-125000</v>
      </c>
      <c r="AJ358" s="16">
        <f t="shared" si="62"/>
        <v>-0.11013215859030837</v>
      </c>
      <c r="AK358" s="88" t="s">
        <v>401</v>
      </c>
      <c r="AV358" s="109"/>
      <c r="AW358" s="109"/>
      <c r="AX358" s="109"/>
    </row>
    <row r="359" spans="1:50" hidden="1">
      <c r="A359" s="41">
        <v>2025</v>
      </c>
      <c r="B359" s="41" t="s">
        <v>176</v>
      </c>
      <c r="C359" s="41" t="s">
        <v>176</v>
      </c>
      <c r="D359" s="41" t="s">
        <v>169</v>
      </c>
      <c r="E359" s="41" t="s">
        <v>28</v>
      </c>
      <c r="F359" s="41" t="s">
        <v>28</v>
      </c>
      <c r="G359" s="41">
        <v>25</v>
      </c>
      <c r="H359" s="41" t="s">
        <v>156</v>
      </c>
      <c r="I359" s="41" t="s">
        <v>278</v>
      </c>
      <c r="J359" s="151" t="s">
        <v>359</v>
      </c>
      <c r="K359" s="16">
        <v>2</v>
      </c>
      <c r="L359" s="16">
        <v>107</v>
      </c>
      <c r="M359" s="16">
        <v>912000</v>
      </c>
      <c r="N359" s="16">
        <v>107000</v>
      </c>
      <c r="O359" s="16">
        <v>200000</v>
      </c>
      <c r="P359" s="16">
        <v>0</v>
      </c>
      <c r="Q359" s="16"/>
      <c r="R359" s="16">
        <v>0</v>
      </c>
      <c r="S359" s="16"/>
      <c r="T359" s="16">
        <f t="shared" si="67"/>
        <v>307000</v>
      </c>
      <c r="U359" s="16">
        <v>0</v>
      </c>
      <c r="V359" s="16">
        <v>490000</v>
      </c>
      <c r="W359" s="16">
        <v>311500</v>
      </c>
      <c r="X359" s="16">
        <v>0</v>
      </c>
      <c r="Y359" s="16">
        <f t="shared" si="64"/>
        <v>801500</v>
      </c>
      <c r="Z359" s="16">
        <f>25%*M359</f>
        <v>228000</v>
      </c>
      <c r="AA359" s="16">
        <v>140000</v>
      </c>
      <c r="AB359" s="16">
        <v>0</v>
      </c>
      <c r="AC359" s="16"/>
      <c r="AD359" s="16">
        <v>0</v>
      </c>
      <c r="AE359" s="16">
        <f t="shared" si="60"/>
        <v>368000</v>
      </c>
      <c r="AF359" s="16">
        <f t="shared" si="61"/>
        <v>-740500</v>
      </c>
      <c r="AG35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-390500</v>
      </c>
      <c r="AH359" s="13">
        <f>IFERROR(AG359/(Z359+Table5[[#This Row],[Rider Penalty (Claim, Other Denda to Riders)]]),0)</f>
        <v>-1.7127192982456141</v>
      </c>
      <c r="AI359" s="12">
        <f t="shared" ref="AI359:AI390" si="68">AA359+AB359-V359</f>
        <v>-350000</v>
      </c>
      <c r="AJ359" s="16">
        <f t="shared" si="62"/>
        <v>-2.5</v>
      </c>
      <c r="AK359" s="88" t="s">
        <v>401</v>
      </c>
      <c r="AV359" s="109"/>
      <c r="AW359" s="109"/>
      <c r="AX359" s="109"/>
    </row>
    <row r="360" spans="1:50" hidden="1">
      <c r="A360" s="41">
        <v>2025</v>
      </c>
      <c r="B360" s="41" t="s">
        <v>33</v>
      </c>
      <c r="C360" s="41" t="s">
        <v>33</v>
      </c>
      <c r="D360" s="41" t="s">
        <v>169</v>
      </c>
      <c r="E360" s="41" t="s">
        <v>28</v>
      </c>
      <c r="F360" s="41" t="s">
        <v>28</v>
      </c>
      <c r="G360" s="41">
        <v>25</v>
      </c>
      <c r="H360" s="41" t="s">
        <v>156</v>
      </c>
      <c r="I360" s="41" t="s">
        <v>278</v>
      </c>
      <c r="J360" s="151" t="s">
        <v>359</v>
      </c>
      <c r="K360" s="16">
        <v>3</v>
      </c>
      <c r="L360" s="16">
        <v>360</v>
      </c>
      <c r="M360" s="16">
        <v>2312000</v>
      </c>
      <c r="N360" s="16">
        <v>360000</v>
      </c>
      <c r="O360" s="16">
        <v>350000</v>
      </c>
      <c r="P360" s="16">
        <v>0</v>
      </c>
      <c r="Q360" s="16"/>
      <c r="R360" s="16">
        <v>0</v>
      </c>
      <c r="S360" s="16"/>
      <c r="T360" s="16">
        <f t="shared" si="67"/>
        <v>710000</v>
      </c>
      <c r="U360" s="16">
        <v>0</v>
      </c>
      <c r="V360" s="16">
        <v>735000</v>
      </c>
      <c r="W360" s="16">
        <v>0</v>
      </c>
      <c r="X360" s="16">
        <v>0</v>
      </c>
      <c r="Y360" s="16">
        <f t="shared" si="64"/>
        <v>735000</v>
      </c>
      <c r="Z360" s="16">
        <f>20%*M360</f>
        <v>462400</v>
      </c>
      <c r="AA360" s="16">
        <v>210000</v>
      </c>
      <c r="AB360" s="16">
        <v>200000</v>
      </c>
      <c r="AC360" s="16"/>
      <c r="AD360" s="16">
        <v>0</v>
      </c>
      <c r="AE360" s="16">
        <f t="shared" si="60"/>
        <v>872400</v>
      </c>
      <c r="AF360" s="16">
        <f t="shared" si="61"/>
        <v>-572600</v>
      </c>
      <c r="AG36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-247600</v>
      </c>
      <c r="AH360" s="13">
        <f>IFERROR(AG360/(Z360+Table5[[#This Row],[Rider Penalty (Claim, Other Denda to Riders)]]),0)</f>
        <v>-0.5354671280276817</v>
      </c>
      <c r="AI360" s="12">
        <f t="shared" si="68"/>
        <v>-325000</v>
      </c>
      <c r="AJ360" s="16">
        <f t="shared" si="62"/>
        <v>-0.79268292682926833</v>
      </c>
      <c r="AK360" s="88" t="s">
        <v>401</v>
      </c>
      <c r="AV360" s="109"/>
      <c r="AW360" s="109"/>
      <c r="AX360" s="109"/>
    </row>
    <row r="361" spans="1:50" hidden="1">
      <c r="A361" s="117">
        <v>2025</v>
      </c>
      <c r="B361" s="117" t="s">
        <v>175</v>
      </c>
      <c r="C361" s="117" t="s">
        <v>175</v>
      </c>
      <c r="D361" s="117" t="s">
        <v>169</v>
      </c>
      <c r="E361" s="117" t="s">
        <v>28</v>
      </c>
      <c r="F361" s="117" t="s">
        <v>28</v>
      </c>
      <c r="G361" s="41">
        <v>25</v>
      </c>
      <c r="H361" s="41" t="s">
        <v>156</v>
      </c>
      <c r="I361" s="41" t="s">
        <v>278</v>
      </c>
      <c r="J361" s="151" t="s">
        <v>359</v>
      </c>
      <c r="K361" s="16">
        <v>12</v>
      </c>
      <c r="L361" s="16">
        <v>788</v>
      </c>
      <c r="M361" s="16">
        <v>7478000</v>
      </c>
      <c r="N361" s="16">
        <v>788000</v>
      </c>
      <c r="O361" s="16">
        <v>1125000</v>
      </c>
      <c r="P361" s="16">
        <v>0</v>
      </c>
      <c r="Q361" s="16"/>
      <c r="R361" s="16">
        <v>0</v>
      </c>
      <c r="S361" s="16"/>
      <c r="T361" s="16">
        <f t="shared" si="67"/>
        <v>1913000</v>
      </c>
      <c r="U361" s="16">
        <v>0</v>
      </c>
      <c r="V361" s="16">
        <v>2485000</v>
      </c>
      <c r="W361" s="16">
        <v>0</v>
      </c>
      <c r="X361" s="16">
        <v>0</v>
      </c>
      <c r="Y361" s="16">
        <f t="shared" si="64"/>
        <v>2485000</v>
      </c>
      <c r="Z361" s="57">
        <f>29%*M361</f>
        <v>2168620</v>
      </c>
      <c r="AA361" s="16">
        <v>710000</v>
      </c>
      <c r="AB361" s="16">
        <v>0</v>
      </c>
      <c r="AC361" s="16"/>
      <c r="AD361" s="16">
        <v>0</v>
      </c>
      <c r="AE361" s="16">
        <f t="shared" si="60"/>
        <v>2878620</v>
      </c>
      <c r="AF361" s="16">
        <f t="shared" si="61"/>
        <v>-1519380</v>
      </c>
      <c r="AG36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255620</v>
      </c>
      <c r="AH361" s="13">
        <f>IFERROR(AG361/(Z361+Table5[[#This Row],[Rider Penalty (Claim, Other Denda to Riders)]]),0)</f>
        <v>0.1178721952209239</v>
      </c>
      <c r="AI361" s="12">
        <f t="shared" si="68"/>
        <v>-1775000</v>
      </c>
      <c r="AJ361" s="16">
        <f t="shared" si="62"/>
        <v>-2.5</v>
      </c>
      <c r="AK361" s="88" t="s">
        <v>401</v>
      </c>
      <c r="AV361" s="109"/>
      <c r="AW361" s="109"/>
      <c r="AX361" s="109"/>
    </row>
    <row r="362" spans="1:50" hidden="1">
      <c r="A362" s="41">
        <v>2025</v>
      </c>
      <c r="B362" s="117" t="s">
        <v>23</v>
      </c>
      <c r="C362" s="117" t="s">
        <v>174</v>
      </c>
      <c r="D362" s="117" t="s">
        <v>168</v>
      </c>
      <c r="E362" s="117" t="s">
        <v>24</v>
      </c>
      <c r="F362" s="117" t="s">
        <v>24</v>
      </c>
      <c r="G362" s="41">
        <v>26</v>
      </c>
      <c r="H362" s="41" t="s">
        <v>156</v>
      </c>
      <c r="I362" s="41" t="s">
        <v>279</v>
      </c>
      <c r="J362" s="151" t="s">
        <v>402</v>
      </c>
      <c r="K362" s="41">
        <v>26</v>
      </c>
      <c r="L362" s="41">
        <v>4774</v>
      </c>
      <c r="M362" s="41">
        <v>43492000</v>
      </c>
      <c r="N362" s="41">
        <v>3958400</v>
      </c>
      <c r="O362" s="41">
        <v>4857500</v>
      </c>
      <c r="P362" s="41">
        <v>0</v>
      </c>
      <c r="Q362" s="41"/>
      <c r="R362" s="41">
        <v>0</v>
      </c>
      <c r="S362" s="41"/>
      <c r="T362" s="57">
        <f t="shared" si="67"/>
        <v>8815900</v>
      </c>
      <c r="U362" s="41">
        <v>840000</v>
      </c>
      <c r="V362" s="55">
        <f>140*35000</f>
        <v>4900000</v>
      </c>
      <c r="W362" s="86">
        <v>0</v>
      </c>
      <c r="X362" s="41">
        <v>0</v>
      </c>
      <c r="Y362" s="57">
        <f t="shared" si="64"/>
        <v>5740000</v>
      </c>
      <c r="Z362" s="57">
        <f>26%*M362</f>
        <v>11307920</v>
      </c>
      <c r="AA362" s="41">
        <v>385000</v>
      </c>
      <c r="AB362" s="41">
        <v>0</v>
      </c>
      <c r="AC362" s="41"/>
      <c r="AD362" s="41">
        <v>25000</v>
      </c>
      <c r="AE362" s="41">
        <f t="shared" si="60"/>
        <v>11717920</v>
      </c>
      <c r="AF362" s="57">
        <f t="shared" si="61"/>
        <v>-2837980</v>
      </c>
      <c r="AG36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1677020</v>
      </c>
      <c r="AH362" s="59">
        <f>IFERROR(AG362/(Z362+Table5[[#This Row],[Rider Penalty (Claim, Other Denda to Riders)]]),0)</f>
        <v>0.14797774977675657</v>
      </c>
      <c r="AI362" s="57">
        <f t="shared" si="68"/>
        <v>-4515000</v>
      </c>
      <c r="AJ362" s="41">
        <f t="shared" si="62"/>
        <v>-11.727272727272727</v>
      </c>
      <c r="AV362" s="109">
        <f>Table5[[#This Row],[Total Selling Comission/Sales (Weekly)]]/Table5[[#This Row],[Total Revenue Sharing % (Weekly)]]*100%</f>
        <v>0.35005553629668407</v>
      </c>
      <c r="AW362" s="109">
        <f>Table5[[#This Row],[Total Daily Incentive (Weekly)]]/Table5[[#This Row],[Total Revenue Sharing % (Weekly)]]*100%</f>
        <v>0.42956618016399123</v>
      </c>
      <c r="AX362" s="109">
        <f>(N362+O362)/Z362*100%</f>
        <v>0.77962171646067535</v>
      </c>
    </row>
    <row r="363" spans="1:50" hidden="1">
      <c r="A363" s="41">
        <v>2025</v>
      </c>
      <c r="B363" s="64" t="s">
        <v>23</v>
      </c>
      <c r="C363" s="64" t="s">
        <v>173</v>
      </c>
      <c r="D363" s="64" t="s">
        <v>168</v>
      </c>
      <c r="E363" s="64" t="s">
        <v>24</v>
      </c>
      <c r="F363" s="147" t="s">
        <v>282</v>
      </c>
      <c r="G363" s="41">
        <v>26</v>
      </c>
      <c r="H363" s="41" t="s">
        <v>156</v>
      </c>
      <c r="I363" s="41" t="s">
        <v>279</v>
      </c>
      <c r="J363" s="151" t="s">
        <v>402</v>
      </c>
      <c r="K363" s="16">
        <v>18</v>
      </c>
      <c r="L363" s="16">
        <v>4380</v>
      </c>
      <c r="M363" s="16">
        <v>39202000</v>
      </c>
      <c r="N363" s="16">
        <v>4183360</v>
      </c>
      <c r="O363" s="16">
        <v>3792500</v>
      </c>
      <c r="P363" s="16">
        <v>0</v>
      </c>
      <c r="Q363" s="16"/>
      <c r="R363" s="16">
        <v>200000</v>
      </c>
      <c r="S363" s="16"/>
      <c r="T363" s="12">
        <f t="shared" si="67"/>
        <v>8175860</v>
      </c>
      <c r="U363" s="16">
        <v>0</v>
      </c>
      <c r="V363" s="16">
        <f>99*35000</f>
        <v>3465000</v>
      </c>
      <c r="W363" s="16">
        <v>0</v>
      </c>
      <c r="X363" s="16">
        <v>0</v>
      </c>
      <c r="Y363" s="12">
        <f t="shared" si="64"/>
        <v>3465000</v>
      </c>
      <c r="Z363" s="16">
        <f>26%*M363</f>
        <v>10192520</v>
      </c>
      <c r="AA363" s="16">
        <v>2475000</v>
      </c>
      <c r="AB363" s="16">
        <v>0</v>
      </c>
      <c r="AC363" s="16"/>
      <c r="AD363" s="16">
        <v>25000</v>
      </c>
      <c r="AE363" s="16">
        <f t="shared" si="60"/>
        <v>12692520</v>
      </c>
      <c r="AF363" s="16">
        <f t="shared" si="61"/>
        <v>1051660</v>
      </c>
      <c r="AG36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2041660</v>
      </c>
      <c r="AH363" s="13">
        <f>IFERROR(AG363/(Z363+Table5[[#This Row],[Rider Penalty (Claim, Other Denda to Riders)]]),0)</f>
        <v>0.19981952567746381</v>
      </c>
      <c r="AI363" s="12">
        <f t="shared" si="68"/>
        <v>-990000</v>
      </c>
      <c r="AJ363" s="16">
        <f t="shared" si="62"/>
        <v>-0.4</v>
      </c>
      <c r="AK363" s="16"/>
      <c r="AV363" s="109">
        <f>Table5[[#This Row],[Total Selling Comission/Sales (Weekly)]]/Table5[[#This Row],[Total Revenue Sharing % (Weekly)]]*100%</f>
        <v>0.41043431850023349</v>
      </c>
      <c r="AW363" s="109">
        <f>Table5[[#This Row],[Total Daily Incentive (Weekly)]]/Table5[[#This Row],[Total Revenue Sharing % (Weekly)]]*100%</f>
        <v>0.37208658898878788</v>
      </c>
      <c r="AX363" s="109">
        <f>(N363+O363)/Z363*100%</f>
        <v>0.78252090748902137</v>
      </c>
    </row>
    <row r="364" spans="1:50" hidden="1">
      <c r="A364" s="41">
        <v>2025</v>
      </c>
      <c r="B364" s="41" t="s">
        <v>23</v>
      </c>
      <c r="C364" s="41" t="s">
        <v>23</v>
      </c>
      <c r="D364" s="41" t="s">
        <v>168</v>
      </c>
      <c r="E364" s="41" t="s">
        <v>28</v>
      </c>
      <c r="F364" s="41" t="s">
        <v>25</v>
      </c>
      <c r="G364" s="41">
        <v>26</v>
      </c>
      <c r="H364" s="41" t="s">
        <v>156</v>
      </c>
      <c r="I364" s="41" t="s">
        <v>279</v>
      </c>
      <c r="J364" s="151" t="s">
        <v>402</v>
      </c>
      <c r="K364" s="41">
        <v>251</v>
      </c>
      <c r="L364" s="41">
        <v>77330</v>
      </c>
      <c r="M364" s="54">
        <v>675164000</v>
      </c>
      <c r="N364" s="54">
        <v>78098600</v>
      </c>
      <c r="O364" s="54">
        <v>58180000</v>
      </c>
      <c r="P364" s="54">
        <f>11594000+14321000</f>
        <v>25915000</v>
      </c>
      <c r="Q364" s="54">
        <v>2200000</v>
      </c>
      <c r="R364" s="54">
        <v>6000000</v>
      </c>
      <c r="S364" s="54"/>
      <c r="T364" s="54">
        <f t="shared" si="67"/>
        <v>170393600</v>
      </c>
      <c r="U364" s="54">
        <v>1800000</v>
      </c>
      <c r="V364" s="110">
        <v>61495000</v>
      </c>
      <c r="W364" s="111">
        <v>0</v>
      </c>
      <c r="X364" s="54">
        <v>844445</v>
      </c>
      <c r="Y364" s="54">
        <f t="shared" si="64"/>
        <v>64139445</v>
      </c>
      <c r="Z364" s="54">
        <f>26%*M364</f>
        <v>175542640</v>
      </c>
      <c r="AA364" s="54">
        <v>37400000</v>
      </c>
      <c r="AB364" s="54">
        <v>0</v>
      </c>
      <c r="AC364" s="54"/>
      <c r="AD364" s="54"/>
      <c r="AE364" s="54">
        <f t="shared" ref="AE364:AE427" si="69">SUM(Z364:AD364)</f>
        <v>212942640</v>
      </c>
      <c r="AF364" s="54">
        <f t="shared" ref="AF364:AF427" si="70">AE364-(T364+Y364)</f>
        <v>-21590405</v>
      </c>
      <c r="AG364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2504595</v>
      </c>
      <c r="AH364" s="59">
        <f>IFERROR(AG364/(Z364+Table5[[#This Row],[Rider Penalty (Claim, Other Denda to Riders)]]),0)</f>
        <v>1.426773005122858E-2</v>
      </c>
      <c r="AI364" s="57">
        <f t="shared" si="68"/>
        <v>-24095000</v>
      </c>
      <c r="AJ364" s="41">
        <f t="shared" ref="AJ364:AJ427" si="71">IFERROR(AI364/(AA364+AB364),0)</f>
        <v>-0.64425133689839575</v>
      </c>
      <c r="AV364" s="109">
        <f>Table5[[#This Row],[Total Selling Comission/Sales (Weekly)]]/Table5[[#This Row],[Total Revenue Sharing % (Weekly)]]*100%</f>
        <v>0.44489817402768922</v>
      </c>
      <c r="AW364" s="109">
        <f>Table5[[#This Row],[Total Daily Incentive (Weekly)]]/Table5[[#This Row],[Total Revenue Sharing % (Weekly)]]*100%</f>
        <v>0.33142944642965377</v>
      </c>
      <c r="AX364" s="109">
        <f>(N364+O364)/Z364*100%</f>
        <v>0.77632762045734305</v>
      </c>
    </row>
    <row r="365" spans="1:50" hidden="1">
      <c r="A365" s="41">
        <v>2025</v>
      </c>
      <c r="B365" s="41" t="s">
        <v>23</v>
      </c>
      <c r="C365" s="41" t="s">
        <v>172</v>
      </c>
      <c r="D365" s="41" t="s">
        <v>168</v>
      </c>
      <c r="E365" s="41" t="s">
        <v>28</v>
      </c>
      <c r="F365" s="41" t="s">
        <v>31</v>
      </c>
      <c r="G365" s="41">
        <v>26</v>
      </c>
      <c r="H365" s="41" t="s">
        <v>156</v>
      </c>
      <c r="I365" s="41" t="s">
        <v>279</v>
      </c>
      <c r="J365" s="151" t="s">
        <v>402</v>
      </c>
      <c r="K365" s="16">
        <v>20</v>
      </c>
      <c r="L365" s="16">
        <v>6188</v>
      </c>
      <c r="M365" s="16">
        <v>54026000</v>
      </c>
      <c r="N365" s="16">
        <v>6336800</v>
      </c>
      <c r="O365" s="16">
        <v>4675000</v>
      </c>
      <c r="P365" s="16">
        <f>1122000+1384000</f>
        <v>2506000</v>
      </c>
      <c r="Q365" s="16"/>
      <c r="R365" s="16">
        <v>600000</v>
      </c>
      <c r="S365" s="16"/>
      <c r="T365" s="16">
        <f t="shared" si="67"/>
        <v>14117800</v>
      </c>
      <c r="U365" s="16">
        <v>375000</v>
      </c>
      <c r="V365" s="16">
        <v>4900000</v>
      </c>
      <c r="W365" s="16">
        <v>0</v>
      </c>
      <c r="X365" s="16">
        <v>425600</v>
      </c>
      <c r="Y365" s="16">
        <f t="shared" si="64"/>
        <v>5700600</v>
      </c>
      <c r="Z365" s="16">
        <f>26%*M365</f>
        <v>14046760</v>
      </c>
      <c r="AA365" s="16">
        <v>2975000</v>
      </c>
      <c r="AB365" s="16">
        <v>0</v>
      </c>
      <c r="AC365" s="16"/>
      <c r="AD365" s="16"/>
      <c r="AE365" s="16">
        <f t="shared" si="69"/>
        <v>17021760</v>
      </c>
      <c r="AF365" s="16">
        <f t="shared" si="70"/>
        <v>-2796640</v>
      </c>
      <c r="AG36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-871640</v>
      </c>
      <c r="AH365" s="13">
        <f>IFERROR(AG365/(Z365+Table5[[#This Row],[Rider Penalty (Claim, Other Denda to Riders)]]),0)</f>
        <v>-6.2052743835589133E-2</v>
      </c>
      <c r="AI365" s="12">
        <f t="shared" si="68"/>
        <v>-1925000</v>
      </c>
      <c r="AJ365" s="16">
        <f t="shared" si="71"/>
        <v>-0.6470588235294118</v>
      </c>
      <c r="AK365" s="16"/>
      <c r="AV365" s="109">
        <f>Table5[[#This Row],[Total Selling Comission/Sales (Weekly)]]/Table5[[#This Row],[Total Revenue Sharing % (Weekly)]]*100%</f>
        <v>0.45112182453462579</v>
      </c>
      <c r="AW365" s="109">
        <f>Table5[[#This Row],[Total Daily Incentive (Weekly)]]/Table5[[#This Row],[Total Revenue Sharing % (Weekly)]]*100%</f>
        <v>0.3328169627729099</v>
      </c>
      <c r="AX365" s="109">
        <f>(N365+O365)/Z365*100%</f>
        <v>0.78393878730753563</v>
      </c>
    </row>
    <row r="366" spans="1:50" hidden="1">
      <c r="A366" s="41">
        <v>2025</v>
      </c>
      <c r="B366" s="41" t="s">
        <v>27</v>
      </c>
      <c r="C366" s="41" t="s">
        <v>27</v>
      </c>
      <c r="D366" s="41" t="s">
        <v>169</v>
      </c>
      <c r="E366" s="41" t="s">
        <v>28</v>
      </c>
      <c r="F366" s="41" t="s">
        <v>28</v>
      </c>
      <c r="G366" s="41">
        <v>26</v>
      </c>
      <c r="H366" s="41" t="s">
        <v>156</v>
      </c>
      <c r="I366" s="41" t="s">
        <v>279</v>
      </c>
      <c r="J366" s="151" t="s">
        <v>402</v>
      </c>
      <c r="K366" s="16">
        <v>5</v>
      </c>
      <c r="L366" s="16">
        <v>811</v>
      </c>
      <c r="M366" s="16">
        <v>6958000</v>
      </c>
      <c r="N366" s="16">
        <v>881000</v>
      </c>
      <c r="O366" s="16">
        <v>625000</v>
      </c>
      <c r="P366" s="16">
        <v>0</v>
      </c>
      <c r="Q366" s="16"/>
      <c r="R366" s="16">
        <v>0</v>
      </c>
      <c r="S366" s="16"/>
      <c r="T366" s="16">
        <f t="shared" si="67"/>
        <v>1506000</v>
      </c>
      <c r="U366" s="16">
        <v>0</v>
      </c>
      <c r="V366" s="16">
        <v>1225000</v>
      </c>
      <c r="W366" s="16">
        <v>0</v>
      </c>
      <c r="X366" s="16">
        <v>0</v>
      </c>
      <c r="Y366" s="16">
        <f t="shared" si="64"/>
        <v>1225000</v>
      </c>
      <c r="Z366" s="16">
        <f>20%*M366</f>
        <v>1391600</v>
      </c>
      <c r="AA366" s="16">
        <v>350000</v>
      </c>
      <c r="AB366" s="16">
        <v>625000</v>
      </c>
      <c r="AC366" s="16"/>
      <c r="AD366" s="16"/>
      <c r="AE366" s="16">
        <f t="shared" si="69"/>
        <v>2366600</v>
      </c>
      <c r="AF366" s="16">
        <f t="shared" si="70"/>
        <v>-364400</v>
      </c>
      <c r="AG36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-114400</v>
      </c>
      <c r="AH366" s="13">
        <f>IFERROR(AG366/(Z366+Table5[[#This Row],[Rider Penalty (Claim, Other Denda to Riders)]]),0)</f>
        <v>-8.2207530899683814E-2</v>
      </c>
      <c r="AI366" s="12">
        <f t="shared" si="68"/>
        <v>-250000</v>
      </c>
      <c r="AJ366" s="16">
        <f t="shared" si="71"/>
        <v>-0.25641025641025639</v>
      </c>
      <c r="AK366" s="16"/>
      <c r="AV366" s="109"/>
      <c r="AW366" s="109"/>
      <c r="AX366" s="109"/>
    </row>
    <row r="367" spans="1:50" hidden="1">
      <c r="A367" s="41">
        <v>2025</v>
      </c>
      <c r="B367" s="41" t="s">
        <v>29</v>
      </c>
      <c r="C367" s="41" t="s">
        <v>29</v>
      </c>
      <c r="D367" s="41" t="s">
        <v>169</v>
      </c>
      <c r="E367" s="41" t="s">
        <v>28</v>
      </c>
      <c r="F367" s="41" t="s">
        <v>28</v>
      </c>
      <c r="G367" s="41">
        <v>26</v>
      </c>
      <c r="H367" s="41" t="s">
        <v>156</v>
      </c>
      <c r="I367" s="41" t="s">
        <v>279</v>
      </c>
      <c r="J367" s="151" t="s">
        <v>402</v>
      </c>
      <c r="K367" s="16">
        <v>5</v>
      </c>
      <c r="L367" s="16">
        <v>335</v>
      </c>
      <c r="M367" s="16">
        <v>2605700</v>
      </c>
      <c r="N367" s="16">
        <v>335000</v>
      </c>
      <c r="O367" s="16">
        <v>600000</v>
      </c>
      <c r="P367" s="16">
        <v>0</v>
      </c>
      <c r="Q367" s="16"/>
      <c r="R367" s="16">
        <v>0</v>
      </c>
      <c r="S367" s="16"/>
      <c r="T367" s="16">
        <f t="shared" si="67"/>
        <v>935000</v>
      </c>
      <c r="U367" s="16">
        <v>0</v>
      </c>
      <c r="V367" s="16">
        <v>1020500</v>
      </c>
      <c r="W367" s="16">
        <v>0</v>
      </c>
      <c r="X367" s="16">
        <v>0</v>
      </c>
      <c r="Y367" s="16">
        <f t="shared" ref="Y367:Y430" si="72">SUM(U367:X367)</f>
        <v>1020500</v>
      </c>
      <c r="Z367" s="16">
        <f>20%*M367</f>
        <v>521140</v>
      </c>
      <c r="AA367" s="16">
        <v>300000</v>
      </c>
      <c r="AB367" s="16">
        <v>600000</v>
      </c>
      <c r="AC367" s="16"/>
      <c r="AD367" s="16"/>
      <c r="AE367" s="16">
        <f t="shared" si="69"/>
        <v>1421140</v>
      </c>
      <c r="AF367" s="16">
        <f t="shared" si="70"/>
        <v>-534360</v>
      </c>
      <c r="AG36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-413860</v>
      </c>
      <c r="AH367" s="13">
        <f>IFERROR(AG367/(Z367+Table5[[#This Row],[Rider Penalty (Claim, Other Denda to Riders)]]),0)</f>
        <v>-0.79414360824346619</v>
      </c>
      <c r="AI367" s="12">
        <f t="shared" si="68"/>
        <v>-120500</v>
      </c>
      <c r="AJ367" s="16">
        <f t="shared" si="71"/>
        <v>-0.13388888888888889</v>
      </c>
      <c r="AK367" s="16"/>
      <c r="AV367" s="109"/>
      <c r="AW367" s="109"/>
      <c r="AX367" s="109"/>
    </row>
    <row r="368" spans="1:50" hidden="1">
      <c r="A368" s="41">
        <v>2025</v>
      </c>
      <c r="B368" s="41" t="s">
        <v>176</v>
      </c>
      <c r="C368" s="41" t="s">
        <v>176</v>
      </c>
      <c r="D368" s="41" t="s">
        <v>169</v>
      </c>
      <c r="E368" s="41" t="s">
        <v>28</v>
      </c>
      <c r="F368" s="41" t="s">
        <v>28</v>
      </c>
      <c r="G368" s="41">
        <v>26</v>
      </c>
      <c r="H368" s="41" t="s">
        <v>156</v>
      </c>
      <c r="I368" s="41" t="s">
        <v>279</v>
      </c>
      <c r="J368" s="151" t="s">
        <v>402</v>
      </c>
      <c r="K368" s="16">
        <v>10</v>
      </c>
      <c r="L368" s="16">
        <v>931</v>
      </c>
      <c r="M368" s="16">
        <v>8954000</v>
      </c>
      <c r="N368" s="16">
        <v>931000</v>
      </c>
      <c r="O368" s="16">
        <v>1175000</v>
      </c>
      <c r="P368" s="16">
        <v>0</v>
      </c>
      <c r="Q368" s="16"/>
      <c r="R368" s="16">
        <v>0</v>
      </c>
      <c r="S368" s="16"/>
      <c r="T368" s="16">
        <f t="shared" si="67"/>
        <v>2106000</v>
      </c>
      <c r="U368" s="16">
        <v>0</v>
      </c>
      <c r="V368" s="16">
        <v>2205000</v>
      </c>
      <c r="W368" s="16">
        <v>0</v>
      </c>
      <c r="X368" s="16">
        <v>0</v>
      </c>
      <c r="Y368" s="16">
        <f t="shared" si="72"/>
        <v>2205000</v>
      </c>
      <c r="Z368" s="16">
        <f>25%*M368</f>
        <v>2238500</v>
      </c>
      <c r="AA368" s="16">
        <v>630000</v>
      </c>
      <c r="AB368" s="16">
        <v>0</v>
      </c>
      <c r="AC368" s="16"/>
      <c r="AD368" s="16"/>
      <c r="AE368" s="16">
        <f t="shared" si="69"/>
        <v>2868500</v>
      </c>
      <c r="AF368" s="16">
        <f t="shared" si="70"/>
        <v>-1442500</v>
      </c>
      <c r="AG36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132500</v>
      </c>
      <c r="AH368" s="13">
        <f>IFERROR(AG368/(Z368+Table5[[#This Row],[Rider Penalty (Claim, Other Denda to Riders)]]),0)</f>
        <v>5.9191422827786465E-2</v>
      </c>
      <c r="AI368" s="12">
        <f t="shared" si="68"/>
        <v>-1575000</v>
      </c>
      <c r="AJ368" s="16">
        <f t="shared" si="71"/>
        <v>-2.5</v>
      </c>
      <c r="AK368" s="16"/>
      <c r="AV368" s="109"/>
      <c r="AW368" s="109"/>
      <c r="AX368" s="109"/>
    </row>
    <row r="369" spans="1:50" hidden="1">
      <c r="A369" s="41">
        <v>2025</v>
      </c>
      <c r="B369" s="41" t="s">
        <v>33</v>
      </c>
      <c r="C369" s="41" t="s">
        <v>33</v>
      </c>
      <c r="D369" s="41" t="s">
        <v>169</v>
      </c>
      <c r="E369" s="41" t="s">
        <v>28</v>
      </c>
      <c r="F369" s="41" t="s">
        <v>28</v>
      </c>
      <c r="G369" s="41">
        <v>26</v>
      </c>
      <c r="H369" s="41" t="s">
        <v>156</v>
      </c>
      <c r="I369" s="41" t="s">
        <v>279</v>
      </c>
      <c r="J369" s="151" t="s">
        <v>402</v>
      </c>
      <c r="K369" s="16">
        <v>1</v>
      </c>
      <c r="L369" s="16">
        <v>31</v>
      </c>
      <c r="M369" s="16">
        <f>3/6*352000</f>
        <v>176000</v>
      </c>
      <c r="N369" s="16">
        <v>31000</v>
      </c>
      <c r="O369" s="16">
        <f>3/6*150000</f>
        <v>75000</v>
      </c>
      <c r="P369" s="16">
        <v>0</v>
      </c>
      <c r="Q369" s="16"/>
      <c r="R369" s="16">
        <v>0</v>
      </c>
      <c r="S369" s="16"/>
      <c r="T369" s="16">
        <f t="shared" si="67"/>
        <v>106000</v>
      </c>
      <c r="U369" s="16">
        <v>0</v>
      </c>
      <c r="V369" s="16">
        <f>3/7*245000</f>
        <v>105000</v>
      </c>
      <c r="W369" s="16">
        <v>0</v>
      </c>
      <c r="X369" s="16">
        <v>0</v>
      </c>
      <c r="Y369" s="16">
        <f t="shared" si="72"/>
        <v>105000</v>
      </c>
      <c r="Z369" s="16">
        <f>20%*M369</f>
        <v>35200</v>
      </c>
      <c r="AA369" s="16">
        <v>30000</v>
      </c>
      <c r="AB369" s="16">
        <v>75000</v>
      </c>
      <c r="AC369" s="16"/>
      <c r="AD369" s="16"/>
      <c r="AE369" s="16">
        <f t="shared" si="69"/>
        <v>140200</v>
      </c>
      <c r="AF369" s="16">
        <f t="shared" si="70"/>
        <v>-70800</v>
      </c>
      <c r="AG36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-70800</v>
      </c>
      <c r="AH369" s="13">
        <f>IFERROR(AG369/(Z369+Table5[[#This Row],[Rider Penalty (Claim, Other Denda to Riders)]]),0)</f>
        <v>-2.0113636363636362</v>
      </c>
      <c r="AI369" s="12">
        <f t="shared" si="68"/>
        <v>0</v>
      </c>
      <c r="AJ369" s="16">
        <f t="shared" si="71"/>
        <v>0</v>
      </c>
      <c r="AK369" s="16"/>
      <c r="AV369" s="109"/>
      <c r="AW369" s="109"/>
      <c r="AX369" s="109"/>
    </row>
    <row r="370" spans="1:50" hidden="1">
      <c r="A370" s="117">
        <v>2025</v>
      </c>
      <c r="B370" s="117" t="s">
        <v>175</v>
      </c>
      <c r="C370" s="117" t="s">
        <v>175</v>
      </c>
      <c r="D370" s="117" t="s">
        <v>169</v>
      </c>
      <c r="E370" s="117" t="s">
        <v>28</v>
      </c>
      <c r="F370" s="117" t="s">
        <v>28</v>
      </c>
      <c r="G370" s="41">
        <v>26</v>
      </c>
      <c r="H370" s="41" t="s">
        <v>156</v>
      </c>
      <c r="I370" s="41" t="s">
        <v>279</v>
      </c>
      <c r="J370" s="151" t="s">
        <v>402</v>
      </c>
      <c r="K370" s="16">
        <v>2</v>
      </c>
      <c r="L370" s="16">
        <v>24</v>
      </c>
      <c r="M370" s="16">
        <f>Table5[[#This Row],[Total Cups Sold]]*8000</f>
        <v>192000</v>
      </c>
      <c r="N370" s="16">
        <v>24000</v>
      </c>
      <c r="O370" s="16">
        <v>50000</v>
      </c>
      <c r="P370" s="16">
        <v>0</v>
      </c>
      <c r="Q370" s="16"/>
      <c r="R370" s="16">
        <v>0</v>
      </c>
      <c r="S370" s="16"/>
      <c r="T370" s="16">
        <f t="shared" si="67"/>
        <v>74000</v>
      </c>
      <c r="U370" s="16">
        <v>0</v>
      </c>
      <c r="V370" s="16">
        <f>245000*2</f>
        <v>490000</v>
      </c>
      <c r="W370" s="16">
        <v>0</v>
      </c>
      <c r="X370" s="16">
        <v>0</v>
      </c>
      <c r="Y370" s="16">
        <f t="shared" si="72"/>
        <v>490000</v>
      </c>
      <c r="Z370" s="16">
        <f>29%*M370</f>
        <v>55679.999999999993</v>
      </c>
      <c r="AA370" s="16">
        <v>60000</v>
      </c>
      <c r="AB370" s="16"/>
      <c r="AC370" s="16"/>
      <c r="AD370" s="16"/>
      <c r="AE370" s="16">
        <f t="shared" si="69"/>
        <v>115680</v>
      </c>
      <c r="AF370" s="16">
        <f t="shared" si="70"/>
        <v>-448320</v>
      </c>
      <c r="AG370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-18320.000000000007</v>
      </c>
      <c r="AH370" s="13">
        <f>IFERROR(AG370/(Z370+Table5[[#This Row],[Rider Penalty (Claim, Other Denda to Riders)]]),0)</f>
        <v>-0.32902298850574729</v>
      </c>
      <c r="AI370" s="12">
        <f t="shared" si="68"/>
        <v>-430000</v>
      </c>
      <c r="AJ370" s="16">
        <f t="shared" si="71"/>
        <v>-7.166666666666667</v>
      </c>
      <c r="AK370" s="16"/>
      <c r="AV370" s="109"/>
      <c r="AW370" s="109"/>
      <c r="AX370" s="109"/>
    </row>
    <row r="371" spans="1:50" hidden="1">
      <c r="A371" s="41">
        <v>2025</v>
      </c>
      <c r="B371" s="41" t="s">
        <v>23</v>
      </c>
      <c r="C371" s="41" t="s">
        <v>23</v>
      </c>
      <c r="D371" s="41" t="s">
        <v>168</v>
      </c>
      <c r="E371" s="41" t="s">
        <v>28</v>
      </c>
      <c r="F371" s="41" t="s">
        <v>25</v>
      </c>
      <c r="G371" s="41">
        <v>27</v>
      </c>
      <c r="H371" s="41" t="s">
        <v>156</v>
      </c>
      <c r="I371" s="41" t="s">
        <v>275</v>
      </c>
      <c r="J371" s="150">
        <v>45838</v>
      </c>
      <c r="K371" s="41">
        <v>168</v>
      </c>
      <c r="L371" s="41">
        <v>9391</v>
      </c>
      <c r="M371" s="54">
        <v>81936000</v>
      </c>
      <c r="N371" s="54">
        <f>1/7*76749000</f>
        <v>10964142.857142856</v>
      </c>
      <c r="O371" s="54">
        <f>1/7*55502500</f>
        <v>7928928.5714285709</v>
      </c>
      <c r="P371" s="54">
        <v>0</v>
      </c>
      <c r="Q371" s="54"/>
      <c r="R371" s="54">
        <v>0</v>
      </c>
      <c r="S371" s="54"/>
      <c r="T371" s="54">
        <f t="shared" si="67"/>
        <v>18893071.428571425</v>
      </c>
      <c r="U371" s="54">
        <f>1/7*3575000</f>
        <v>510714.28571428568</v>
      </c>
      <c r="V371" s="110">
        <f>1/7*60270000</f>
        <v>8610000</v>
      </c>
      <c r="W371" s="111">
        <v>0</v>
      </c>
      <c r="X371" s="54">
        <v>120634.98666666665</v>
      </c>
      <c r="Y371" s="54">
        <f t="shared" si="72"/>
        <v>9241349.2723809518</v>
      </c>
      <c r="Z371" s="54">
        <f>26%*M371</f>
        <v>21303360</v>
      </c>
      <c r="AA371" s="54">
        <f>1/7*36100000</f>
        <v>5157142.8571428573</v>
      </c>
      <c r="AB371" s="54">
        <v>0</v>
      </c>
      <c r="AC371" s="54"/>
      <c r="AD371" s="54">
        <v>0</v>
      </c>
      <c r="AE371" s="54">
        <f t="shared" si="69"/>
        <v>26460502.857142858</v>
      </c>
      <c r="AF371" s="54">
        <f t="shared" si="70"/>
        <v>-1673917.843809519</v>
      </c>
      <c r="AG371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1778939.2990476224</v>
      </c>
      <c r="AH371" s="59">
        <f>IFERROR(AG371/(Z371+Table5[[#This Row],[Rider Penalty (Claim, Other Denda to Riders)]]),0)</f>
        <v>8.3505104314419057E-2</v>
      </c>
      <c r="AI371" s="57">
        <f t="shared" si="68"/>
        <v>-3452857.1428571427</v>
      </c>
      <c r="AJ371" s="41">
        <f t="shared" si="71"/>
        <v>-0.66952908587257609</v>
      </c>
      <c r="AV371" s="109">
        <f>Table5[[#This Row],[Total Selling Comission/Sales (Weekly)]]/Table5[[#This Row],[Total Revenue Sharing % (Weekly)]]*100%</f>
        <v>0.51466730399067828</v>
      </c>
      <c r="AW371" s="109">
        <f>Table5[[#This Row],[Total Daily Incentive (Weekly)]]/Table5[[#This Row],[Total Revenue Sharing % (Weekly)]]*100%</f>
        <v>0.3721914557810867</v>
      </c>
      <c r="AX371" s="109">
        <f>(N371+O371)/Z371*100%</f>
        <v>0.88685875977176487</v>
      </c>
    </row>
    <row r="372" spans="1:50" hidden="1">
      <c r="A372" s="41">
        <v>2025</v>
      </c>
      <c r="B372" s="41" t="s">
        <v>23</v>
      </c>
      <c r="C372" s="41" t="s">
        <v>23</v>
      </c>
      <c r="D372" s="41" t="s">
        <v>168</v>
      </c>
      <c r="E372" s="41" t="s">
        <v>28</v>
      </c>
      <c r="F372" s="41" t="s">
        <v>25</v>
      </c>
      <c r="G372" s="41">
        <v>27</v>
      </c>
      <c r="H372" s="41" t="s">
        <v>162</v>
      </c>
      <c r="I372" s="41" t="s">
        <v>275</v>
      </c>
      <c r="J372" s="150" t="s">
        <v>403</v>
      </c>
      <c r="K372" s="41">
        <v>246</v>
      </c>
      <c r="L372" s="41">
        <v>66026</v>
      </c>
      <c r="M372" s="54">
        <v>577236000</v>
      </c>
      <c r="N372" s="54">
        <f>6/7*76749000</f>
        <v>65784857.142857142</v>
      </c>
      <c r="O372" s="54">
        <f>6/7*55502500</f>
        <v>47573571.428571425</v>
      </c>
      <c r="P372" s="54">
        <v>0</v>
      </c>
      <c r="Q372" s="54"/>
      <c r="R372" s="54">
        <v>0</v>
      </c>
      <c r="S372" s="54"/>
      <c r="T372" s="57">
        <f t="shared" si="67"/>
        <v>113358428.57142857</v>
      </c>
      <c r="U372" s="54">
        <f>6/7*3575000</f>
        <v>3064285.7142857141</v>
      </c>
      <c r="V372" s="110">
        <f>6/7*60270000</f>
        <v>51660000</v>
      </c>
      <c r="W372" s="111">
        <v>0</v>
      </c>
      <c r="X372" s="54">
        <v>723809.91999999993</v>
      </c>
      <c r="Y372" s="57">
        <f t="shared" si="72"/>
        <v>55448095.634285718</v>
      </c>
      <c r="Z372" s="54">
        <f>26%*M372</f>
        <v>150081360</v>
      </c>
      <c r="AA372" s="54">
        <f>6/7*36100000</f>
        <v>30942857.142857142</v>
      </c>
      <c r="AB372" s="54">
        <v>0</v>
      </c>
      <c r="AC372" s="54"/>
      <c r="AD372" s="54">
        <v>0</v>
      </c>
      <c r="AE372" s="54">
        <f t="shared" si="69"/>
        <v>181024217.14285713</v>
      </c>
      <c r="AF372" s="54">
        <f t="shared" si="70"/>
        <v>12217692.937142849</v>
      </c>
      <c r="AG37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32934835.794285715</v>
      </c>
      <c r="AH372" s="59">
        <f>IFERROR(AG372/(Z372+Table5[[#This Row],[Rider Penalty (Claim, Other Denda to Riders)]]),0)</f>
        <v>0.21944654415635437</v>
      </c>
      <c r="AI372" s="57">
        <f t="shared" si="68"/>
        <v>-20717142.857142858</v>
      </c>
      <c r="AJ372" s="41">
        <f t="shared" si="71"/>
        <v>-0.6695290858725762</v>
      </c>
      <c r="AV372" s="109">
        <f>Table5[[#This Row],[Total Selling Comission/Sales (Weekly)]]/Table5[[#This Row],[Total Revenue Sharing % (Weekly)]]*100%</f>
        <v>0.4383279651973912</v>
      </c>
      <c r="AW372" s="109">
        <f>Table5[[#This Row],[Total Daily Incentive (Weekly)]]/Table5[[#This Row],[Total Revenue Sharing % (Weekly)]]*100%</f>
        <v>0.31698521007919589</v>
      </c>
      <c r="AX372" s="109">
        <f>(N372+O372)/Z372*100%</f>
        <v>0.75531317527658715</v>
      </c>
    </row>
    <row r="373" spans="1:50" hidden="1">
      <c r="A373" s="41">
        <v>2025</v>
      </c>
      <c r="B373" s="41" t="s">
        <v>23</v>
      </c>
      <c r="C373" s="41" t="s">
        <v>172</v>
      </c>
      <c r="D373" s="41" t="s">
        <v>168</v>
      </c>
      <c r="E373" s="41" t="s">
        <v>28</v>
      </c>
      <c r="F373" s="41" t="s">
        <v>31</v>
      </c>
      <c r="G373" s="41">
        <v>27</v>
      </c>
      <c r="H373" s="41" t="s">
        <v>156</v>
      </c>
      <c r="I373" s="41" t="s">
        <v>280</v>
      </c>
      <c r="J373" s="150">
        <v>45838</v>
      </c>
      <c r="K373" s="16">
        <v>15</v>
      </c>
      <c r="L373" s="16">
        <v>829</v>
      </c>
      <c r="M373" s="16">
        <v>7360000</v>
      </c>
      <c r="N373" s="16">
        <f>1/7*5020600</f>
        <v>717228.57142857136</v>
      </c>
      <c r="O373" s="16">
        <f>1/7*4315000</f>
        <v>616428.57142857136</v>
      </c>
      <c r="P373" s="16">
        <v>0</v>
      </c>
      <c r="Q373" s="16"/>
      <c r="R373" s="16">
        <v>0</v>
      </c>
      <c r="S373" s="16"/>
      <c r="T373" s="16">
        <f t="shared" si="67"/>
        <v>1333657.1428571427</v>
      </c>
      <c r="U373" s="16">
        <f>1/7*150000</f>
        <v>21428.571428571428</v>
      </c>
      <c r="V373" s="16">
        <f>1/7*4900000</f>
        <v>700000</v>
      </c>
      <c r="W373" s="16">
        <v>0</v>
      </c>
      <c r="X373" s="16">
        <v>60800</v>
      </c>
      <c r="Y373" s="16">
        <f t="shared" si="72"/>
        <v>782228.57142857148</v>
      </c>
      <c r="Z373" s="16">
        <f>26%*M373</f>
        <v>1913600</v>
      </c>
      <c r="AA373" s="16">
        <f>1/7*2925000</f>
        <v>417857.14285714284</v>
      </c>
      <c r="AB373" s="16">
        <v>0</v>
      </c>
      <c r="AC373" s="16"/>
      <c r="AD373" s="16">
        <v>0</v>
      </c>
      <c r="AE373" s="16">
        <f t="shared" si="69"/>
        <v>2331457.1428571427</v>
      </c>
      <c r="AF373" s="16">
        <f t="shared" si="70"/>
        <v>215571.42857142864</v>
      </c>
      <c r="AG373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497714.2857142858</v>
      </c>
      <c r="AH373" s="13">
        <f>IFERROR(AG373/(Z373+Table5[[#This Row],[Rider Penalty (Claim, Other Denda to Riders)]]),0)</f>
        <v>0.26009316770186341</v>
      </c>
      <c r="AI373" s="12">
        <f t="shared" si="68"/>
        <v>-282142.85714285716</v>
      </c>
      <c r="AJ373" s="16">
        <f t="shared" si="71"/>
        <v>-0.67521367521367526</v>
      </c>
      <c r="AK373" s="16"/>
      <c r="AV373" s="109">
        <f>Table5[[#This Row],[Total Selling Comission/Sales (Weekly)]]/Table5[[#This Row],[Total Revenue Sharing % (Weekly)]]*100%</f>
        <v>0.37480590062111796</v>
      </c>
      <c r="AW373" s="109">
        <f>Table5[[#This Row],[Total Daily Incentive (Weekly)]]/Table5[[#This Row],[Total Revenue Sharing % (Weekly)]]*100%</f>
        <v>0.32213031533683706</v>
      </c>
      <c r="AX373" s="109">
        <f>(N373+O373)/Z373*100%</f>
        <v>0.69693621595795507</v>
      </c>
    </row>
    <row r="374" spans="1:50" hidden="1">
      <c r="A374" s="41">
        <v>2025</v>
      </c>
      <c r="B374" s="41" t="s">
        <v>23</v>
      </c>
      <c r="C374" s="41" t="s">
        <v>172</v>
      </c>
      <c r="D374" s="41" t="s">
        <v>168</v>
      </c>
      <c r="E374" s="41" t="s">
        <v>28</v>
      </c>
      <c r="F374" s="41" t="s">
        <v>31</v>
      </c>
      <c r="G374" s="41">
        <v>27</v>
      </c>
      <c r="H374" s="41" t="s">
        <v>162</v>
      </c>
      <c r="I374" s="41" t="s">
        <v>275</v>
      </c>
      <c r="J374" s="150" t="s">
        <v>403</v>
      </c>
      <c r="K374" s="54">
        <v>20</v>
      </c>
      <c r="L374" s="54">
        <v>4359</v>
      </c>
      <c r="M374" s="54">
        <v>38288000</v>
      </c>
      <c r="N374" s="16">
        <f>6/7*5020600</f>
        <v>4303371.4285714282</v>
      </c>
      <c r="O374" s="16">
        <f>6/7*4315000</f>
        <v>3698571.4285714282</v>
      </c>
      <c r="P374" s="54">
        <v>0</v>
      </c>
      <c r="Q374" s="54"/>
      <c r="R374" s="54">
        <v>0</v>
      </c>
      <c r="S374" s="54"/>
      <c r="T374" s="57">
        <f t="shared" si="67"/>
        <v>8001942.8571428563</v>
      </c>
      <c r="U374" s="54">
        <f>6/7*150000</f>
        <v>128571.42857142857</v>
      </c>
      <c r="V374" s="16">
        <f>6/7*4900000</f>
        <v>4200000</v>
      </c>
      <c r="W374" s="16">
        <v>0</v>
      </c>
      <c r="X374" s="54">
        <v>364800</v>
      </c>
      <c r="Y374" s="57">
        <f t="shared" si="72"/>
        <v>4693371.4285714282</v>
      </c>
      <c r="Z374" s="54">
        <f>26%*M374</f>
        <v>9954880</v>
      </c>
      <c r="AA374" s="54">
        <f>6/7*2925000</f>
        <v>2507142.8571428568</v>
      </c>
      <c r="AB374" s="54">
        <v>0</v>
      </c>
      <c r="AC374" s="54"/>
      <c r="AD374" s="54">
        <v>0</v>
      </c>
      <c r="AE374" s="54">
        <f t="shared" si="69"/>
        <v>12462022.857142856</v>
      </c>
      <c r="AF374" s="54">
        <f t="shared" si="70"/>
        <v>-233291.42857142724</v>
      </c>
      <c r="AG37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1459565.714285715</v>
      </c>
      <c r="AH374" s="59">
        <f>IFERROR(AG374/(Z374+Table5[[#This Row],[Rider Penalty (Claim, Other Denda to Riders)]]),0)</f>
        <v>0.14661811235150149</v>
      </c>
      <c r="AI374" s="57">
        <f t="shared" si="68"/>
        <v>-1692857.1428571432</v>
      </c>
      <c r="AJ374" s="54">
        <f t="shared" si="71"/>
        <v>-0.67521367521367548</v>
      </c>
      <c r="AK374" s="16"/>
      <c r="AV374" s="109">
        <f>Table5[[#This Row],[Total Selling Comission/Sales (Weekly)]]/Table5[[#This Row],[Total Revenue Sharing % (Weekly)]]*100%</f>
        <v>0.43228762461942566</v>
      </c>
      <c r="AW374" s="109">
        <f>Table5[[#This Row],[Total Daily Incentive (Weekly)]]/Table5[[#This Row],[Total Revenue Sharing % (Weekly)]]*100%</f>
        <v>0.37153350201824914</v>
      </c>
      <c r="AX374" s="109">
        <f>(N374+O374)/Z374*100%</f>
        <v>0.8038211266376748</v>
      </c>
    </row>
    <row r="375" spans="1:50" hidden="1">
      <c r="A375" s="41">
        <v>2025</v>
      </c>
      <c r="B375" s="41" t="s">
        <v>27</v>
      </c>
      <c r="C375" s="41" t="s">
        <v>27</v>
      </c>
      <c r="D375" s="41" t="s">
        <v>169</v>
      </c>
      <c r="E375" s="41" t="s">
        <v>28</v>
      </c>
      <c r="F375" s="41" t="s">
        <v>28</v>
      </c>
      <c r="G375" s="41">
        <v>26</v>
      </c>
      <c r="H375" s="41" t="s">
        <v>156</v>
      </c>
      <c r="I375" s="41" t="s">
        <v>280</v>
      </c>
      <c r="J375" s="150">
        <v>45838</v>
      </c>
      <c r="K375" s="16">
        <v>2</v>
      </c>
      <c r="L375" s="16">
        <f>19+25</f>
        <v>44</v>
      </c>
      <c r="M375" s="16">
        <v>404000</v>
      </c>
      <c r="N375" s="16">
        <f>1/7*550220</f>
        <v>78602.857142857145</v>
      </c>
      <c r="O375" s="16">
        <f>1/7*770000</f>
        <v>110000</v>
      </c>
      <c r="P375" s="16">
        <v>0</v>
      </c>
      <c r="Q375" s="16"/>
      <c r="R375" s="16">
        <v>0</v>
      </c>
      <c r="S375" s="16"/>
      <c r="T375" s="16">
        <f t="shared" si="67"/>
        <v>188602.85714285716</v>
      </c>
      <c r="U375" s="16">
        <v>0</v>
      </c>
      <c r="V375" s="16">
        <f>1/7*1085000</f>
        <v>155000</v>
      </c>
      <c r="W375" s="16">
        <v>0</v>
      </c>
      <c r="X375" s="16">
        <v>0</v>
      </c>
      <c r="Y375" s="16">
        <f t="shared" si="72"/>
        <v>155000</v>
      </c>
      <c r="Z375" s="16">
        <f>20%*M375</f>
        <v>80800</v>
      </c>
      <c r="AA375" s="16">
        <f>1/7*675000</f>
        <v>96428.57142857142</v>
      </c>
      <c r="AB375" s="16">
        <f>1/7*625000</f>
        <v>89285.714285714275</v>
      </c>
      <c r="AC375" s="16"/>
      <c r="AD375" s="16">
        <v>0</v>
      </c>
      <c r="AE375" s="16">
        <f t="shared" si="69"/>
        <v>266514.28571428568</v>
      </c>
      <c r="AF375" s="16">
        <f t="shared" si="70"/>
        <v>-77088.571428571478</v>
      </c>
      <c r="AG37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-107802.85714285716</v>
      </c>
      <c r="AH375" s="13">
        <f>IFERROR(AG375/(Z375+Table5[[#This Row],[Rider Penalty (Claim, Other Denda to Riders)]]),0)</f>
        <v>-1.3341937765205094</v>
      </c>
      <c r="AI375" s="12">
        <f t="shared" si="68"/>
        <v>30714.285714285681</v>
      </c>
      <c r="AJ375" s="16">
        <f t="shared" si="71"/>
        <v>0.16538461538461524</v>
      </c>
      <c r="AK375" s="16"/>
      <c r="AV375" s="109"/>
      <c r="AW375" s="109"/>
      <c r="AX375" s="109"/>
    </row>
    <row r="376" spans="1:50" hidden="1">
      <c r="A376" s="41">
        <v>2025</v>
      </c>
      <c r="B376" s="41" t="s">
        <v>27</v>
      </c>
      <c r="C376" s="41" t="s">
        <v>27</v>
      </c>
      <c r="D376" s="41" t="s">
        <v>169</v>
      </c>
      <c r="E376" s="41" t="s">
        <v>28</v>
      </c>
      <c r="F376" s="41" t="s">
        <v>28</v>
      </c>
      <c r="G376" s="41">
        <v>27</v>
      </c>
      <c r="H376" s="41" t="s">
        <v>162</v>
      </c>
      <c r="I376" s="41" t="s">
        <v>275</v>
      </c>
      <c r="J376" s="150" t="s">
        <v>403</v>
      </c>
      <c r="K376" s="54">
        <v>5</v>
      </c>
      <c r="L376" s="54">
        <f>791-19-25</f>
        <v>747</v>
      </c>
      <c r="M376" s="54">
        <f>6931000-404000</f>
        <v>6527000</v>
      </c>
      <c r="N376" s="16">
        <f>6/7*550220</f>
        <v>471617.14285714284</v>
      </c>
      <c r="O376" s="54">
        <f>770000*6/7</f>
        <v>660000</v>
      </c>
      <c r="P376" s="54">
        <v>0</v>
      </c>
      <c r="Q376" s="54"/>
      <c r="R376" s="54">
        <v>0</v>
      </c>
      <c r="S376" s="54"/>
      <c r="T376" s="57">
        <f t="shared" si="67"/>
        <v>1131617.1428571427</v>
      </c>
      <c r="U376" s="54">
        <v>0</v>
      </c>
      <c r="V376" s="16">
        <f>6/7*1085000</f>
        <v>930000</v>
      </c>
      <c r="W376" s="16">
        <v>0</v>
      </c>
      <c r="X376" s="16">
        <v>0</v>
      </c>
      <c r="Y376" s="57">
        <f t="shared" si="72"/>
        <v>930000</v>
      </c>
      <c r="Z376" s="54">
        <f>20%*M376</f>
        <v>1305400</v>
      </c>
      <c r="AA376" s="54">
        <f>675000*6/7</f>
        <v>578571.42857142852</v>
      </c>
      <c r="AB376" s="54">
        <f>625000*6/7</f>
        <v>535714.28571428568</v>
      </c>
      <c r="AC376" s="54"/>
      <c r="AD376" s="54">
        <v>0</v>
      </c>
      <c r="AE376" s="54">
        <f t="shared" si="69"/>
        <v>2419685.7142857146</v>
      </c>
      <c r="AF376" s="54">
        <f t="shared" si="70"/>
        <v>358068.57142857183</v>
      </c>
      <c r="AG37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173782.85714285728</v>
      </c>
      <c r="AH376" s="59">
        <f>IFERROR(AG376/(Z376+Table5[[#This Row],[Rider Penalty (Claim, Other Denda to Riders)]]),0)</f>
        <v>0.13312613539363971</v>
      </c>
      <c r="AI376" s="57">
        <f t="shared" si="68"/>
        <v>184285.71428571409</v>
      </c>
      <c r="AJ376" s="54">
        <f t="shared" si="71"/>
        <v>0.16538461538461524</v>
      </c>
      <c r="AK376" s="16"/>
      <c r="AV376" s="109"/>
      <c r="AW376" s="109"/>
      <c r="AX376" s="109"/>
    </row>
    <row r="377" spans="1:50" hidden="1">
      <c r="A377" s="41">
        <v>2025</v>
      </c>
      <c r="B377" s="41" t="s">
        <v>29</v>
      </c>
      <c r="C377" s="41" t="s">
        <v>29</v>
      </c>
      <c r="D377" s="41" t="s">
        <v>169</v>
      </c>
      <c r="E377" s="41" t="s">
        <v>28</v>
      </c>
      <c r="F377" s="41" t="s">
        <v>28</v>
      </c>
      <c r="G377" s="41">
        <v>27</v>
      </c>
      <c r="H377" s="41" t="s">
        <v>156</v>
      </c>
      <c r="I377" s="41" t="s">
        <v>280</v>
      </c>
      <c r="J377" s="150">
        <v>45838</v>
      </c>
      <c r="K377" s="16">
        <v>1</v>
      </c>
      <c r="L377" s="16">
        <v>8</v>
      </c>
      <c r="M377" s="16">
        <v>76000</v>
      </c>
      <c r="N377" s="16">
        <f>1/7*44200</f>
        <v>6314.2857142857138</v>
      </c>
      <c r="O377" s="16">
        <f>1/7*150000</f>
        <v>21428.571428571428</v>
      </c>
      <c r="P377" s="16">
        <v>0</v>
      </c>
      <c r="Q377" s="16"/>
      <c r="R377" s="16">
        <v>0</v>
      </c>
      <c r="S377" s="16"/>
      <c r="T377" s="16">
        <f t="shared" ref="T377:T408" si="73">SUM(N377:R377)</f>
        <v>27742.857142857141</v>
      </c>
      <c r="U377" s="16">
        <v>0</v>
      </c>
      <c r="V377" s="16">
        <f>1/7*245000</f>
        <v>35000</v>
      </c>
      <c r="W377" s="16">
        <v>0</v>
      </c>
      <c r="X377" s="16">
        <v>0</v>
      </c>
      <c r="Y377" s="16">
        <f t="shared" si="72"/>
        <v>35000</v>
      </c>
      <c r="Z377" s="16">
        <f>20%*M377</f>
        <v>15200</v>
      </c>
      <c r="AA377" s="16">
        <v>25000</v>
      </c>
      <c r="AB377" s="16">
        <v>25000</v>
      </c>
      <c r="AC377" s="16"/>
      <c r="AD377" s="16">
        <v>0</v>
      </c>
      <c r="AE377" s="16">
        <f t="shared" si="69"/>
        <v>65200</v>
      </c>
      <c r="AF377" s="16">
        <f t="shared" si="70"/>
        <v>2457.1428571428551</v>
      </c>
      <c r="AG37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-12542.857142857141</v>
      </c>
      <c r="AH377" s="13">
        <f>IFERROR(AG377/(Z377+Table5[[#This Row],[Rider Penalty (Claim, Other Denda to Riders)]]),0)</f>
        <v>-0.82518796992481191</v>
      </c>
      <c r="AI377" s="12">
        <f t="shared" si="68"/>
        <v>15000</v>
      </c>
      <c r="AJ377" s="16">
        <f t="shared" si="71"/>
        <v>0.3</v>
      </c>
      <c r="AK377" s="16"/>
      <c r="AV377" s="109"/>
      <c r="AW377" s="109"/>
      <c r="AX377" s="109"/>
    </row>
    <row r="378" spans="1:50" hidden="1">
      <c r="A378" s="41">
        <v>2025</v>
      </c>
      <c r="B378" s="41" t="s">
        <v>29</v>
      </c>
      <c r="C378" s="41" t="s">
        <v>29</v>
      </c>
      <c r="D378" s="41" t="s">
        <v>169</v>
      </c>
      <c r="E378" s="41" t="s">
        <v>28</v>
      </c>
      <c r="F378" s="41" t="s">
        <v>28</v>
      </c>
      <c r="G378" s="41">
        <v>27</v>
      </c>
      <c r="H378" s="41" t="s">
        <v>162</v>
      </c>
      <c r="I378" s="41" t="s">
        <v>275</v>
      </c>
      <c r="J378" s="150" t="s">
        <v>403</v>
      </c>
      <c r="K378" s="54">
        <v>1</v>
      </c>
      <c r="L378" s="54">
        <v>88</v>
      </c>
      <c r="M378" s="54">
        <f>884000-76000</f>
        <v>808000</v>
      </c>
      <c r="N378" s="54">
        <f>44200*6/7</f>
        <v>37885.714285714283</v>
      </c>
      <c r="O378" s="54">
        <f>150000*6/7</f>
        <v>128571.42857142857</v>
      </c>
      <c r="P378" s="16">
        <v>0</v>
      </c>
      <c r="Q378" s="16"/>
      <c r="R378" s="16">
        <v>0</v>
      </c>
      <c r="S378" s="16"/>
      <c r="T378" s="57">
        <f t="shared" si="73"/>
        <v>166457.14285714284</v>
      </c>
      <c r="U378" s="16">
        <v>0</v>
      </c>
      <c r="V378" s="54">
        <f>6/7*245000</f>
        <v>210000</v>
      </c>
      <c r="W378" s="16">
        <v>0</v>
      </c>
      <c r="X378" s="16">
        <v>0</v>
      </c>
      <c r="Y378" s="57">
        <f t="shared" si="72"/>
        <v>210000</v>
      </c>
      <c r="Z378" s="54">
        <f>20%*M378</f>
        <v>161600</v>
      </c>
      <c r="AA378" s="54">
        <v>125000</v>
      </c>
      <c r="AB378" s="54">
        <v>125000</v>
      </c>
      <c r="AC378" s="54"/>
      <c r="AD378" s="54">
        <v>0</v>
      </c>
      <c r="AE378" s="54">
        <f t="shared" si="69"/>
        <v>411600</v>
      </c>
      <c r="AF378" s="54">
        <f t="shared" si="70"/>
        <v>35142.857142857159</v>
      </c>
      <c r="AG378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-4857.1428571428405</v>
      </c>
      <c r="AH378" s="59">
        <f>IFERROR(AG378/(Z378+Table5[[#This Row],[Rider Penalty (Claim, Other Denda to Riders)]]),0)</f>
        <v>-3.0056577086279953E-2</v>
      </c>
      <c r="AI378" s="57">
        <f t="shared" si="68"/>
        <v>40000</v>
      </c>
      <c r="AJ378" s="54">
        <f t="shared" si="71"/>
        <v>0.16</v>
      </c>
      <c r="AK378" s="16"/>
      <c r="AV378" s="109"/>
      <c r="AW378" s="109"/>
      <c r="AX378" s="109"/>
    </row>
    <row r="379" spans="1:50" hidden="1">
      <c r="A379" s="41">
        <v>2025</v>
      </c>
      <c r="B379" s="41" t="s">
        <v>176</v>
      </c>
      <c r="C379" s="41" t="s">
        <v>176</v>
      </c>
      <c r="D379" s="41" t="s">
        <v>169</v>
      </c>
      <c r="E379" s="41" t="s">
        <v>28</v>
      </c>
      <c r="F379" s="41" t="s">
        <v>28</v>
      </c>
      <c r="G379" s="41">
        <v>27</v>
      </c>
      <c r="H379" s="41" t="s">
        <v>156</v>
      </c>
      <c r="I379" s="41" t="s">
        <v>280</v>
      </c>
      <c r="J379" s="150">
        <v>45838</v>
      </c>
      <c r="K379" s="16">
        <v>7</v>
      </c>
      <c r="L379" s="16">
        <v>77</v>
      </c>
      <c r="M379" s="16">
        <f>750000</f>
        <v>750000</v>
      </c>
      <c r="N379" s="16">
        <f>1/7*319800</f>
        <v>45685.714285714283</v>
      </c>
      <c r="O379" s="16">
        <f>1/7*975000</f>
        <v>139285.71428571429</v>
      </c>
      <c r="P379" s="16">
        <v>0</v>
      </c>
      <c r="Q379" s="16"/>
      <c r="R379" s="16">
        <v>0</v>
      </c>
      <c r="S379" s="16"/>
      <c r="T379" s="16">
        <f t="shared" si="73"/>
        <v>184971.42857142858</v>
      </c>
      <c r="U379" s="16">
        <v>0</v>
      </c>
      <c r="V379" s="16">
        <f>1/7*2205000</f>
        <v>315000</v>
      </c>
      <c r="W379" s="16">
        <v>0</v>
      </c>
      <c r="X379" s="16">
        <v>0</v>
      </c>
      <c r="Y379" s="16">
        <f t="shared" si="72"/>
        <v>315000</v>
      </c>
      <c r="Z379" s="16">
        <f>25%*M379</f>
        <v>187500</v>
      </c>
      <c r="AA379" s="16">
        <f>6/7*1350000</f>
        <v>1157142.857142857</v>
      </c>
      <c r="AB379" s="16">
        <v>0</v>
      </c>
      <c r="AC379" s="16"/>
      <c r="AD379" s="16">
        <v>0</v>
      </c>
      <c r="AE379" s="16">
        <f t="shared" si="69"/>
        <v>1344642.857142857</v>
      </c>
      <c r="AF379" s="16">
        <f t="shared" si="70"/>
        <v>844671.42857142841</v>
      </c>
      <c r="AG37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2528.5714285714203</v>
      </c>
      <c r="AH379" s="13">
        <f>IFERROR(AG379/(Z379+Table5[[#This Row],[Rider Penalty (Claim, Other Denda to Riders)]]),0)</f>
        <v>1.3485714285714242E-2</v>
      </c>
      <c r="AI379" s="12">
        <f t="shared" si="68"/>
        <v>842142.85714285704</v>
      </c>
      <c r="AJ379" s="16">
        <f t="shared" si="71"/>
        <v>0.72777777777777775</v>
      </c>
      <c r="AK379" s="16"/>
      <c r="AV379" s="109"/>
      <c r="AW379" s="109"/>
      <c r="AX379" s="109"/>
    </row>
    <row r="380" spans="1:50" hidden="1">
      <c r="A380" s="41">
        <v>2025</v>
      </c>
      <c r="B380" s="41" t="s">
        <v>33</v>
      </c>
      <c r="C380" s="41" t="s">
        <v>33</v>
      </c>
      <c r="D380" s="41" t="s">
        <v>169</v>
      </c>
      <c r="E380" s="41" t="s">
        <v>28</v>
      </c>
      <c r="F380" s="41" t="s">
        <v>28</v>
      </c>
      <c r="G380" s="41">
        <v>27</v>
      </c>
      <c r="H380" s="41" t="s">
        <v>156</v>
      </c>
      <c r="I380" s="41" t="s">
        <v>280</v>
      </c>
      <c r="J380" s="150">
        <v>45838</v>
      </c>
      <c r="K380" s="16">
        <v>1</v>
      </c>
      <c r="L380" s="16">
        <v>2</v>
      </c>
      <c r="M380" s="16">
        <f>1/6*352000</f>
        <v>58666.666666666664</v>
      </c>
      <c r="N380" s="16">
        <v>2000</v>
      </c>
      <c r="O380" s="16">
        <f>1/5*150000</f>
        <v>30000</v>
      </c>
      <c r="P380" s="16">
        <v>0</v>
      </c>
      <c r="Q380" s="16"/>
      <c r="R380" s="16">
        <v>0</v>
      </c>
      <c r="S380" s="16"/>
      <c r="T380" s="16">
        <f t="shared" si="73"/>
        <v>32000</v>
      </c>
      <c r="U380" s="16">
        <v>0</v>
      </c>
      <c r="V380" s="16">
        <v>35000</v>
      </c>
      <c r="W380" s="16">
        <v>0</v>
      </c>
      <c r="X380" s="16">
        <v>0</v>
      </c>
      <c r="Y380" s="16">
        <f t="shared" si="72"/>
        <v>35000</v>
      </c>
      <c r="Z380" s="16">
        <f>20%*M380</f>
        <v>11733.333333333334</v>
      </c>
      <c r="AA380" s="16">
        <v>10000</v>
      </c>
      <c r="AB380" s="16">
        <v>25000</v>
      </c>
      <c r="AC380" s="16"/>
      <c r="AD380" s="16"/>
      <c r="AE380" s="16">
        <f t="shared" si="69"/>
        <v>46733.333333333336</v>
      </c>
      <c r="AF380" s="16">
        <f t="shared" si="70"/>
        <v>-20266.666666666664</v>
      </c>
      <c r="AG38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-20266.666666666664</v>
      </c>
      <c r="AH380" s="13">
        <f>IFERROR(AG380/(Z380+Table5[[#This Row],[Rider Penalty (Claim, Other Denda to Riders)]]),0)</f>
        <v>-1.7272727272727271</v>
      </c>
      <c r="AI380" s="12">
        <f t="shared" si="68"/>
        <v>0</v>
      </c>
      <c r="AJ380" s="16">
        <f t="shared" si="71"/>
        <v>0</v>
      </c>
      <c r="AK380" s="16"/>
      <c r="AV380" s="109"/>
      <c r="AW380" s="109"/>
      <c r="AX380" s="109"/>
    </row>
    <row r="381" spans="1:50" hidden="1">
      <c r="A381" s="41">
        <v>2025</v>
      </c>
      <c r="B381" s="41" t="s">
        <v>176</v>
      </c>
      <c r="C381" s="41" t="s">
        <v>176</v>
      </c>
      <c r="D381" s="41" t="s">
        <v>169</v>
      </c>
      <c r="E381" s="41" t="s">
        <v>28</v>
      </c>
      <c r="F381" s="41" t="s">
        <v>28</v>
      </c>
      <c r="G381" s="41">
        <v>27</v>
      </c>
      <c r="H381" s="41" t="s">
        <v>162</v>
      </c>
      <c r="I381" s="41" t="s">
        <v>275</v>
      </c>
      <c r="J381" s="150" t="s">
        <v>403</v>
      </c>
      <c r="K381" s="54">
        <v>9</v>
      </c>
      <c r="L381" s="54">
        <v>595</v>
      </c>
      <c r="M381" s="16">
        <f>6396000-M379</f>
        <v>5646000</v>
      </c>
      <c r="N381" s="16">
        <f>6/7*319800</f>
        <v>274114.28571428568</v>
      </c>
      <c r="O381" s="16">
        <f>6/7*975000</f>
        <v>835714.28571428568</v>
      </c>
      <c r="P381" s="54">
        <v>0</v>
      </c>
      <c r="Q381" s="54"/>
      <c r="R381" s="54">
        <v>0</v>
      </c>
      <c r="S381" s="54"/>
      <c r="T381" s="57">
        <f t="shared" si="73"/>
        <v>1109828.5714285714</v>
      </c>
      <c r="U381" s="54">
        <v>0</v>
      </c>
      <c r="V381" s="16">
        <f>6/7*2205000</f>
        <v>1890000</v>
      </c>
      <c r="W381" s="16">
        <v>0</v>
      </c>
      <c r="X381" s="16">
        <v>0</v>
      </c>
      <c r="Y381" s="57">
        <f t="shared" si="72"/>
        <v>1890000</v>
      </c>
      <c r="Z381" s="54">
        <f>25%*M381</f>
        <v>1411500</v>
      </c>
      <c r="AA381" s="54">
        <f>1350000*1/7</f>
        <v>192857.14285714287</v>
      </c>
      <c r="AB381" s="54">
        <v>0</v>
      </c>
      <c r="AC381" s="54"/>
      <c r="AD381" s="54">
        <v>0</v>
      </c>
      <c r="AE381" s="54">
        <f t="shared" si="69"/>
        <v>1604357.142857143</v>
      </c>
      <c r="AF381" s="54">
        <f t="shared" si="70"/>
        <v>-1395471.4285714284</v>
      </c>
      <c r="AG38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301671.42857142864</v>
      </c>
      <c r="AH381" s="59">
        <f>IFERROR(AG381/(Z381+Table5[[#This Row],[Rider Penalty (Claim, Other Denda to Riders)]]),0)</f>
        <v>0.2137240018217702</v>
      </c>
      <c r="AI381" s="57">
        <f t="shared" si="68"/>
        <v>-1697142.857142857</v>
      </c>
      <c r="AJ381" s="54">
        <f t="shared" si="71"/>
        <v>-8.7999999999999989</v>
      </c>
      <c r="AK381" s="16"/>
      <c r="AV381" s="109"/>
      <c r="AW381" s="109"/>
      <c r="AX381" s="109"/>
    </row>
    <row r="382" spans="1:50" hidden="1">
      <c r="A382" s="41">
        <v>2025</v>
      </c>
      <c r="B382" s="41" t="s">
        <v>33</v>
      </c>
      <c r="C382" s="41" t="s">
        <v>33</v>
      </c>
      <c r="D382" s="41" t="s">
        <v>169</v>
      </c>
      <c r="E382" s="41" t="s">
        <v>28</v>
      </c>
      <c r="F382" s="41" t="s">
        <v>28</v>
      </c>
      <c r="G382" s="41">
        <v>27</v>
      </c>
      <c r="H382" s="41" t="s">
        <v>162</v>
      </c>
      <c r="I382" s="41" t="s">
        <v>275</v>
      </c>
      <c r="J382" s="150" t="s">
        <v>403</v>
      </c>
      <c r="K382" s="16">
        <v>1</v>
      </c>
      <c r="L382" s="16">
        <v>4</v>
      </c>
      <c r="M382" s="16">
        <f>2/6*352000</f>
        <v>117333.33333333333</v>
      </c>
      <c r="N382" s="16">
        <v>4000</v>
      </c>
      <c r="O382" s="16">
        <f>2/6*150000</f>
        <v>50000</v>
      </c>
      <c r="P382" s="16">
        <v>0</v>
      </c>
      <c r="Q382" s="16"/>
      <c r="R382" s="16">
        <v>0</v>
      </c>
      <c r="S382" s="16"/>
      <c r="T382" s="16">
        <f t="shared" si="73"/>
        <v>54000</v>
      </c>
      <c r="U382" s="16">
        <v>0</v>
      </c>
      <c r="V382" s="16">
        <v>70000</v>
      </c>
      <c r="W382" s="16">
        <v>0</v>
      </c>
      <c r="X382" s="16">
        <v>0</v>
      </c>
      <c r="Y382" s="16">
        <f t="shared" si="72"/>
        <v>70000</v>
      </c>
      <c r="Z382" s="16">
        <f>20%*M382</f>
        <v>23466.666666666668</v>
      </c>
      <c r="AA382" s="16">
        <v>60000</v>
      </c>
      <c r="AB382" s="16">
        <v>50000</v>
      </c>
      <c r="AC382" s="16"/>
      <c r="AD382" s="16">
        <v>0</v>
      </c>
      <c r="AE382" s="16">
        <f t="shared" si="69"/>
        <v>133466.66666666669</v>
      </c>
      <c r="AF382" s="16">
        <f t="shared" si="70"/>
        <v>9466.6666666666861</v>
      </c>
      <c r="AG38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-30533.333333333332</v>
      </c>
      <c r="AH382" s="13">
        <f>IFERROR(AG382/(Z382+Table5[[#This Row],[Rider Penalty (Claim, Other Denda to Riders)]]),0)</f>
        <v>-1.3011363636363635</v>
      </c>
      <c r="AI382" s="12">
        <f t="shared" si="68"/>
        <v>40000</v>
      </c>
      <c r="AJ382" s="16">
        <f t="shared" si="71"/>
        <v>0.36363636363636365</v>
      </c>
      <c r="AK382" s="16"/>
      <c r="AV382" s="109"/>
      <c r="AW382" s="109"/>
      <c r="AX382" s="109"/>
    </row>
    <row r="383" spans="1:50" hidden="1">
      <c r="A383" s="41">
        <v>2025</v>
      </c>
      <c r="B383" s="117" t="s">
        <v>23</v>
      </c>
      <c r="C383" s="117" t="s">
        <v>174</v>
      </c>
      <c r="D383" s="117" t="s">
        <v>168</v>
      </c>
      <c r="E383" s="117" t="s">
        <v>24</v>
      </c>
      <c r="F383" s="117" t="s">
        <v>24</v>
      </c>
      <c r="G383" s="41">
        <v>27</v>
      </c>
      <c r="H383" s="41" t="s">
        <v>156</v>
      </c>
      <c r="I383" s="41" t="s">
        <v>275</v>
      </c>
      <c r="J383" s="150">
        <v>45838</v>
      </c>
      <c r="K383" s="41">
        <v>25</v>
      </c>
      <c r="L383" s="41">
        <v>558</v>
      </c>
      <c r="M383" s="41">
        <v>5064000</v>
      </c>
      <c r="N383" s="41">
        <v>293400</v>
      </c>
      <c r="O383" s="41">
        <v>475000</v>
      </c>
      <c r="P383" s="41">
        <v>0</v>
      </c>
      <c r="Q383" s="41"/>
      <c r="R383" s="41">
        <v>0</v>
      </c>
      <c r="S383" s="41"/>
      <c r="T383" s="57">
        <f t="shared" si="73"/>
        <v>768400</v>
      </c>
      <c r="U383" s="41">
        <v>120000</v>
      </c>
      <c r="V383" s="55">
        <f>19*35000</f>
        <v>665000</v>
      </c>
      <c r="W383" s="86">
        <v>0</v>
      </c>
      <c r="X383" s="41">
        <v>0</v>
      </c>
      <c r="Y383" s="57">
        <f t="shared" si="72"/>
        <v>785000</v>
      </c>
      <c r="Z383" s="57">
        <f t="shared" ref="Z383:Z390" si="74">26%*M383</f>
        <v>1316640</v>
      </c>
      <c r="AA383" s="41">
        <v>475000</v>
      </c>
      <c r="AB383" s="41">
        <v>0</v>
      </c>
      <c r="AC383" s="41"/>
      <c r="AD383" s="41">
        <v>0</v>
      </c>
      <c r="AE383" s="41">
        <f t="shared" si="69"/>
        <v>1791640</v>
      </c>
      <c r="AF383" s="57">
        <f t="shared" si="70"/>
        <v>238240</v>
      </c>
      <c r="AG383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428240</v>
      </c>
      <c r="AH383" s="59">
        <f>IFERROR(AG383/(Z383+Table5[[#This Row],[Rider Penalty (Claim, Other Denda to Riders)]]),0)</f>
        <v>0.32525215700571153</v>
      </c>
      <c r="AI383" s="57">
        <f t="shared" si="68"/>
        <v>-190000</v>
      </c>
      <c r="AJ383" s="41">
        <f t="shared" si="71"/>
        <v>-0.4</v>
      </c>
      <c r="AV383" s="109">
        <f>Table5[[#This Row],[Total Selling Comission/Sales (Weekly)]]/Table5[[#This Row],[Total Revenue Sharing % (Weekly)]]*100%</f>
        <v>0.22283995625227854</v>
      </c>
      <c r="AW383" s="109">
        <f>Table5[[#This Row],[Total Daily Incentive (Weekly)]]/Table5[[#This Row],[Total Revenue Sharing % (Weekly)]]*100%</f>
        <v>0.36076680034026004</v>
      </c>
      <c r="AX383" s="109">
        <f t="shared" ref="AX383:AX390" si="75">(N383+O383)/Z383*100%</f>
        <v>0.58360675659253858</v>
      </c>
    </row>
    <row r="384" spans="1:50" hidden="1">
      <c r="A384" s="41">
        <v>2025</v>
      </c>
      <c r="B384" s="64" t="s">
        <v>23</v>
      </c>
      <c r="C384" s="64" t="s">
        <v>173</v>
      </c>
      <c r="D384" s="64" t="s">
        <v>168</v>
      </c>
      <c r="E384" s="64" t="s">
        <v>24</v>
      </c>
      <c r="F384" s="147" t="s">
        <v>282</v>
      </c>
      <c r="G384" s="41">
        <v>27</v>
      </c>
      <c r="H384" s="41" t="s">
        <v>156</v>
      </c>
      <c r="I384" s="41" t="s">
        <v>275</v>
      </c>
      <c r="J384" s="150">
        <v>45838</v>
      </c>
      <c r="K384" s="16">
        <v>19</v>
      </c>
      <c r="L384" s="16">
        <v>426</v>
      </c>
      <c r="M384" s="16">
        <v>3814000</v>
      </c>
      <c r="N384" s="16">
        <v>285700</v>
      </c>
      <c r="O384" s="16">
        <v>375000</v>
      </c>
      <c r="P384" s="16">
        <v>0</v>
      </c>
      <c r="Q384" s="16"/>
      <c r="R384" s="16">
        <v>0</v>
      </c>
      <c r="S384" s="16"/>
      <c r="T384" s="12">
        <f t="shared" si="73"/>
        <v>660700</v>
      </c>
      <c r="U384" s="16">
        <v>0</v>
      </c>
      <c r="V384" s="16">
        <f>15*35000</f>
        <v>525000</v>
      </c>
      <c r="W384" s="16">
        <v>0</v>
      </c>
      <c r="X384" s="16">
        <v>0</v>
      </c>
      <c r="Y384" s="12">
        <f t="shared" si="72"/>
        <v>525000</v>
      </c>
      <c r="Z384" s="16">
        <f t="shared" si="74"/>
        <v>991640</v>
      </c>
      <c r="AA384" s="16">
        <v>375000</v>
      </c>
      <c r="AB384" s="16">
        <v>0</v>
      </c>
      <c r="AC384" s="16"/>
      <c r="AD384" s="16">
        <v>0</v>
      </c>
      <c r="AE384" s="16">
        <f t="shared" si="69"/>
        <v>1366640</v>
      </c>
      <c r="AF384" s="16">
        <f t="shared" si="70"/>
        <v>180940</v>
      </c>
      <c r="AG38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330940</v>
      </c>
      <c r="AH384" s="13">
        <f>IFERROR(AG384/(Z384+Table5[[#This Row],[Rider Penalty (Claim, Other Denda to Riders)]]),0)</f>
        <v>0.33372998265499576</v>
      </c>
      <c r="AI384" s="12">
        <f t="shared" si="68"/>
        <v>-150000</v>
      </c>
      <c r="AJ384" s="16">
        <f t="shared" si="71"/>
        <v>-0.4</v>
      </c>
      <c r="AK384" s="16"/>
      <c r="AV384" s="109">
        <f>Table5[[#This Row],[Total Selling Comission/Sales (Weekly)]]/Table5[[#This Row],[Total Revenue Sharing % (Weekly)]]*100%</f>
        <v>0.28810858779395748</v>
      </c>
      <c r="AW384" s="109">
        <f>Table5[[#This Row],[Total Daily Incentive (Weekly)]]/Table5[[#This Row],[Total Revenue Sharing % (Weekly)]]*100%</f>
        <v>0.37816142955104676</v>
      </c>
      <c r="AX384" s="109">
        <f t="shared" si="75"/>
        <v>0.66627001734500424</v>
      </c>
    </row>
    <row r="385" spans="1:50" hidden="1">
      <c r="A385" s="41">
        <v>2025</v>
      </c>
      <c r="B385" s="117" t="s">
        <v>23</v>
      </c>
      <c r="C385" s="117" t="s">
        <v>174</v>
      </c>
      <c r="D385" s="117" t="s">
        <v>168</v>
      </c>
      <c r="E385" s="117" t="s">
        <v>24</v>
      </c>
      <c r="F385" s="117" t="s">
        <v>24</v>
      </c>
      <c r="G385" s="41">
        <v>27</v>
      </c>
      <c r="H385" s="41" t="s">
        <v>162</v>
      </c>
      <c r="I385" s="41" t="s">
        <v>275</v>
      </c>
      <c r="J385" s="150" t="s">
        <v>403</v>
      </c>
      <c r="K385" s="41">
        <v>25</v>
      </c>
      <c r="L385" s="41">
        <v>3721</v>
      </c>
      <c r="M385" s="41">
        <v>33794000</v>
      </c>
      <c r="N385" s="16">
        <v>3125450</v>
      </c>
      <c r="O385" s="16">
        <v>3720000</v>
      </c>
      <c r="P385" s="41">
        <v>0</v>
      </c>
      <c r="Q385" s="41"/>
      <c r="R385" s="41">
        <v>0</v>
      </c>
      <c r="S385" s="41"/>
      <c r="T385" s="57">
        <f t="shared" si="73"/>
        <v>6845450</v>
      </c>
      <c r="U385" s="41">
        <v>720000</v>
      </c>
      <c r="V385" s="55">
        <f>116*35000</f>
        <v>4060000</v>
      </c>
      <c r="W385" s="86">
        <v>0</v>
      </c>
      <c r="X385" s="41">
        <v>0</v>
      </c>
      <c r="Y385" s="57">
        <f t="shared" si="72"/>
        <v>4780000</v>
      </c>
      <c r="Z385" s="57">
        <f t="shared" si="74"/>
        <v>8786440</v>
      </c>
      <c r="AA385" s="41">
        <v>3750000</v>
      </c>
      <c r="AB385" s="41">
        <v>0</v>
      </c>
      <c r="AC385" s="41"/>
      <c r="AD385" s="41">
        <v>75000</v>
      </c>
      <c r="AE385" s="41">
        <f t="shared" si="69"/>
        <v>12611440</v>
      </c>
      <c r="AF385" s="57">
        <f t="shared" si="70"/>
        <v>985990</v>
      </c>
      <c r="AG38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1295990</v>
      </c>
      <c r="AH385" s="59">
        <f>IFERROR(AG385/(Z385+Table5[[#This Row],[Rider Penalty (Claim, Other Denda to Riders)]]),0)</f>
        <v>0.1462504965332948</v>
      </c>
      <c r="AI385" s="57">
        <f t="shared" si="68"/>
        <v>-310000</v>
      </c>
      <c r="AJ385" s="41">
        <f t="shared" si="71"/>
        <v>-8.2666666666666666E-2</v>
      </c>
      <c r="AV385" s="109">
        <f>Table5[[#This Row],[Total Selling Comission/Sales (Weekly)]]/Table5[[#This Row],[Total Revenue Sharing % (Weekly)]]*100%</f>
        <v>0.35571289395932826</v>
      </c>
      <c r="AW385" s="109">
        <f>Table5[[#This Row],[Total Daily Incentive (Weekly)]]/Table5[[#This Row],[Total Revenue Sharing % (Weekly)]]*100%</f>
        <v>0.42337966229781343</v>
      </c>
      <c r="AX385" s="109">
        <f t="shared" si="75"/>
        <v>0.77909255625714169</v>
      </c>
    </row>
    <row r="386" spans="1:50" hidden="1">
      <c r="A386" s="41">
        <v>2025</v>
      </c>
      <c r="B386" s="64" t="s">
        <v>23</v>
      </c>
      <c r="C386" s="64" t="s">
        <v>173</v>
      </c>
      <c r="D386" s="64" t="s">
        <v>168</v>
      </c>
      <c r="E386" s="64" t="s">
        <v>24</v>
      </c>
      <c r="F386" s="147" t="s">
        <v>282</v>
      </c>
      <c r="G386" s="41">
        <v>27</v>
      </c>
      <c r="H386" s="41" t="s">
        <v>162</v>
      </c>
      <c r="I386" s="41" t="s">
        <v>275</v>
      </c>
      <c r="J386" s="150" t="s">
        <v>403</v>
      </c>
      <c r="K386" s="16">
        <v>19</v>
      </c>
      <c r="L386" s="16">
        <v>3383</v>
      </c>
      <c r="M386" s="16">
        <v>30342000</v>
      </c>
      <c r="N386" s="16">
        <v>2449060</v>
      </c>
      <c r="O386" s="16">
        <v>2600000</v>
      </c>
      <c r="P386" s="16">
        <v>0</v>
      </c>
      <c r="Q386" s="16"/>
      <c r="R386" s="16">
        <v>0</v>
      </c>
      <c r="S386" s="16"/>
      <c r="T386" s="12">
        <f t="shared" si="73"/>
        <v>5049060</v>
      </c>
      <c r="U386" s="16">
        <v>0</v>
      </c>
      <c r="V386" s="16">
        <f>80*35000</f>
        <v>2800000</v>
      </c>
      <c r="W386" s="16">
        <v>0</v>
      </c>
      <c r="X386" s="16">
        <v>0</v>
      </c>
      <c r="Y386" s="12">
        <f t="shared" si="72"/>
        <v>2800000</v>
      </c>
      <c r="Z386" s="16">
        <f t="shared" si="74"/>
        <v>7888920</v>
      </c>
      <c r="AA386" s="16">
        <v>2850000</v>
      </c>
      <c r="AB386" s="16">
        <v>0</v>
      </c>
      <c r="AC386" s="16"/>
      <c r="AD386" s="16">
        <v>0</v>
      </c>
      <c r="AE386" s="16">
        <f t="shared" si="69"/>
        <v>10738920</v>
      </c>
      <c r="AF386" s="16">
        <f t="shared" si="70"/>
        <v>2889860</v>
      </c>
      <c r="AG38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2839860</v>
      </c>
      <c r="AH386" s="13">
        <f>IFERROR(AG386/(Z386+Table5[[#This Row],[Rider Penalty (Claim, Other Denda to Riders)]]),0)</f>
        <v>0.35998083387840163</v>
      </c>
      <c r="AI386" s="12">
        <f t="shared" si="68"/>
        <v>50000</v>
      </c>
      <c r="AJ386" s="16">
        <f t="shared" si="71"/>
        <v>1.7543859649122806E-2</v>
      </c>
      <c r="AK386" s="16"/>
      <c r="AV386" s="109">
        <f>Table5[[#This Row],[Total Selling Comission/Sales (Weekly)]]/Table5[[#This Row],[Total Revenue Sharing % (Weekly)]]*100%</f>
        <v>0.31044300106985495</v>
      </c>
      <c r="AW386" s="109">
        <f>Table5[[#This Row],[Total Daily Incentive (Weekly)]]/Table5[[#This Row],[Total Revenue Sharing % (Weekly)]]*100%</f>
        <v>0.32957616505174347</v>
      </c>
      <c r="AX386" s="109">
        <f t="shared" si="75"/>
        <v>0.64001916612159837</v>
      </c>
    </row>
    <row r="387" spans="1:50" hidden="1">
      <c r="A387" s="41">
        <v>2025</v>
      </c>
      <c r="B387" s="117" t="s">
        <v>23</v>
      </c>
      <c r="C387" s="117" t="s">
        <v>174</v>
      </c>
      <c r="D387" s="117" t="s">
        <v>168</v>
      </c>
      <c r="E387" s="117" t="s">
        <v>24</v>
      </c>
      <c r="F387" s="117" t="s">
        <v>24</v>
      </c>
      <c r="G387" s="41">
        <v>28</v>
      </c>
      <c r="H387" s="41" t="s">
        <v>162</v>
      </c>
      <c r="I387" s="41" t="s">
        <v>256</v>
      </c>
      <c r="J387" s="150" t="s">
        <v>404</v>
      </c>
      <c r="K387" s="41">
        <v>23</v>
      </c>
      <c r="L387" s="41">
        <v>5023</v>
      </c>
      <c r="M387" s="41">
        <v>45836000</v>
      </c>
      <c r="N387" s="41">
        <v>4493200</v>
      </c>
      <c r="O387" s="41">
        <v>4897500</v>
      </c>
      <c r="P387" s="41">
        <v>0</v>
      </c>
      <c r="Q387" s="41"/>
      <c r="R387" s="41">
        <v>0</v>
      </c>
      <c r="S387" s="41"/>
      <c r="T387" s="57">
        <f t="shared" si="73"/>
        <v>9390700</v>
      </c>
      <c r="U387" s="41">
        <v>840000</v>
      </c>
      <c r="V387" s="55">
        <f>147*35000</f>
        <v>5145000</v>
      </c>
      <c r="W387" s="86">
        <v>0</v>
      </c>
      <c r="X387" s="41">
        <v>0</v>
      </c>
      <c r="Y387" s="57">
        <f t="shared" si="72"/>
        <v>5985000</v>
      </c>
      <c r="Z387" s="57">
        <f t="shared" si="74"/>
        <v>11917360</v>
      </c>
      <c r="AA387" s="41">
        <v>3675000</v>
      </c>
      <c r="AB387" s="41">
        <v>0</v>
      </c>
      <c r="AC387" s="41"/>
      <c r="AD387" s="41">
        <v>50000</v>
      </c>
      <c r="AE387" s="41">
        <f t="shared" si="69"/>
        <v>15642360</v>
      </c>
      <c r="AF387" s="57">
        <f t="shared" si="70"/>
        <v>266660</v>
      </c>
      <c r="AG387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1736660</v>
      </c>
      <c r="AH387" s="59">
        <f>IFERROR(AG387/(Z387+Table5[[#This Row],[Rider Penalty (Claim, Other Denda to Riders)]]),0)</f>
        <v>0.14511638322904968</v>
      </c>
      <c r="AI387" s="57">
        <f t="shared" si="68"/>
        <v>-1470000</v>
      </c>
      <c r="AJ387" s="41">
        <f t="shared" si="71"/>
        <v>-0.4</v>
      </c>
      <c r="AV387" s="109">
        <f>Table5[[#This Row],[Total Selling Comission/Sales (Weekly)]]/Table5[[#This Row],[Total Revenue Sharing % (Weekly)]]*100%</f>
        <v>0.37702981197177898</v>
      </c>
      <c r="AW387" s="109">
        <f>Table5[[#This Row],[Total Daily Incentive (Weekly)]]/Table5[[#This Row],[Total Revenue Sharing % (Weekly)]]*100%</f>
        <v>0.41095511086347986</v>
      </c>
      <c r="AX387" s="109">
        <f t="shared" si="75"/>
        <v>0.78798492283525878</v>
      </c>
    </row>
    <row r="388" spans="1:50" hidden="1">
      <c r="A388" s="41">
        <v>2025</v>
      </c>
      <c r="B388" s="64" t="s">
        <v>23</v>
      </c>
      <c r="C388" s="64" t="s">
        <v>173</v>
      </c>
      <c r="D388" s="64" t="s">
        <v>168</v>
      </c>
      <c r="E388" s="64" t="s">
        <v>24</v>
      </c>
      <c r="F388" s="147" t="s">
        <v>282</v>
      </c>
      <c r="G388" s="41">
        <v>28</v>
      </c>
      <c r="H388" s="41" t="s">
        <v>162</v>
      </c>
      <c r="I388" s="41" t="s">
        <v>256</v>
      </c>
      <c r="J388" s="150" t="s">
        <v>404</v>
      </c>
      <c r="K388" s="16">
        <v>23</v>
      </c>
      <c r="L388" s="16">
        <v>4929</v>
      </c>
      <c r="M388" s="16">
        <v>43878000</v>
      </c>
      <c r="N388" s="16">
        <v>4553020</v>
      </c>
      <c r="O388" s="16">
        <v>4532500</v>
      </c>
      <c r="P388" s="16">
        <v>0</v>
      </c>
      <c r="Q388" s="16"/>
      <c r="R388" s="16">
        <v>0</v>
      </c>
      <c r="S388" s="16"/>
      <c r="T388" s="12">
        <f t="shared" si="73"/>
        <v>9085520</v>
      </c>
      <c r="U388" s="16">
        <v>840000</v>
      </c>
      <c r="V388" s="16">
        <f>136*35000</f>
        <v>4760000</v>
      </c>
      <c r="W388" s="16">
        <v>0</v>
      </c>
      <c r="X388" s="16">
        <v>0</v>
      </c>
      <c r="Y388" s="12">
        <f t="shared" si="72"/>
        <v>5600000</v>
      </c>
      <c r="Z388" s="16">
        <f t="shared" si="74"/>
        <v>11408280</v>
      </c>
      <c r="AA388" s="16">
        <v>3400000</v>
      </c>
      <c r="AB388" s="16">
        <v>0</v>
      </c>
      <c r="AC388" s="16"/>
      <c r="AD388" s="16">
        <v>0</v>
      </c>
      <c r="AE388" s="16">
        <f t="shared" si="69"/>
        <v>14808280</v>
      </c>
      <c r="AF388" s="16">
        <f t="shared" si="70"/>
        <v>122760</v>
      </c>
      <c r="AG38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1482760</v>
      </c>
      <c r="AH388" s="13">
        <f>IFERROR(AG388/(Z388+Table5[[#This Row],[Rider Penalty (Claim, Other Denda to Riders)]]),0)</f>
        <v>0.12997226575785306</v>
      </c>
      <c r="AI388" s="12">
        <f t="shared" si="68"/>
        <v>-1360000</v>
      </c>
      <c r="AJ388" s="16">
        <f t="shared" si="71"/>
        <v>-0.4</v>
      </c>
      <c r="AK388" s="16"/>
      <c r="AV388" s="109">
        <f>Table5[[#This Row],[Total Selling Comission/Sales (Weekly)]]/Table5[[#This Row],[Total Revenue Sharing % (Weekly)]]*100%</f>
        <v>0.39909784822953154</v>
      </c>
      <c r="AW388" s="109">
        <f>Table5[[#This Row],[Total Daily Incentive (Weekly)]]/Table5[[#This Row],[Total Revenue Sharing % (Weekly)]]*100%</f>
        <v>0.39729915464907944</v>
      </c>
      <c r="AX388" s="109">
        <f t="shared" si="75"/>
        <v>0.79639700287861093</v>
      </c>
    </row>
    <row r="389" spans="1:50" hidden="1">
      <c r="A389" s="41">
        <v>2025</v>
      </c>
      <c r="B389" s="41" t="s">
        <v>23</v>
      </c>
      <c r="C389" s="41" t="s">
        <v>23</v>
      </c>
      <c r="D389" s="41" t="s">
        <v>168</v>
      </c>
      <c r="E389" s="41" t="s">
        <v>28</v>
      </c>
      <c r="F389" s="41" t="s">
        <v>25</v>
      </c>
      <c r="G389" s="41">
        <v>28</v>
      </c>
      <c r="H389" s="41" t="s">
        <v>162</v>
      </c>
      <c r="I389" s="41" t="s">
        <v>256</v>
      </c>
      <c r="J389" s="150" t="s">
        <v>404</v>
      </c>
      <c r="K389" s="54">
        <v>247</v>
      </c>
      <c r="L389" s="54">
        <v>82969</v>
      </c>
      <c r="M389" s="54">
        <v>726670000</v>
      </c>
      <c r="N389" s="54">
        <v>86668690</v>
      </c>
      <c r="O389" s="54">
        <f>60567500+770000</f>
        <v>61337500</v>
      </c>
      <c r="P389" s="54">
        <v>0</v>
      </c>
      <c r="Q389" s="54"/>
      <c r="R389" s="54">
        <v>0</v>
      </c>
      <c r="S389" s="54"/>
      <c r="T389" s="54">
        <f t="shared" si="73"/>
        <v>148006190</v>
      </c>
      <c r="U389" s="54">
        <v>3850000</v>
      </c>
      <c r="V389" s="110">
        <f>60515000-490000</f>
        <v>60025000</v>
      </c>
      <c r="W389" s="111">
        <v>0</v>
      </c>
      <c r="X389" s="54">
        <v>844445</v>
      </c>
      <c r="Y389" s="54">
        <f t="shared" si="72"/>
        <v>64719445</v>
      </c>
      <c r="Z389" s="54">
        <f t="shared" si="74"/>
        <v>188934200</v>
      </c>
      <c r="AA389" s="54">
        <v>36050000</v>
      </c>
      <c r="AB389" s="54">
        <v>0</v>
      </c>
      <c r="AC389" s="54"/>
      <c r="AD389" s="54">
        <v>0</v>
      </c>
      <c r="AE389" s="54">
        <f t="shared" si="69"/>
        <v>224984200</v>
      </c>
      <c r="AF389" s="54">
        <f t="shared" si="70"/>
        <v>12258565</v>
      </c>
      <c r="AG389" s="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36233565</v>
      </c>
      <c r="AH389" s="59">
        <f>IFERROR(AG389/(Z389+Table5[[#This Row],[Rider Penalty (Claim, Other Denda to Riders)]]),0)</f>
        <v>0.19177875154418839</v>
      </c>
      <c r="AI389" s="57">
        <f t="shared" si="68"/>
        <v>-23975000</v>
      </c>
      <c r="AJ389" s="41">
        <f t="shared" si="71"/>
        <v>-0.66504854368932043</v>
      </c>
      <c r="AV389" s="109">
        <f>Table5[[#This Row],[Total Selling Comission/Sales (Weekly)]]/Table5[[#This Row],[Total Revenue Sharing % (Weekly)]]*100%</f>
        <v>0.45872420133570313</v>
      </c>
      <c r="AW389" s="109">
        <f>Table5[[#This Row],[Total Daily Incentive (Weekly)]]/Table5[[#This Row],[Total Revenue Sharing % (Weekly)]]*100%</f>
        <v>0.32465006335539037</v>
      </c>
      <c r="AX389" s="109">
        <f t="shared" si="75"/>
        <v>0.7833742646910935</v>
      </c>
    </row>
    <row r="390" spans="1:50" hidden="1">
      <c r="A390" s="41">
        <v>2025</v>
      </c>
      <c r="B390" s="41" t="s">
        <v>23</v>
      </c>
      <c r="C390" s="41" t="s">
        <v>172</v>
      </c>
      <c r="D390" s="41" t="s">
        <v>168</v>
      </c>
      <c r="E390" s="41" t="s">
        <v>28</v>
      </c>
      <c r="F390" s="41" t="s">
        <v>31</v>
      </c>
      <c r="G390" s="41">
        <v>28</v>
      </c>
      <c r="H390" s="41" t="s">
        <v>162</v>
      </c>
      <c r="I390" s="41" t="s">
        <v>256</v>
      </c>
      <c r="J390" s="150" t="s">
        <v>404</v>
      </c>
      <c r="K390" s="16">
        <v>19</v>
      </c>
      <c r="L390" s="16">
        <v>6268</v>
      </c>
      <c r="M390" s="16">
        <v>55138000</v>
      </c>
      <c r="N390" s="16">
        <v>6436585</v>
      </c>
      <c r="O390" s="16">
        <v>5042500</v>
      </c>
      <c r="P390" s="16">
        <v>0</v>
      </c>
      <c r="Q390" s="16"/>
      <c r="R390" s="16">
        <v>0</v>
      </c>
      <c r="S390" s="16"/>
      <c r="T390" s="16">
        <f t="shared" si="73"/>
        <v>11479085</v>
      </c>
      <c r="U390" s="16">
        <v>150000</v>
      </c>
      <c r="V390" s="16">
        <v>4655000</v>
      </c>
      <c r="W390" s="16">
        <v>0</v>
      </c>
      <c r="X390" s="16">
        <v>425600</v>
      </c>
      <c r="Y390" s="16">
        <f t="shared" si="72"/>
        <v>5230600</v>
      </c>
      <c r="Z390" s="16">
        <f t="shared" si="74"/>
        <v>14335880</v>
      </c>
      <c r="AA390" s="16">
        <v>2850000</v>
      </c>
      <c r="AB390" s="16">
        <v>0</v>
      </c>
      <c r="AC390" s="16"/>
      <c r="AD390" s="16">
        <v>0</v>
      </c>
      <c r="AE390" s="16">
        <f t="shared" si="69"/>
        <v>17185880</v>
      </c>
      <c r="AF390" s="16">
        <f t="shared" si="70"/>
        <v>476195</v>
      </c>
      <c r="AG39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2281195</v>
      </c>
      <c r="AH390" s="13">
        <f>IFERROR(AG390/(Z390+Table5[[#This Row],[Rider Penalty (Claim, Other Denda to Riders)]]),0)</f>
        <v>0.15912486711663323</v>
      </c>
      <c r="AI390" s="12">
        <f t="shared" si="68"/>
        <v>-1805000</v>
      </c>
      <c r="AJ390" s="16">
        <f t="shared" si="71"/>
        <v>-0.6333333333333333</v>
      </c>
      <c r="AK390" s="16"/>
      <c r="AV390" s="109">
        <f>Table5[[#This Row],[Total Selling Comission/Sales (Weekly)]]/Table5[[#This Row],[Total Revenue Sharing % (Weekly)]]*100%</f>
        <v>0.44898429674355533</v>
      </c>
      <c r="AW390" s="109">
        <f>Table5[[#This Row],[Total Daily Incentive (Weekly)]]/Table5[[#This Row],[Total Revenue Sharing % (Weekly)]]*100%</f>
        <v>0.3517398304115269</v>
      </c>
      <c r="AX390" s="109">
        <f t="shared" si="75"/>
        <v>0.80072412715508223</v>
      </c>
    </row>
    <row r="391" spans="1:50" hidden="1">
      <c r="A391" s="41">
        <v>2025</v>
      </c>
      <c r="B391" s="41" t="s">
        <v>27</v>
      </c>
      <c r="C391" s="41" t="s">
        <v>27</v>
      </c>
      <c r="D391" s="41" t="s">
        <v>169</v>
      </c>
      <c r="E391" s="41" t="s">
        <v>28</v>
      </c>
      <c r="F391" s="41" t="s">
        <v>28</v>
      </c>
      <c r="G391" s="41">
        <v>28</v>
      </c>
      <c r="H391" s="41" t="s">
        <v>162</v>
      </c>
      <c r="I391" s="41" t="s">
        <v>256</v>
      </c>
      <c r="J391" s="150" t="s">
        <v>404</v>
      </c>
      <c r="K391" s="41">
        <v>5</v>
      </c>
      <c r="L391" s="41">
        <v>871</v>
      </c>
      <c r="M391" s="41">
        <v>7933000</v>
      </c>
      <c r="N391" s="41">
        <v>584160</v>
      </c>
      <c r="O391" s="41">
        <v>895000</v>
      </c>
      <c r="P391" s="41">
        <v>0</v>
      </c>
      <c r="Q391" s="41"/>
      <c r="R391" s="41">
        <v>0</v>
      </c>
      <c r="S391" s="41"/>
      <c r="T391" s="57">
        <f t="shared" si="73"/>
        <v>1479160</v>
      </c>
      <c r="U391" s="41">
        <v>0</v>
      </c>
      <c r="V391" s="55">
        <v>1225000</v>
      </c>
      <c r="W391" s="86">
        <v>0</v>
      </c>
      <c r="X391" s="41">
        <v>0</v>
      </c>
      <c r="Y391" s="57">
        <f t="shared" si="72"/>
        <v>1225000</v>
      </c>
      <c r="Z391" s="57">
        <f>20%*M391</f>
        <v>1586600</v>
      </c>
      <c r="AA391" s="41">
        <v>750000</v>
      </c>
      <c r="AB391" s="41">
        <v>725000</v>
      </c>
      <c r="AC391" s="41"/>
      <c r="AD391" s="41">
        <v>0</v>
      </c>
      <c r="AE391" s="41">
        <f t="shared" si="69"/>
        <v>3061600</v>
      </c>
      <c r="AF391" s="57">
        <f t="shared" si="70"/>
        <v>357440</v>
      </c>
      <c r="AG391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107440</v>
      </c>
      <c r="AH391" s="59">
        <f>IFERROR(AG391/(Z391+Table5[[#This Row],[Rider Penalty (Claim, Other Denda to Riders)]]),0)</f>
        <v>6.7717130971889569E-2</v>
      </c>
      <c r="AI391" s="57">
        <f t="shared" ref="AI391:AI422" si="76">AA391+AB391-V391</f>
        <v>250000</v>
      </c>
      <c r="AJ391" s="41">
        <f t="shared" si="71"/>
        <v>0.16949152542372881</v>
      </c>
      <c r="AV391" s="109"/>
      <c r="AW391" s="109"/>
      <c r="AX391" s="109"/>
    </row>
    <row r="392" spans="1:50" hidden="1">
      <c r="A392" s="41">
        <v>2025</v>
      </c>
      <c r="B392" s="41" t="s">
        <v>29</v>
      </c>
      <c r="C392" s="41" t="s">
        <v>29</v>
      </c>
      <c r="D392" s="41" t="s">
        <v>169</v>
      </c>
      <c r="E392" s="41" t="s">
        <v>28</v>
      </c>
      <c r="F392" s="41" t="s">
        <v>28</v>
      </c>
      <c r="G392" s="41">
        <v>28</v>
      </c>
      <c r="H392" s="41" t="s">
        <v>162</v>
      </c>
      <c r="I392" s="41" t="s">
        <v>256</v>
      </c>
      <c r="J392" s="150" t="s">
        <v>404</v>
      </c>
      <c r="K392" s="16">
        <v>1</v>
      </c>
      <c r="L392" s="16">
        <v>22</v>
      </c>
      <c r="M392" s="16">
        <v>194000</v>
      </c>
      <c r="N392" s="16">
        <v>9700</v>
      </c>
      <c r="O392" s="16">
        <v>75000</v>
      </c>
      <c r="P392" s="16">
        <v>0</v>
      </c>
      <c r="Q392" s="16"/>
      <c r="R392" s="16">
        <v>0</v>
      </c>
      <c r="S392" s="16"/>
      <c r="T392" s="12">
        <f t="shared" si="73"/>
        <v>84700</v>
      </c>
      <c r="U392" s="16">
        <v>0</v>
      </c>
      <c r="V392" s="16">
        <v>245000</v>
      </c>
      <c r="W392" s="16">
        <v>0</v>
      </c>
      <c r="X392" s="16">
        <v>0</v>
      </c>
      <c r="Y392" s="12">
        <f t="shared" si="72"/>
        <v>245000</v>
      </c>
      <c r="Z392" s="16">
        <f>20%*M392</f>
        <v>38800</v>
      </c>
      <c r="AA392" s="16">
        <v>150000</v>
      </c>
      <c r="AB392" s="16">
        <v>50000</v>
      </c>
      <c r="AC392" s="16"/>
      <c r="AD392" s="16">
        <v>0</v>
      </c>
      <c r="AE392" s="16">
        <f t="shared" si="69"/>
        <v>238800</v>
      </c>
      <c r="AF392" s="16">
        <f t="shared" si="70"/>
        <v>-90900</v>
      </c>
      <c r="AG39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-45900</v>
      </c>
      <c r="AH392" s="13">
        <f>IFERROR(AG392/(Z392+Table5[[#This Row],[Rider Penalty (Claim, Other Denda to Riders)]]),0)</f>
        <v>-1.1829896907216495</v>
      </c>
      <c r="AI392" s="12">
        <f t="shared" si="76"/>
        <v>-45000</v>
      </c>
      <c r="AJ392" s="16">
        <f t="shared" si="71"/>
        <v>-0.22500000000000001</v>
      </c>
      <c r="AK392" s="16"/>
      <c r="AV392" s="109"/>
      <c r="AW392" s="109"/>
      <c r="AX392" s="109"/>
    </row>
    <row r="393" spans="1:50" hidden="1">
      <c r="A393" s="41">
        <v>2025</v>
      </c>
      <c r="B393" s="41" t="s">
        <v>33</v>
      </c>
      <c r="C393" s="41" t="s">
        <v>33</v>
      </c>
      <c r="D393" s="41" t="s">
        <v>169</v>
      </c>
      <c r="E393" s="41" t="s">
        <v>28</v>
      </c>
      <c r="F393" s="41" t="s">
        <v>28</v>
      </c>
      <c r="G393" s="41">
        <v>28</v>
      </c>
      <c r="H393" s="41" t="s">
        <v>162</v>
      </c>
      <c r="I393" s="41" t="s">
        <v>256</v>
      </c>
      <c r="J393" s="150" t="s">
        <v>404</v>
      </c>
      <c r="K393" s="16">
        <v>1</v>
      </c>
      <c r="L393" s="16">
        <v>10</v>
      </c>
      <c r="M393" s="16">
        <v>154000</v>
      </c>
      <c r="N393" s="16">
        <v>0</v>
      </c>
      <c r="O393" s="16">
        <v>75000</v>
      </c>
      <c r="P393" s="16">
        <v>0</v>
      </c>
      <c r="Q393" s="16"/>
      <c r="R393" s="16">
        <v>0</v>
      </c>
      <c r="S393" s="16"/>
      <c r="T393" s="12">
        <f t="shared" si="73"/>
        <v>75000</v>
      </c>
      <c r="U393" s="16">
        <v>0</v>
      </c>
      <c r="V393" s="16">
        <v>245000</v>
      </c>
      <c r="W393" s="16">
        <v>0</v>
      </c>
      <c r="X393" s="16">
        <v>0</v>
      </c>
      <c r="Y393" s="12">
        <f t="shared" si="72"/>
        <v>245000</v>
      </c>
      <c r="Z393" s="16">
        <f>20%*M393</f>
        <v>30800</v>
      </c>
      <c r="AA393" s="16">
        <v>150000</v>
      </c>
      <c r="AB393" s="16">
        <v>75000</v>
      </c>
      <c r="AC393" s="16"/>
      <c r="AD393" s="16"/>
      <c r="AE393" s="16">
        <f t="shared" si="69"/>
        <v>255800</v>
      </c>
      <c r="AF393" s="16">
        <f t="shared" si="70"/>
        <v>-64200</v>
      </c>
      <c r="AG39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-44200</v>
      </c>
      <c r="AH393" s="13">
        <f>IFERROR(AG393/(Z393+Table5[[#This Row],[Rider Penalty (Claim, Other Denda to Riders)]]),0)</f>
        <v>-1.4350649350649352</v>
      </c>
      <c r="AI393" s="12">
        <f t="shared" si="76"/>
        <v>-20000</v>
      </c>
      <c r="AJ393" s="16">
        <f t="shared" si="71"/>
        <v>-8.8888888888888892E-2</v>
      </c>
      <c r="AK393" s="16"/>
      <c r="AV393" s="109"/>
      <c r="AW393" s="109"/>
      <c r="AX393" s="109"/>
    </row>
    <row r="394" spans="1:50" hidden="1">
      <c r="A394" s="41">
        <v>2025</v>
      </c>
      <c r="B394" s="41" t="s">
        <v>176</v>
      </c>
      <c r="C394" s="41" t="s">
        <v>176</v>
      </c>
      <c r="D394" s="41" t="s">
        <v>169</v>
      </c>
      <c r="E394" s="41" t="s">
        <v>28</v>
      </c>
      <c r="F394" s="41" t="s">
        <v>28</v>
      </c>
      <c r="G394" s="41">
        <v>28</v>
      </c>
      <c r="H394" s="41" t="s">
        <v>162</v>
      </c>
      <c r="I394" s="41" t="s">
        <v>256</v>
      </c>
      <c r="J394" s="150" t="s">
        <v>404</v>
      </c>
      <c r="K394" s="16">
        <v>5</v>
      </c>
      <c r="L394" s="16">
        <v>418</v>
      </c>
      <c r="M394" s="16">
        <v>3952000</v>
      </c>
      <c r="N394" s="16">
        <v>197000</v>
      </c>
      <c r="O394" s="16">
        <v>525000</v>
      </c>
      <c r="P394" s="16">
        <v>0</v>
      </c>
      <c r="Q394" s="16"/>
      <c r="R394" s="16">
        <v>0</v>
      </c>
      <c r="S394" s="16"/>
      <c r="T394" s="12">
        <f t="shared" si="73"/>
        <v>722000</v>
      </c>
      <c r="U394" s="16">
        <v>0</v>
      </c>
      <c r="V394" s="16">
        <v>1225000</v>
      </c>
      <c r="W394" s="16">
        <v>0</v>
      </c>
      <c r="X394" s="16">
        <v>0</v>
      </c>
      <c r="Y394" s="12">
        <f t="shared" si="72"/>
        <v>1225000</v>
      </c>
      <c r="Z394" s="16">
        <f>25%*M394</f>
        <v>988000</v>
      </c>
      <c r="AA394" s="16">
        <v>625000</v>
      </c>
      <c r="AB394" s="16">
        <v>0</v>
      </c>
      <c r="AC394" s="16"/>
      <c r="AD394" s="16">
        <v>0</v>
      </c>
      <c r="AE394" s="16">
        <f t="shared" si="69"/>
        <v>1613000</v>
      </c>
      <c r="AF394" s="16">
        <f t="shared" si="70"/>
        <v>-334000</v>
      </c>
      <c r="AG39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266000</v>
      </c>
      <c r="AH394" s="13">
        <f>IFERROR(AG394/(Z394+Table5[[#This Row],[Rider Penalty (Claim, Other Denda to Riders)]]),0)</f>
        <v>0.26923076923076922</v>
      </c>
      <c r="AI394" s="12">
        <f t="shared" si="76"/>
        <v>-600000</v>
      </c>
      <c r="AJ394" s="16">
        <f t="shared" si="71"/>
        <v>-0.96</v>
      </c>
      <c r="AK394" s="16"/>
      <c r="AV394" s="109"/>
      <c r="AW394" s="109"/>
      <c r="AX394" s="109"/>
    </row>
    <row r="395" spans="1:50" hidden="1">
      <c r="A395" s="41">
        <v>2025</v>
      </c>
      <c r="B395" s="41" t="s">
        <v>203</v>
      </c>
      <c r="C395" s="41" t="s">
        <v>203</v>
      </c>
      <c r="D395" s="41" t="s">
        <v>169</v>
      </c>
      <c r="E395" s="41" t="s">
        <v>28</v>
      </c>
      <c r="F395" s="41" t="s">
        <v>28</v>
      </c>
      <c r="G395" s="41">
        <v>28</v>
      </c>
      <c r="H395" s="41" t="s">
        <v>162</v>
      </c>
      <c r="I395" s="41" t="s">
        <v>256</v>
      </c>
      <c r="J395" s="150" t="s">
        <v>404</v>
      </c>
      <c r="K395" s="41">
        <v>1</v>
      </c>
      <c r="L395" s="41">
        <v>433</v>
      </c>
      <c r="M395" s="41">
        <v>1299000</v>
      </c>
      <c r="N395" s="41">
        <v>64950</v>
      </c>
      <c r="O395" s="41">
        <v>75000</v>
      </c>
      <c r="P395" s="41">
        <v>0</v>
      </c>
      <c r="Q395" s="41"/>
      <c r="R395" s="41">
        <v>0</v>
      </c>
      <c r="S395" s="41"/>
      <c r="T395" s="57">
        <f t="shared" si="73"/>
        <v>139950</v>
      </c>
      <c r="U395" s="41">
        <v>0</v>
      </c>
      <c r="V395" s="16">
        <v>245000</v>
      </c>
      <c r="W395" s="86">
        <v>0</v>
      </c>
      <c r="X395" s="41">
        <v>0</v>
      </c>
      <c r="Y395" s="57">
        <f t="shared" si="72"/>
        <v>245000</v>
      </c>
      <c r="Z395" s="57">
        <f>22%*M395</f>
        <v>285780</v>
      </c>
      <c r="AA395" s="41">
        <v>50000</v>
      </c>
      <c r="AB395" s="16">
        <v>0</v>
      </c>
      <c r="AC395" s="16"/>
      <c r="AD395" s="16">
        <v>0</v>
      </c>
      <c r="AE395" s="57">
        <f t="shared" si="69"/>
        <v>335780</v>
      </c>
      <c r="AF395" s="57">
        <f t="shared" si="70"/>
        <v>-49170</v>
      </c>
      <c r="AG395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145830</v>
      </c>
      <c r="AH395" s="59">
        <f>IFERROR(AG395/(Z395+Table5[[#This Row],[Rider Penalty (Claim, Other Denda to Riders)]]),0)</f>
        <v>0.51028763384421583</v>
      </c>
      <c r="AI395" s="57">
        <f t="shared" si="76"/>
        <v>-195000</v>
      </c>
      <c r="AJ395" s="41">
        <f t="shared" si="71"/>
        <v>-3.9</v>
      </c>
      <c r="AV395" s="109"/>
      <c r="AW395" s="109"/>
      <c r="AX395" s="109"/>
    </row>
    <row r="396" spans="1:50" hidden="1">
      <c r="A396" s="41">
        <v>2025</v>
      </c>
      <c r="B396" s="41" t="s">
        <v>23</v>
      </c>
      <c r="C396" s="41" t="s">
        <v>23</v>
      </c>
      <c r="D396" s="41" t="s">
        <v>168</v>
      </c>
      <c r="E396" s="41" t="s">
        <v>28</v>
      </c>
      <c r="F396" s="41" t="s">
        <v>25</v>
      </c>
      <c r="G396" s="41">
        <v>29</v>
      </c>
      <c r="H396" s="41" t="s">
        <v>162</v>
      </c>
      <c r="I396" s="41" t="s">
        <v>278</v>
      </c>
      <c r="J396" s="150" t="s">
        <v>355</v>
      </c>
      <c r="K396" s="54">
        <v>261</v>
      </c>
      <c r="L396" s="54">
        <v>82653</v>
      </c>
      <c r="M396" s="54">
        <v>723956000</v>
      </c>
      <c r="N396" s="54">
        <v>85448685</v>
      </c>
      <c r="O396" s="54">
        <f>62265000+850000</f>
        <v>63115000</v>
      </c>
      <c r="P396" s="54">
        <v>0</v>
      </c>
      <c r="Q396" s="54"/>
      <c r="R396" s="54">
        <v>0</v>
      </c>
      <c r="S396" s="54"/>
      <c r="T396" s="54">
        <f t="shared" si="73"/>
        <v>148563685</v>
      </c>
      <c r="U396" s="54">
        <v>5125000</v>
      </c>
      <c r="V396" s="54">
        <v>63945000</v>
      </c>
      <c r="W396" s="111">
        <v>0</v>
      </c>
      <c r="X396" s="54">
        <v>844445</v>
      </c>
      <c r="Y396" s="54">
        <f t="shared" si="72"/>
        <v>69914445</v>
      </c>
      <c r="Z396" s="54">
        <f>26%*M396</f>
        <v>188228560</v>
      </c>
      <c r="AA396" s="54">
        <v>37475000</v>
      </c>
      <c r="AB396" s="16">
        <v>0</v>
      </c>
      <c r="AC396" s="16"/>
      <c r="AD396" s="16">
        <v>0</v>
      </c>
      <c r="AE396" s="54">
        <f t="shared" si="69"/>
        <v>225703560</v>
      </c>
      <c r="AF396" s="57">
        <f t="shared" si="70"/>
        <v>7225430</v>
      </c>
      <c r="AG396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33695430</v>
      </c>
      <c r="AH396" s="59">
        <f>IFERROR(AG396/(Z396+Table5[[#This Row],[Rider Penalty (Claim, Other Denda to Riders)]]),0)</f>
        <v>0.17901337607852921</v>
      </c>
      <c r="AI396" s="57">
        <f t="shared" si="76"/>
        <v>-26470000</v>
      </c>
      <c r="AJ396" s="41">
        <f t="shared" si="71"/>
        <v>-0.70633755837224821</v>
      </c>
      <c r="AV396" s="109">
        <f>Table5[[#This Row],[Total Selling Comission/Sales (Weekly)]]/Table5[[#This Row],[Total Revenue Sharing % (Weekly)]]*100%</f>
        <v>0.45396237956662899</v>
      </c>
      <c r="AW396" s="109">
        <f>Table5[[#This Row],[Total Daily Incentive (Weekly)]]/Table5[[#This Row],[Total Revenue Sharing % (Weekly)]]*100%</f>
        <v>0.33531043323074883</v>
      </c>
      <c r="AX396" s="109">
        <f>(N396+O396)/Z396*100%</f>
        <v>0.78927281279737782</v>
      </c>
    </row>
    <row r="397" spans="1:50" hidden="1">
      <c r="A397" s="41">
        <v>2025</v>
      </c>
      <c r="B397" s="41" t="s">
        <v>23</v>
      </c>
      <c r="C397" s="41" t="s">
        <v>172</v>
      </c>
      <c r="D397" s="41" t="s">
        <v>168</v>
      </c>
      <c r="E397" s="41" t="s">
        <v>28</v>
      </c>
      <c r="F397" s="41" t="s">
        <v>31</v>
      </c>
      <c r="G397" s="41">
        <v>29</v>
      </c>
      <c r="H397" s="41" t="s">
        <v>162</v>
      </c>
      <c r="I397" s="41" t="s">
        <v>278</v>
      </c>
      <c r="J397" s="150" t="s">
        <v>355</v>
      </c>
      <c r="K397" s="16">
        <v>21</v>
      </c>
      <c r="L397" s="16">
        <v>6688</v>
      </c>
      <c r="M397" s="16">
        <v>58632000</v>
      </c>
      <c r="N397" s="16">
        <v>6910105</v>
      </c>
      <c r="O397" s="16">
        <f>5320000+60000</f>
        <v>5380000</v>
      </c>
      <c r="P397" s="54">
        <v>0</v>
      </c>
      <c r="Q397" s="54"/>
      <c r="R397" s="54">
        <v>0</v>
      </c>
      <c r="S397" s="16"/>
      <c r="T397" s="16">
        <f t="shared" si="73"/>
        <v>12290105</v>
      </c>
      <c r="U397" s="16">
        <v>450000</v>
      </c>
      <c r="V397" s="16">
        <v>5145000</v>
      </c>
      <c r="W397" s="16">
        <v>0</v>
      </c>
      <c r="X397" s="16">
        <v>425600</v>
      </c>
      <c r="Y397" s="16">
        <f t="shared" si="72"/>
        <v>6020600</v>
      </c>
      <c r="Z397" s="16">
        <f>26%*M397</f>
        <v>15244320</v>
      </c>
      <c r="AA397" s="16">
        <v>3025000</v>
      </c>
      <c r="AB397" s="16">
        <v>0</v>
      </c>
      <c r="AC397" s="16"/>
      <c r="AD397" s="16">
        <v>0</v>
      </c>
      <c r="AE397" s="16">
        <f t="shared" si="69"/>
        <v>18269320</v>
      </c>
      <c r="AF397" s="16">
        <f t="shared" si="70"/>
        <v>-41385</v>
      </c>
      <c r="AG39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2078615</v>
      </c>
      <c r="AH397" s="13">
        <f>IFERROR(AG397/(Z397+Table5[[#This Row],[Rider Penalty (Claim, Other Denda to Riders)]]),0)</f>
        <v>0.13635340900742046</v>
      </c>
      <c r="AI397" s="12">
        <f t="shared" si="76"/>
        <v>-2120000</v>
      </c>
      <c r="AJ397" s="16">
        <f t="shared" si="71"/>
        <v>-0.70082644628099178</v>
      </c>
      <c r="AK397" s="16"/>
      <c r="AV397" s="109">
        <f>Table5[[#This Row],[Total Selling Comission/Sales (Weekly)]]/Table5[[#This Row],[Total Revenue Sharing % (Weekly)]]*100%</f>
        <v>0.45329047146740559</v>
      </c>
      <c r="AW397" s="109">
        <f>Table5[[#This Row],[Total Daily Incentive (Weekly)]]/Table5[[#This Row],[Total Revenue Sharing % (Weekly)]]*100%</f>
        <v>0.35291833286102625</v>
      </c>
      <c r="AX397" s="109">
        <f>(N397+O397)/Z397*100%</f>
        <v>0.80620880432843178</v>
      </c>
    </row>
    <row r="398" spans="1:50" hidden="1">
      <c r="A398" s="41">
        <v>2025</v>
      </c>
      <c r="B398" s="41" t="s">
        <v>203</v>
      </c>
      <c r="C398" s="41" t="s">
        <v>203</v>
      </c>
      <c r="D398" s="41" t="s">
        <v>169</v>
      </c>
      <c r="E398" s="41" t="s">
        <v>28</v>
      </c>
      <c r="F398" s="41" t="s">
        <v>28</v>
      </c>
      <c r="G398" s="41">
        <v>29</v>
      </c>
      <c r="H398" s="41" t="s">
        <v>162</v>
      </c>
      <c r="I398" s="41" t="s">
        <v>278</v>
      </c>
      <c r="J398" s="150" t="s">
        <v>355</v>
      </c>
      <c r="K398" s="16">
        <v>1</v>
      </c>
      <c r="L398" s="16">
        <v>244</v>
      </c>
      <c r="M398" s="16">
        <v>732000</v>
      </c>
      <c r="N398" s="16">
        <v>0</v>
      </c>
      <c r="O398" s="16">
        <v>75000</v>
      </c>
      <c r="P398" s="54">
        <v>0</v>
      </c>
      <c r="Q398" s="54"/>
      <c r="R398" s="54">
        <v>0</v>
      </c>
      <c r="S398" s="16"/>
      <c r="T398" s="16">
        <f t="shared" si="73"/>
        <v>75000</v>
      </c>
      <c r="U398" s="16">
        <v>0</v>
      </c>
      <c r="V398" s="16">
        <v>245000</v>
      </c>
      <c r="W398" s="16">
        <v>0</v>
      </c>
      <c r="X398" s="16">
        <v>0</v>
      </c>
      <c r="Y398" s="16">
        <f t="shared" si="72"/>
        <v>245000</v>
      </c>
      <c r="Z398" s="16">
        <f>22%*M398</f>
        <v>161040</v>
      </c>
      <c r="AA398" s="16">
        <v>150000</v>
      </c>
      <c r="AB398" s="16">
        <v>0</v>
      </c>
      <c r="AC398" s="16"/>
      <c r="AD398" s="16">
        <v>0</v>
      </c>
      <c r="AE398" s="16">
        <f t="shared" si="69"/>
        <v>311040</v>
      </c>
      <c r="AF398" s="16">
        <f t="shared" si="70"/>
        <v>-8960</v>
      </c>
      <c r="AG39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86040</v>
      </c>
      <c r="AH398" s="13">
        <f>IFERROR(AG398/(Z398+Table5[[#This Row],[Rider Penalty (Claim, Other Denda to Riders)]]),0)</f>
        <v>0.53427719821162445</v>
      </c>
      <c r="AI398" s="12">
        <f t="shared" si="76"/>
        <v>-95000</v>
      </c>
      <c r="AJ398" s="16">
        <f t="shared" si="71"/>
        <v>-0.6333333333333333</v>
      </c>
      <c r="AK398" s="16"/>
      <c r="AV398" s="109"/>
      <c r="AW398" s="109"/>
      <c r="AX398" s="109"/>
    </row>
    <row r="399" spans="1:50" hidden="1">
      <c r="A399" s="41">
        <v>2025</v>
      </c>
      <c r="B399" s="41" t="s">
        <v>27</v>
      </c>
      <c r="C399" s="41" t="s">
        <v>27</v>
      </c>
      <c r="D399" s="41" t="s">
        <v>169</v>
      </c>
      <c r="E399" s="41" t="s">
        <v>28</v>
      </c>
      <c r="F399" s="41" t="s">
        <v>28</v>
      </c>
      <c r="G399" s="41">
        <v>29</v>
      </c>
      <c r="H399" s="41" t="s">
        <v>162</v>
      </c>
      <c r="I399" s="41" t="s">
        <v>278</v>
      </c>
      <c r="J399" s="150" t="s">
        <v>355</v>
      </c>
      <c r="K399" s="16">
        <v>5</v>
      </c>
      <c r="L399" s="16">
        <v>658</v>
      </c>
      <c r="M399" s="16">
        <v>5534000</v>
      </c>
      <c r="N399" s="16">
        <v>361070</v>
      </c>
      <c r="O399" s="16">
        <v>630000</v>
      </c>
      <c r="P399" s="54">
        <v>0</v>
      </c>
      <c r="Q399" s="54"/>
      <c r="R399" s="54">
        <v>0</v>
      </c>
      <c r="S399" s="16"/>
      <c r="T399" s="16">
        <f t="shared" si="73"/>
        <v>991070</v>
      </c>
      <c r="U399" s="16">
        <v>0</v>
      </c>
      <c r="V399" s="16">
        <f>5*245000</f>
        <v>1225000</v>
      </c>
      <c r="W399" s="16">
        <v>0</v>
      </c>
      <c r="X399" s="16">
        <v>0</v>
      </c>
      <c r="Y399" s="16">
        <f t="shared" si="72"/>
        <v>1225000</v>
      </c>
      <c r="Z399" s="16">
        <f>20%*M399</f>
        <v>1106800</v>
      </c>
      <c r="AA399" s="16">
        <v>750000</v>
      </c>
      <c r="AB399" s="16">
        <v>750000</v>
      </c>
      <c r="AC399" s="16"/>
      <c r="AD399" s="16">
        <v>0</v>
      </c>
      <c r="AE399" s="16">
        <f t="shared" si="69"/>
        <v>2606800</v>
      </c>
      <c r="AF399" s="16">
        <f t="shared" si="70"/>
        <v>390730</v>
      </c>
      <c r="AG399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115730</v>
      </c>
      <c r="AH399" s="13">
        <f>IFERROR(AG399/(Z399+Table5[[#This Row],[Rider Penalty (Claim, Other Denda to Riders)]]),0)</f>
        <v>0.10456270328876038</v>
      </c>
      <c r="AI399" s="12">
        <f t="shared" si="76"/>
        <v>275000</v>
      </c>
      <c r="AJ399" s="16">
        <f t="shared" si="71"/>
        <v>0.18333333333333332</v>
      </c>
      <c r="AK399" s="16"/>
      <c r="AV399" s="109"/>
      <c r="AW399" s="109"/>
      <c r="AX399" s="109"/>
    </row>
    <row r="400" spans="1:50" hidden="1">
      <c r="A400" s="41">
        <v>2025</v>
      </c>
      <c r="B400" s="117" t="s">
        <v>23</v>
      </c>
      <c r="C400" s="117" t="s">
        <v>174</v>
      </c>
      <c r="D400" s="117" t="s">
        <v>168</v>
      </c>
      <c r="E400" s="117" t="s">
        <v>24</v>
      </c>
      <c r="F400" s="117" t="s">
        <v>24</v>
      </c>
      <c r="G400" s="41">
        <v>29</v>
      </c>
      <c r="H400" s="41" t="s">
        <v>162</v>
      </c>
      <c r="I400" s="41" t="s">
        <v>278</v>
      </c>
      <c r="J400" s="150" t="s">
        <v>355</v>
      </c>
      <c r="K400" s="54">
        <v>26</v>
      </c>
      <c r="L400" s="54">
        <v>4918</v>
      </c>
      <c r="M400" s="54">
        <v>45002000</v>
      </c>
      <c r="N400" s="54">
        <v>4326020</v>
      </c>
      <c r="O400" s="54">
        <v>4947500</v>
      </c>
      <c r="P400" s="54">
        <v>0</v>
      </c>
      <c r="Q400" s="54"/>
      <c r="R400" s="54">
        <v>0</v>
      </c>
      <c r="S400" s="54"/>
      <c r="T400" s="57">
        <f t="shared" si="73"/>
        <v>9273520</v>
      </c>
      <c r="U400" s="54">
        <v>720000</v>
      </c>
      <c r="V400" s="54">
        <f>139*35000</f>
        <v>4865000</v>
      </c>
      <c r="W400" s="16">
        <v>0</v>
      </c>
      <c r="X400" s="54">
        <v>0</v>
      </c>
      <c r="Y400" s="57">
        <f t="shared" si="72"/>
        <v>5585000</v>
      </c>
      <c r="Z400" s="57">
        <f t="shared" ref="Z400:Z405" si="77">26%*M400</f>
        <v>11700520</v>
      </c>
      <c r="AA400" s="54">
        <v>3975000</v>
      </c>
      <c r="AB400" s="54">
        <v>0</v>
      </c>
      <c r="AC400" s="54"/>
      <c r="AD400" s="54">
        <v>175000</v>
      </c>
      <c r="AE400" s="54">
        <f t="shared" si="69"/>
        <v>15850520</v>
      </c>
      <c r="AF400" s="57">
        <f t="shared" si="70"/>
        <v>992000</v>
      </c>
      <c r="AG400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1882000</v>
      </c>
      <c r="AH400" s="59">
        <f>IFERROR(AG400/(Z400+Table5[[#This Row],[Rider Penalty (Claim, Other Denda to Riders)]]),0)</f>
        <v>0.15847727089003261</v>
      </c>
      <c r="AI400" s="57">
        <f t="shared" si="76"/>
        <v>-890000</v>
      </c>
      <c r="AJ400" s="54">
        <f t="shared" si="71"/>
        <v>-0.2238993710691824</v>
      </c>
      <c r="AK400" s="16"/>
      <c r="AV400" s="109">
        <f>Table5[[#This Row],[Total Selling Comission/Sales (Weekly)]]/Table5[[#This Row],[Total Revenue Sharing % (Weekly)]]*100%</f>
        <v>0.3697288667512213</v>
      </c>
      <c r="AW400" s="109">
        <f>Table5[[#This Row],[Total Daily Incentive (Weekly)]]/Table5[[#This Row],[Total Revenue Sharing % (Weekly)]]*100%</f>
        <v>0.42284445477636889</v>
      </c>
      <c r="AX400" s="109">
        <f t="shared" ref="AX400:AX405" si="78">(N400+O400)/Z400*100%</f>
        <v>0.79257332152759019</v>
      </c>
    </row>
    <row r="401" spans="1:50" hidden="1">
      <c r="A401" s="41">
        <v>2025</v>
      </c>
      <c r="B401" s="64" t="s">
        <v>23</v>
      </c>
      <c r="C401" s="64" t="s">
        <v>173</v>
      </c>
      <c r="D401" s="64" t="s">
        <v>168</v>
      </c>
      <c r="E401" s="64" t="s">
        <v>24</v>
      </c>
      <c r="F401" s="153" t="s">
        <v>282</v>
      </c>
      <c r="G401" s="41">
        <v>29</v>
      </c>
      <c r="H401" s="41" t="s">
        <v>162</v>
      </c>
      <c r="I401" s="41" t="s">
        <v>278</v>
      </c>
      <c r="J401" s="150" t="s">
        <v>355</v>
      </c>
      <c r="K401" s="16">
        <v>22</v>
      </c>
      <c r="L401" s="16">
        <v>4821</v>
      </c>
      <c r="M401" s="16">
        <v>43272000</v>
      </c>
      <c r="N401" s="16">
        <v>4328340</v>
      </c>
      <c r="O401" s="16">
        <v>4395000</v>
      </c>
      <c r="P401" s="16">
        <v>0</v>
      </c>
      <c r="Q401" s="16"/>
      <c r="R401" s="16">
        <v>0</v>
      </c>
      <c r="S401" s="16"/>
      <c r="T401" s="12">
        <f t="shared" si="73"/>
        <v>8723340</v>
      </c>
      <c r="U401" s="16">
        <v>840000</v>
      </c>
      <c r="V401" s="16">
        <f>117*35000</f>
        <v>4095000</v>
      </c>
      <c r="W401" s="16">
        <v>0</v>
      </c>
      <c r="X401" s="16">
        <v>0</v>
      </c>
      <c r="Y401" s="12">
        <f t="shared" si="72"/>
        <v>4935000</v>
      </c>
      <c r="Z401" s="16">
        <f t="shared" si="77"/>
        <v>11250720</v>
      </c>
      <c r="AA401" s="16">
        <v>3650000</v>
      </c>
      <c r="AB401" s="16">
        <v>0</v>
      </c>
      <c r="AC401" s="16"/>
      <c r="AD401" s="16">
        <v>175000</v>
      </c>
      <c r="AE401" s="16">
        <f t="shared" si="69"/>
        <v>15075720</v>
      </c>
      <c r="AF401" s="16">
        <f t="shared" si="70"/>
        <v>1417380</v>
      </c>
      <c r="AG401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1862380</v>
      </c>
      <c r="AH401" s="13">
        <f>IFERROR(AG401/(Z401+Table5[[#This Row],[Rider Penalty (Claim, Other Denda to Riders)]]),0)</f>
        <v>0.16299891823009841</v>
      </c>
      <c r="AI401" s="12">
        <f t="shared" si="76"/>
        <v>-445000</v>
      </c>
      <c r="AJ401" s="16">
        <f t="shared" si="71"/>
        <v>-0.12191780821917808</v>
      </c>
      <c r="AK401" s="16"/>
      <c r="AV401" s="109">
        <f>Table5[[#This Row],[Total Selling Comission/Sales (Weekly)]]/Table5[[#This Row],[Total Revenue Sharing % (Weekly)]]*100%</f>
        <v>0.38471671146379965</v>
      </c>
      <c r="AW401" s="109">
        <f>Table5[[#This Row],[Total Daily Incentive (Weekly)]]/Table5[[#This Row],[Total Revenue Sharing % (Weekly)]]*100%</f>
        <v>0.39064166560006824</v>
      </c>
      <c r="AX401" s="109">
        <f t="shared" si="78"/>
        <v>0.7753583770638679</v>
      </c>
    </row>
    <row r="402" spans="1:50" hidden="1">
      <c r="A402" s="41">
        <v>2025</v>
      </c>
      <c r="B402" s="117" t="s">
        <v>23</v>
      </c>
      <c r="C402" s="117" t="s">
        <v>174</v>
      </c>
      <c r="D402" s="117" t="s">
        <v>168</v>
      </c>
      <c r="E402" s="117" t="s">
        <v>24</v>
      </c>
      <c r="F402" s="117" t="s">
        <v>24</v>
      </c>
      <c r="G402" s="41">
        <v>30</v>
      </c>
      <c r="H402" s="41" t="s">
        <v>162</v>
      </c>
      <c r="I402" s="41" t="s">
        <v>279</v>
      </c>
      <c r="J402" s="150" t="s">
        <v>354</v>
      </c>
      <c r="K402" s="41">
        <v>31</v>
      </c>
      <c r="L402" s="41">
        <v>4646</v>
      </c>
      <c r="M402" s="41">
        <v>42336000</v>
      </c>
      <c r="N402" s="41">
        <v>3729800</v>
      </c>
      <c r="O402" s="41">
        <v>5075000</v>
      </c>
      <c r="P402" s="41">
        <v>0</v>
      </c>
      <c r="Q402" s="41"/>
      <c r="R402" s="41">
        <v>0</v>
      </c>
      <c r="S402" s="41"/>
      <c r="T402" s="57">
        <f t="shared" si="73"/>
        <v>8804800</v>
      </c>
      <c r="U402" s="41">
        <v>840000</v>
      </c>
      <c r="V402" s="55">
        <f>158*35000</f>
        <v>5530000</v>
      </c>
      <c r="W402" s="86">
        <v>0</v>
      </c>
      <c r="X402" s="41">
        <v>0</v>
      </c>
      <c r="Y402" s="57">
        <f t="shared" si="72"/>
        <v>6370000</v>
      </c>
      <c r="Z402" s="57">
        <f t="shared" si="77"/>
        <v>11007360</v>
      </c>
      <c r="AA402" s="41">
        <v>4550000</v>
      </c>
      <c r="AB402" s="41">
        <v>0</v>
      </c>
      <c r="AC402" s="41"/>
      <c r="AD402" s="41">
        <v>225000</v>
      </c>
      <c r="AE402" s="41">
        <f t="shared" si="69"/>
        <v>15782360</v>
      </c>
      <c r="AF402" s="57">
        <f t="shared" si="70"/>
        <v>607560</v>
      </c>
      <c r="AG402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1587560</v>
      </c>
      <c r="AH402" s="59">
        <f>IFERROR(AG402/(Z402+Table5[[#This Row],[Rider Penalty (Claim, Other Denda to Riders)]]),0)</f>
        <v>0.14133806252648598</v>
      </c>
      <c r="AI402" s="57">
        <f t="shared" si="76"/>
        <v>-980000</v>
      </c>
      <c r="AJ402" s="41">
        <f t="shared" si="71"/>
        <v>-0.2153846153846154</v>
      </c>
      <c r="AV402" s="109">
        <f>Table5[[#This Row],[Total Selling Comission/Sales (Weekly)]]/Table5[[#This Row],[Total Revenue Sharing % (Weekly)]]*100%</f>
        <v>0.33884600848886565</v>
      </c>
      <c r="AW402" s="109">
        <f>Table5[[#This Row],[Total Daily Incentive (Weekly)]]/Table5[[#This Row],[Total Revenue Sharing % (Weekly)]]*100%</f>
        <v>0.46105514855514856</v>
      </c>
      <c r="AX402" s="109">
        <f t="shared" si="78"/>
        <v>0.79990115704401421</v>
      </c>
    </row>
    <row r="403" spans="1:50" hidden="1">
      <c r="A403" s="41">
        <v>2025</v>
      </c>
      <c r="B403" s="64" t="s">
        <v>23</v>
      </c>
      <c r="C403" s="64" t="s">
        <v>173</v>
      </c>
      <c r="D403" s="64" t="s">
        <v>168</v>
      </c>
      <c r="E403" s="64" t="s">
        <v>24</v>
      </c>
      <c r="F403" s="153" t="s">
        <v>282</v>
      </c>
      <c r="G403" s="41">
        <v>30</v>
      </c>
      <c r="H403" s="41" t="s">
        <v>162</v>
      </c>
      <c r="I403" s="41" t="s">
        <v>279</v>
      </c>
      <c r="J403" s="150" t="s">
        <v>354</v>
      </c>
      <c r="K403" s="16">
        <v>23</v>
      </c>
      <c r="L403" s="16">
        <v>4464</v>
      </c>
      <c r="M403" s="16">
        <v>40272000</v>
      </c>
      <c r="N403" s="16">
        <v>3651040</v>
      </c>
      <c r="O403" s="16">
        <v>4280000</v>
      </c>
      <c r="P403" s="16">
        <v>0</v>
      </c>
      <c r="Q403" s="16"/>
      <c r="R403" s="16">
        <v>0</v>
      </c>
      <c r="S403" s="16"/>
      <c r="T403" s="12">
        <f t="shared" si="73"/>
        <v>7931040</v>
      </c>
      <c r="U403" s="16">
        <v>840000</v>
      </c>
      <c r="V403" s="16">
        <f>115*35000</f>
        <v>4025000</v>
      </c>
      <c r="W403" s="16">
        <v>0</v>
      </c>
      <c r="X403" s="16">
        <v>0</v>
      </c>
      <c r="Y403" s="12">
        <f t="shared" si="72"/>
        <v>4865000</v>
      </c>
      <c r="Z403" s="16">
        <f t="shared" si="77"/>
        <v>10470720</v>
      </c>
      <c r="AA403" s="16">
        <v>3325000</v>
      </c>
      <c r="AB403" s="16">
        <v>0</v>
      </c>
      <c r="AC403" s="16"/>
      <c r="AD403" s="16">
        <v>100000</v>
      </c>
      <c r="AE403" s="16">
        <f t="shared" si="69"/>
        <v>13895720</v>
      </c>
      <c r="AF403" s="16">
        <f t="shared" si="70"/>
        <v>1099680</v>
      </c>
      <c r="AG40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1799680</v>
      </c>
      <c r="AH403" s="13">
        <f>IFERROR(AG403/(Z403+Table5[[#This Row],[Rider Penalty (Claim, Other Denda to Riders)]]),0)</f>
        <v>0.17025141144595637</v>
      </c>
      <c r="AI403" s="12">
        <f t="shared" si="76"/>
        <v>-700000</v>
      </c>
      <c r="AJ403" s="16">
        <f t="shared" si="71"/>
        <v>-0.21052631578947367</v>
      </c>
      <c r="AK403" s="16"/>
      <c r="AV403" s="109">
        <f>Table5[[#This Row],[Total Selling Comission/Sales (Weekly)]]/Table5[[#This Row],[Total Revenue Sharing % (Weekly)]]*100%</f>
        <v>0.34869044344610495</v>
      </c>
      <c r="AW403" s="109">
        <f>Table5[[#This Row],[Total Daily Incentive (Weekly)]]/Table5[[#This Row],[Total Revenue Sharing % (Weekly)]]*100%</f>
        <v>0.4087589010115828</v>
      </c>
      <c r="AX403" s="109">
        <f t="shared" si="78"/>
        <v>0.75744934445768775</v>
      </c>
    </row>
    <row r="404" spans="1:50" hidden="1">
      <c r="A404" s="41">
        <v>2025</v>
      </c>
      <c r="B404" s="41" t="s">
        <v>23</v>
      </c>
      <c r="C404" s="41" t="s">
        <v>23</v>
      </c>
      <c r="D404" s="41" t="s">
        <v>168</v>
      </c>
      <c r="E404" s="41" t="s">
        <v>28</v>
      </c>
      <c r="F404" s="41" t="s">
        <v>25</v>
      </c>
      <c r="G404" s="41">
        <v>30</v>
      </c>
      <c r="H404" s="41" t="s">
        <v>162</v>
      </c>
      <c r="I404" s="41" t="s">
        <v>279</v>
      </c>
      <c r="J404" s="150" t="s">
        <v>354</v>
      </c>
      <c r="K404" s="41">
        <v>265</v>
      </c>
      <c r="L404" s="41">
        <v>84141</v>
      </c>
      <c r="M404" s="16">
        <v>736676000</v>
      </c>
      <c r="N404" s="41">
        <v>87363260</v>
      </c>
      <c r="O404" s="16">
        <v>63707500</v>
      </c>
      <c r="P404" s="41">
        <v>0</v>
      </c>
      <c r="Q404" s="41">
        <v>1400000</v>
      </c>
      <c r="R404" s="54">
        <v>5600000</v>
      </c>
      <c r="S404" s="54"/>
      <c r="T404" s="57">
        <f t="shared" si="73"/>
        <v>158070760</v>
      </c>
      <c r="U404" s="41">
        <v>5875000</v>
      </c>
      <c r="V404" s="55">
        <v>64925000</v>
      </c>
      <c r="W404" s="86">
        <v>0</v>
      </c>
      <c r="X404" s="41">
        <v>425600</v>
      </c>
      <c r="Y404" s="57">
        <f t="shared" si="72"/>
        <v>71225600</v>
      </c>
      <c r="Z404" s="57">
        <f t="shared" si="77"/>
        <v>191535760</v>
      </c>
      <c r="AA404" s="41">
        <v>38175000</v>
      </c>
      <c r="AB404" s="41">
        <v>0</v>
      </c>
      <c r="AC404" s="41"/>
      <c r="AD404" s="41">
        <v>0</v>
      </c>
      <c r="AE404" s="57">
        <f t="shared" si="69"/>
        <v>229710760</v>
      </c>
      <c r="AF404" s="57">
        <f t="shared" si="70"/>
        <v>414400</v>
      </c>
      <c r="AG404" s="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27164400</v>
      </c>
      <c r="AH404" s="59">
        <f>IFERROR(AG404/(Z404+Table5[[#This Row],[Rider Penalty (Claim, Other Denda to Riders)]]),0)</f>
        <v>0.14182416902201447</v>
      </c>
      <c r="AI404" s="57">
        <f t="shared" si="76"/>
        <v>-26750000</v>
      </c>
      <c r="AJ404" s="41">
        <f t="shared" si="71"/>
        <v>-0.70072036673215454</v>
      </c>
      <c r="AV404" s="109">
        <f>Table5[[#This Row],[Total Selling Comission/Sales (Weekly)]]/Table5[[#This Row],[Total Revenue Sharing % (Weekly)]]*100%</f>
        <v>0.45611983892720609</v>
      </c>
      <c r="AW404" s="109">
        <f>Table5[[#This Row],[Total Daily Incentive (Weekly)]]/Table5[[#This Row],[Total Revenue Sharing % (Weekly)]]*100%</f>
        <v>0.33261412907960375</v>
      </c>
      <c r="AX404" s="109">
        <f t="shared" si="78"/>
        <v>0.78873396800680984</v>
      </c>
    </row>
    <row r="405" spans="1:50" hidden="1">
      <c r="A405" s="41">
        <v>2025</v>
      </c>
      <c r="B405" s="41" t="s">
        <v>23</v>
      </c>
      <c r="C405" s="41" t="s">
        <v>172</v>
      </c>
      <c r="D405" s="41" t="s">
        <v>168</v>
      </c>
      <c r="E405" s="41" t="s">
        <v>28</v>
      </c>
      <c r="F405" s="41" t="s">
        <v>31</v>
      </c>
      <c r="G405" s="41">
        <v>30</v>
      </c>
      <c r="H405" s="41" t="s">
        <v>162</v>
      </c>
      <c r="I405" s="41" t="s">
        <v>279</v>
      </c>
      <c r="J405" s="150" t="s">
        <v>354</v>
      </c>
      <c r="K405" s="16">
        <v>23</v>
      </c>
      <c r="L405" s="16">
        <v>6385</v>
      </c>
      <c r="M405" s="16">
        <v>55938000</v>
      </c>
      <c r="N405" s="16">
        <v>6184290</v>
      </c>
      <c r="O405" s="16">
        <v>5527500</v>
      </c>
      <c r="P405" s="16">
        <v>0</v>
      </c>
      <c r="Q405" s="16">
        <v>300000</v>
      </c>
      <c r="R405" s="16">
        <v>400000</v>
      </c>
      <c r="S405" s="16"/>
      <c r="T405" s="12">
        <f t="shared" si="73"/>
        <v>12411790</v>
      </c>
      <c r="U405" s="16">
        <v>375000</v>
      </c>
      <c r="V405" s="16">
        <v>5635000</v>
      </c>
      <c r="W405" s="16">
        <v>0</v>
      </c>
      <c r="X405" s="16">
        <v>292006</v>
      </c>
      <c r="Y405" s="12">
        <f t="shared" si="72"/>
        <v>6302006</v>
      </c>
      <c r="Z405" s="16">
        <f t="shared" si="77"/>
        <v>14543880</v>
      </c>
      <c r="AA405" s="16">
        <v>3325000</v>
      </c>
      <c r="AB405" s="16">
        <v>0</v>
      </c>
      <c r="AC405" s="16"/>
      <c r="AD405" s="16">
        <v>0</v>
      </c>
      <c r="AE405" s="16">
        <f t="shared" si="69"/>
        <v>17868880</v>
      </c>
      <c r="AF405" s="16">
        <f t="shared" si="70"/>
        <v>-844916</v>
      </c>
      <c r="AG40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1465084</v>
      </c>
      <c r="AH405" s="13">
        <f>IFERROR(AG405/(Z405+Table5[[#This Row],[Rider Penalty (Claim, Other Denda to Riders)]]),0)</f>
        <v>0.10073542961025531</v>
      </c>
      <c r="AI405" s="12">
        <f t="shared" si="76"/>
        <v>-2310000</v>
      </c>
      <c r="AJ405" s="16">
        <f t="shared" si="71"/>
        <v>-0.69473684210526321</v>
      </c>
      <c r="AK405" s="16"/>
      <c r="AV405" s="109">
        <f>Table5[[#This Row],[Total Selling Comission/Sales (Weekly)]]/Table5[[#This Row],[Total Revenue Sharing % (Weekly)]]*100%</f>
        <v>0.42521596712844167</v>
      </c>
      <c r="AW405" s="109">
        <f>Table5[[#This Row],[Total Daily Incentive (Weekly)]]/Table5[[#This Row],[Total Revenue Sharing % (Weekly)]]*100%</f>
        <v>0.38005676614493517</v>
      </c>
      <c r="AX405" s="109">
        <f t="shared" si="78"/>
        <v>0.8052727332733769</v>
      </c>
    </row>
    <row r="406" spans="1:50" hidden="1">
      <c r="A406" s="41">
        <v>2025</v>
      </c>
      <c r="B406" s="41" t="s">
        <v>27</v>
      </c>
      <c r="C406" s="41" t="s">
        <v>27</v>
      </c>
      <c r="D406" s="41" t="s">
        <v>169</v>
      </c>
      <c r="E406" s="41" t="s">
        <v>28</v>
      </c>
      <c r="F406" s="41" t="s">
        <v>28</v>
      </c>
      <c r="G406" s="41">
        <v>30</v>
      </c>
      <c r="H406" s="41" t="s">
        <v>162</v>
      </c>
      <c r="I406" s="41" t="s">
        <v>279</v>
      </c>
      <c r="J406" s="150" t="s">
        <v>354</v>
      </c>
      <c r="K406" s="16">
        <v>4</v>
      </c>
      <c r="L406" s="16">
        <v>597</v>
      </c>
      <c r="M406" s="16">
        <v>5373000</v>
      </c>
      <c r="N406" s="16">
        <v>324530</v>
      </c>
      <c r="O406" s="16">
        <v>500000</v>
      </c>
      <c r="P406" s="16">
        <v>0</v>
      </c>
      <c r="Q406" s="16"/>
      <c r="R406" s="16">
        <v>0</v>
      </c>
      <c r="S406" s="16"/>
      <c r="T406" s="12">
        <f t="shared" si="73"/>
        <v>824530</v>
      </c>
      <c r="U406" s="16">
        <v>0</v>
      </c>
      <c r="V406" s="16">
        <f>4*245000</f>
        <v>980000</v>
      </c>
      <c r="W406" s="16">
        <v>0</v>
      </c>
      <c r="X406" s="16">
        <v>0</v>
      </c>
      <c r="Y406" s="12">
        <f t="shared" si="72"/>
        <v>980000</v>
      </c>
      <c r="Z406" s="16">
        <f>20%*M406</f>
        <v>1074600</v>
      </c>
      <c r="AA406" s="16">
        <v>600000</v>
      </c>
      <c r="AB406" s="16">
        <v>450000</v>
      </c>
      <c r="AC406" s="16"/>
      <c r="AD406" s="16">
        <v>0</v>
      </c>
      <c r="AE406" s="16">
        <f t="shared" si="69"/>
        <v>2124600</v>
      </c>
      <c r="AF406" s="16">
        <f t="shared" si="70"/>
        <v>320070</v>
      </c>
      <c r="AG40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250070</v>
      </c>
      <c r="AH406" s="13">
        <f>IFERROR(AG406/(Z406+Table5[[#This Row],[Rider Penalty (Claim, Other Denda to Riders)]]),0)</f>
        <v>0.23270984552391588</v>
      </c>
      <c r="AI406" s="12">
        <f t="shared" si="76"/>
        <v>70000</v>
      </c>
      <c r="AJ406" s="16">
        <f t="shared" si="71"/>
        <v>6.6666666666666666E-2</v>
      </c>
      <c r="AK406" s="16"/>
      <c r="AV406" s="109"/>
      <c r="AW406" s="109"/>
      <c r="AX406" s="109"/>
    </row>
    <row r="407" spans="1:50" hidden="1">
      <c r="A407" s="41">
        <v>2025</v>
      </c>
      <c r="B407" s="41" t="s">
        <v>203</v>
      </c>
      <c r="C407" s="41" t="s">
        <v>203</v>
      </c>
      <c r="D407" s="41" t="s">
        <v>169</v>
      </c>
      <c r="E407" s="41" t="s">
        <v>28</v>
      </c>
      <c r="F407" s="41" t="s">
        <v>28</v>
      </c>
      <c r="G407" s="41">
        <v>30</v>
      </c>
      <c r="H407" s="41" t="s">
        <v>162</v>
      </c>
      <c r="I407" s="41" t="s">
        <v>279</v>
      </c>
      <c r="J407" s="150" t="s">
        <v>354</v>
      </c>
      <c r="K407" s="16">
        <v>2</v>
      </c>
      <c r="L407" s="16">
        <v>832</v>
      </c>
      <c r="M407" s="16">
        <v>2496000</v>
      </c>
      <c r="N407" s="16">
        <v>244800</v>
      </c>
      <c r="O407" s="16">
        <v>295000</v>
      </c>
      <c r="P407" s="16">
        <v>0</v>
      </c>
      <c r="Q407" s="16"/>
      <c r="R407" s="16">
        <v>0</v>
      </c>
      <c r="S407" s="16"/>
      <c r="T407" s="12">
        <f t="shared" si="73"/>
        <v>539800</v>
      </c>
      <c r="U407" s="16">
        <v>0</v>
      </c>
      <c r="V407" s="16">
        <f>2*245000</f>
        <v>490000</v>
      </c>
      <c r="W407" s="16">
        <v>0</v>
      </c>
      <c r="X407" s="16">
        <v>0</v>
      </c>
      <c r="Y407" s="12">
        <f t="shared" si="72"/>
        <v>490000</v>
      </c>
      <c r="Z407" s="16">
        <f>22%*M407</f>
        <v>549120</v>
      </c>
      <c r="AA407" s="16">
        <v>300000</v>
      </c>
      <c r="AB407" s="16">
        <v>0</v>
      </c>
      <c r="AC407" s="16"/>
      <c r="AD407" s="16">
        <v>0</v>
      </c>
      <c r="AE407" s="16">
        <f t="shared" si="69"/>
        <v>849120</v>
      </c>
      <c r="AF407" s="16">
        <f t="shared" si="70"/>
        <v>-180680</v>
      </c>
      <c r="AG407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9320</v>
      </c>
      <c r="AH407" s="13">
        <f>IFERROR(AG407/(Z407+Table5[[#This Row],[Rider Penalty (Claim, Other Denda to Riders)]]),0)</f>
        <v>1.6972610722610724E-2</v>
      </c>
      <c r="AI407" s="12">
        <f t="shared" si="76"/>
        <v>-190000</v>
      </c>
      <c r="AJ407" s="16">
        <f t="shared" si="71"/>
        <v>-0.6333333333333333</v>
      </c>
      <c r="AK407" s="16"/>
      <c r="AV407" s="109"/>
      <c r="AW407" s="109"/>
      <c r="AX407" s="109"/>
    </row>
    <row r="408" spans="1:50" hidden="1">
      <c r="A408" s="41">
        <v>2025</v>
      </c>
      <c r="B408" s="41" t="s">
        <v>176</v>
      </c>
      <c r="C408" s="41" t="s">
        <v>176</v>
      </c>
      <c r="D408" s="41" t="s">
        <v>169</v>
      </c>
      <c r="E408" s="41" t="s">
        <v>28</v>
      </c>
      <c r="F408" s="41" t="s">
        <v>28</v>
      </c>
      <c r="G408" s="41">
        <v>30</v>
      </c>
      <c r="H408" s="41" t="s">
        <v>162</v>
      </c>
      <c r="I408" s="41" t="s">
        <v>279</v>
      </c>
      <c r="J408" s="150" t="s">
        <v>354</v>
      </c>
      <c r="K408" s="16">
        <v>9</v>
      </c>
      <c r="L408" s="16">
        <v>650</v>
      </c>
      <c r="M408" s="16">
        <v>6190000</v>
      </c>
      <c r="N408" s="125">
        <v>0</v>
      </c>
      <c r="O408" s="125">
        <v>0</v>
      </c>
      <c r="P408" s="16">
        <v>0</v>
      </c>
      <c r="Q408" s="16"/>
      <c r="R408" s="16">
        <v>0</v>
      </c>
      <c r="S408" s="16"/>
      <c r="T408" s="16">
        <f t="shared" si="73"/>
        <v>0</v>
      </c>
      <c r="U408" s="16">
        <v>0</v>
      </c>
      <c r="V408" s="16">
        <v>1085000</v>
      </c>
      <c r="W408" s="16">
        <v>0</v>
      </c>
      <c r="X408" s="16">
        <v>0</v>
      </c>
      <c r="Y408" s="16">
        <f t="shared" si="72"/>
        <v>1085000</v>
      </c>
      <c r="Z408" s="16">
        <v>433330</v>
      </c>
      <c r="AA408" s="16">
        <v>1240000</v>
      </c>
      <c r="AB408" s="16">
        <v>0</v>
      </c>
      <c r="AC408" s="16"/>
      <c r="AD408" s="16">
        <v>0</v>
      </c>
      <c r="AE408" s="16">
        <f t="shared" si="69"/>
        <v>1673330</v>
      </c>
      <c r="AF408" s="16">
        <f t="shared" si="70"/>
        <v>588330</v>
      </c>
      <c r="AG40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433330</v>
      </c>
      <c r="AH408" s="16">
        <f>IFERROR(AG408/(Z408+Table5[[#This Row],[Rider Penalty (Claim, Other Denda to Riders)]]),0)</f>
        <v>1</v>
      </c>
      <c r="AI408" s="16">
        <f t="shared" si="76"/>
        <v>155000</v>
      </c>
      <c r="AJ408" s="16">
        <f t="shared" si="71"/>
        <v>0.125</v>
      </c>
      <c r="AK408" s="16"/>
      <c r="AV408" s="109"/>
      <c r="AW408" s="109"/>
      <c r="AX408" s="109"/>
    </row>
    <row r="409" spans="1:50" hidden="1">
      <c r="A409" s="41">
        <v>2025</v>
      </c>
      <c r="B409" s="117" t="s">
        <v>23</v>
      </c>
      <c r="C409" s="117" t="s">
        <v>174</v>
      </c>
      <c r="D409" s="117" t="s">
        <v>168</v>
      </c>
      <c r="E409" s="117" t="s">
        <v>24</v>
      </c>
      <c r="F409" s="117" t="s">
        <v>24</v>
      </c>
      <c r="G409" s="41">
        <v>31</v>
      </c>
      <c r="H409" s="41" t="s">
        <v>162</v>
      </c>
      <c r="I409" s="41" t="s">
        <v>280</v>
      </c>
      <c r="J409" s="150" t="s">
        <v>405</v>
      </c>
      <c r="K409" s="16">
        <v>24</v>
      </c>
      <c r="L409" s="16">
        <v>2707</v>
      </c>
      <c r="M409" s="16">
        <v>24624000</v>
      </c>
      <c r="N409" s="16">
        <v>1556240</v>
      </c>
      <c r="O409" s="16">
        <v>2165000</v>
      </c>
      <c r="P409" s="16">
        <v>0</v>
      </c>
      <c r="Q409" s="16"/>
      <c r="R409" s="16">
        <v>0</v>
      </c>
      <c r="S409" s="16"/>
      <c r="T409" s="16">
        <f t="shared" ref="T409:T429" si="79">SUM(N409:R409)</f>
        <v>3721240</v>
      </c>
      <c r="U409" s="16">
        <f>4*120000</f>
        <v>480000</v>
      </c>
      <c r="V409" s="173">
        <f>79*35000</f>
        <v>2765000</v>
      </c>
      <c r="W409" s="173">
        <v>0</v>
      </c>
      <c r="X409" s="16">
        <v>0</v>
      </c>
      <c r="Y409" s="16">
        <f t="shared" si="72"/>
        <v>3245000</v>
      </c>
      <c r="Z409" s="16">
        <f>26%*M409</f>
        <v>6402240</v>
      </c>
      <c r="AA409" s="16">
        <v>1975000</v>
      </c>
      <c r="AB409" s="16">
        <v>0</v>
      </c>
      <c r="AC409" s="16"/>
      <c r="AD409" s="16">
        <v>75000</v>
      </c>
      <c r="AE409" s="16">
        <f t="shared" si="69"/>
        <v>8452240</v>
      </c>
      <c r="AF409" s="16">
        <f t="shared" si="70"/>
        <v>1486000</v>
      </c>
      <c r="AG40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2276000</v>
      </c>
      <c r="AH409">
        <f>IFERROR(AG409/(Z409+Table5[[#This Row],[Rider Penalty (Claim, Other Denda to Riders)]]),0)</f>
        <v>0.35138423155541559</v>
      </c>
      <c r="AI409" s="12">
        <f t="shared" si="76"/>
        <v>-790000</v>
      </c>
      <c r="AJ409">
        <f t="shared" si="71"/>
        <v>-0.4</v>
      </c>
      <c r="AV409" s="109">
        <f>Table5[[#This Row],[Total Selling Comission/Sales (Weekly)]]/Table5[[#This Row],[Total Revenue Sharing % (Weekly)]]*100%</f>
        <v>0.24307742290198431</v>
      </c>
      <c r="AW409" s="109">
        <f>Table5[[#This Row],[Total Daily Incentive (Weekly)]]/Table5[[#This Row],[Total Revenue Sharing % (Weekly)]]*100%</f>
        <v>0.33816289298745439</v>
      </c>
      <c r="AX409" s="109">
        <f>(N409+O409)/Z409*100%</f>
        <v>0.5812403158894387</v>
      </c>
    </row>
    <row r="410" spans="1:50" hidden="1">
      <c r="A410" s="41">
        <v>2025</v>
      </c>
      <c r="B410" s="64" t="s">
        <v>23</v>
      </c>
      <c r="C410" s="64" t="s">
        <v>173</v>
      </c>
      <c r="D410" s="64" t="s">
        <v>168</v>
      </c>
      <c r="E410" s="64" t="s">
        <v>24</v>
      </c>
      <c r="F410" s="153" t="s">
        <v>282</v>
      </c>
      <c r="G410" s="41">
        <v>31</v>
      </c>
      <c r="H410" s="41" t="s">
        <v>162</v>
      </c>
      <c r="I410" s="41" t="s">
        <v>280</v>
      </c>
      <c r="J410" s="150" t="s">
        <v>405</v>
      </c>
      <c r="K410">
        <v>18</v>
      </c>
      <c r="L410">
        <v>2189</v>
      </c>
      <c r="M410">
        <v>19606000</v>
      </c>
      <c r="N410">
        <v>1273080</v>
      </c>
      <c r="O410">
        <v>1570000</v>
      </c>
      <c r="P410">
        <v>0</v>
      </c>
      <c r="R410">
        <v>0</v>
      </c>
      <c r="T410">
        <f t="shared" si="79"/>
        <v>2843080</v>
      </c>
      <c r="U410" s="16">
        <f>4*120000</f>
        <v>480000</v>
      </c>
      <c r="V410" s="76">
        <f>57*35000</f>
        <v>1995000</v>
      </c>
      <c r="W410" s="76">
        <v>0</v>
      </c>
      <c r="X410">
        <v>0</v>
      </c>
      <c r="Y410">
        <f t="shared" si="72"/>
        <v>2475000</v>
      </c>
      <c r="Z410" s="12">
        <f>26%*M410</f>
        <v>5097560</v>
      </c>
      <c r="AA410">
        <v>1425000</v>
      </c>
      <c r="AB410">
        <v>0</v>
      </c>
      <c r="AD410">
        <v>50000</v>
      </c>
      <c r="AE410">
        <f t="shared" si="69"/>
        <v>6572560</v>
      </c>
      <c r="AF410" s="12">
        <f t="shared" si="70"/>
        <v>1254480</v>
      </c>
      <c r="AG41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1824480</v>
      </c>
      <c r="AH410">
        <f>IFERROR(AG410/(Z410+Table5[[#This Row],[Rider Penalty (Claim, Other Denda to Riders)]]),0)</f>
        <v>0.35443588807124154</v>
      </c>
      <c r="AI410" s="12">
        <f t="shared" si="76"/>
        <v>-570000</v>
      </c>
      <c r="AJ410">
        <f t="shared" si="71"/>
        <v>-0.4</v>
      </c>
      <c r="AV410" s="109">
        <f>Table5[[#This Row],[Total Selling Comission/Sales (Weekly)]]/Table5[[#This Row],[Total Revenue Sharing % (Weekly)]]*100%</f>
        <v>0.24974301430488313</v>
      </c>
      <c r="AW410" s="109">
        <f>Table5[[#This Row],[Total Daily Incentive (Weekly)]]/Table5[[#This Row],[Total Revenue Sharing % (Weekly)]]*100%</f>
        <v>0.30799048956755781</v>
      </c>
      <c r="AX410" s="109">
        <f>(N410+O410)/Z410*100%</f>
        <v>0.55773350387244092</v>
      </c>
    </row>
    <row r="411" spans="1:50" hidden="1">
      <c r="A411" s="41">
        <v>2025</v>
      </c>
      <c r="B411" s="41" t="s">
        <v>177</v>
      </c>
      <c r="C411" s="41" t="s">
        <v>177</v>
      </c>
      <c r="D411" s="41" t="s">
        <v>168</v>
      </c>
      <c r="E411" s="41" t="s">
        <v>24</v>
      </c>
      <c r="F411" s="41" t="s">
        <v>24</v>
      </c>
      <c r="G411" s="41">
        <v>31</v>
      </c>
      <c r="H411" s="41" t="s">
        <v>162</v>
      </c>
      <c r="I411" s="41" t="s">
        <v>280</v>
      </c>
      <c r="J411" s="150" t="s">
        <v>405</v>
      </c>
      <c r="K411">
        <v>1</v>
      </c>
      <c r="L411">
        <v>101</v>
      </c>
      <c r="M411">
        <v>1196000</v>
      </c>
      <c r="N411">
        <v>59800</v>
      </c>
      <c r="O411">
        <v>100000</v>
      </c>
      <c r="P411">
        <v>0</v>
      </c>
      <c r="R411">
        <v>0</v>
      </c>
      <c r="T411">
        <f t="shared" si="79"/>
        <v>159800</v>
      </c>
      <c r="U411">
        <v>0</v>
      </c>
      <c r="V411" s="76">
        <f>4*35000</f>
        <v>140000</v>
      </c>
      <c r="W411" s="76">
        <v>0</v>
      </c>
      <c r="X411">
        <v>0</v>
      </c>
      <c r="Y411">
        <f t="shared" si="72"/>
        <v>140000</v>
      </c>
      <c r="Z411" s="12">
        <f>30%*M411</f>
        <v>358800</v>
      </c>
      <c r="AA411">
        <v>100000</v>
      </c>
      <c r="AB411">
        <v>0</v>
      </c>
      <c r="AD411">
        <v>0</v>
      </c>
      <c r="AE411">
        <f t="shared" si="69"/>
        <v>458800</v>
      </c>
      <c r="AF411" s="12">
        <f t="shared" si="70"/>
        <v>159000</v>
      </c>
      <c r="AG41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199000</v>
      </c>
      <c r="AH411">
        <f>IFERROR(AG411/(Z411+Table5[[#This Row],[Rider Penalty (Claim, Other Denda to Riders)]]),0)</f>
        <v>0.55462653288740249</v>
      </c>
      <c r="AI411" s="12">
        <f t="shared" si="76"/>
        <v>-40000</v>
      </c>
      <c r="AJ411">
        <f t="shared" si="71"/>
        <v>-0.4</v>
      </c>
      <c r="AV411" s="109"/>
      <c r="AW411" s="109"/>
      <c r="AX411" s="109"/>
    </row>
    <row r="412" spans="1:50" hidden="1">
      <c r="A412" s="41">
        <v>2025</v>
      </c>
      <c r="B412" s="117" t="s">
        <v>23</v>
      </c>
      <c r="C412" s="117" t="s">
        <v>174</v>
      </c>
      <c r="D412" s="117" t="s">
        <v>168</v>
      </c>
      <c r="E412" s="117" t="s">
        <v>24</v>
      </c>
      <c r="F412" s="117" t="s">
        <v>24</v>
      </c>
      <c r="G412" s="41">
        <v>31</v>
      </c>
      <c r="H412" s="41" t="s">
        <v>163</v>
      </c>
      <c r="I412" s="41" t="s">
        <v>275</v>
      </c>
      <c r="J412" s="150" t="s">
        <v>406</v>
      </c>
      <c r="K412">
        <v>29</v>
      </c>
      <c r="L412">
        <v>2465</v>
      </c>
      <c r="M412">
        <v>22500000</v>
      </c>
      <c r="N412">
        <v>1441140</v>
      </c>
      <c r="O412">
        <v>1950000</v>
      </c>
      <c r="P412">
        <v>0</v>
      </c>
      <c r="R412">
        <v>0</v>
      </c>
      <c r="T412">
        <f t="shared" si="79"/>
        <v>3391140</v>
      </c>
      <c r="U412" s="16">
        <f>3*120000</f>
        <v>360000</v>
      </c>
      <c r="V412" s="76">
        <f>72*35000</f>
        <v>2520000</v>
      </c>
      <c r="W412" s="76">
        <v>0</v>
      </c>
      <c r="X412">
        <v>0</v>
      </c>
      <c r="Y412">
        <f t="shared" si="72"/>
        <v>2880000</v>
      </c>
      <c r="Z412" s="12">
        <f>26%*M412</f>
        <v>5850000</v>
      </c>
      <c r="AA412">
        <v>2400000</v>
      </c>
      <c r="AB412">
        <v>0</v>
      </c>
      <c r="AD412">
        <v>0</v>
      </c>
      <c r="AE412">
        <f t="shared" si="69"/>
        <v>8250000</v>
      </c>
      <c r="AF412" s="12">
        <f t="shared" si="70"/>
        <v>1978860</v>
      </c>
      <c r="AG4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2098860</v>
      </c>
      <c r="AH412">
        <f>IFERROR(AG412/(Z412+Table5[[#This Row],[Rider Penalty (Claim, Other Denda to Riders)]]),0)</f>
        <v>0.35877948717948716</v>
      </c>
      <c r="AI412" s="12">
        <f t="shared" si="76"/>
        <v>-120000</v>
      </c>
      <c r="AJ412">
        <f t="shared" si="71"/>
        <v>-0.05</v>
      </c>
      <c r="AV412" s="109">
        <f>Table5[[#This Row],[Total Selling Comission/Sales (Weekly)]]/Table5[[#This Row],[Total Revenue Sharing % (Weekly)]]*100%</f>
        <v>0.24634871794871796</v>
      </c>
      <c r="AW412" s="109">
        <f>Table5[[#This Row],[Total Daily Incentive (Weekly)]]/Table5[[#This Row],[Total Revenue Sharing % (Weekly)]]*100%</f>
        <v>0.33333333333333331</v>
      </c>
      <c r="AX412" s="109">
        <f>(N412+O412)/Z412*100%</f>
        <v>0.5796820512820513</v>
      </c>
    </row>
    <row r="413" spans="1:50" hidden="1">
      <c r="A413" s="41">
        <v>2025</v>
      </c>
      <c r="B413" s="64" t="s">
        <v>23</v>
      </c>
      <c r="C413" s="64" t="s">
        <v>173</v>
      </c>
      <c r="D413" s="64" t="s">
        <v>168</v>
      </c>
      <c r="E413" s="64" t="s">
        <v>24</v>
      </c>
      <c r="F413" s="153" t="s">
        <v>282</v>
      </c>
      <c r="G413" s="41">
        <v>31</v>
      </c>
      <c r="H413" s="41" t="s">
        <v>163</v>
      </c>
      <c r="I413" s="41" t="s">
        <v>275</v>
      </c>
      <c r="J413" s="150" t="s">
        <v>406</v>
      </c>
      <c r="K413">
        <v>21</v>
      </c>
      <c r="L413">
        <v>1997</v>
      </c>
      <c r="M413">
        <v>17930000</v>
      </c>
      <c r="N413">
        <v>1002460</v>
      </c>
      <c r="O413">
        <v>1325000</v>
      </c>
      <c r="P413">
        <v>0</v>
      </c>
      <c r="R413">
        <v>0</v>
      </c>
      <c r="T413">
        <f t="shared" si="79"/>
        <v>2327460</v>
      </c>
      <c r="U413" s="16">
        <f>3*120000</f>
        <v>360000</v>
      </c>
      <c r="V413" s="76">
        <f>52*35000</f>
        <v>1820000</v>
      </c>
      <c r="W413" s="76">
        <v>0</v>
      </c>
      <c r="X413">
        <v>0</v>
      </c>
      <c r="Y413">
        <f t="shared" si="72"/>
        <v>2180000</v>
      </c>
      <c r="Z413" s="12">
        <f>26%*M413</f>
        <v>4661800</v>
      </c>
      <c r="AA413">
        <v>1725000</v>
      </c>
      <c r="AB413">
        <v>0</v>
      </c>
      <c r="AD413">
        <v>0</v>
      </c>
      <c r="AE413">
        <f t="shared" si="69"/>
        <v>6386800</v>
      </c>
      <c r="AF413" s="12">
        <f t="shared" si="70"/>
        <v>1879340</v>
      </c>
      <c r="AG41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1974340</v>
      </c>
      <c r="AH413">
        <f>IFERROR(AG413/(Z413+Table5[[#This Row],[Rider Penalty (Claim, Other Denda to Riders)]]),0)</f>
        <v>0.42351452228752845</v>
      </c>
      <c r="AI413" s="12">
        <f t="shared" si="76"/>
        <v>-95000</v>
      </c>
      <c r="AJ413">
        <f t="shared" si="71"/>
        <v>-5.5072463768115941E-2</v>
      </c>
      <c r="AV413" s="109">
        <f>Table5[[#This Row],[Total Selling Comission/Sales (Weekly)]]/Table5[[#This Row],[Total Revenue Sharing % (Weekly)]]*100%</f>
        <v>0.21503711012913468</v>
      </c>
      <c r="AW413" s="109">
        <f>Table5[[#This Row],[Total Daily Incentive (Weekly)]]/Table5[[#This Row],[Total Revenue Sharing % (Weekly)]]*100%</f>
        <v>0.28422497747651121</v>
      </c>
      <c r="AX413" s="109">
        <f>(N413+O413)/Z413*100%</f>
        <v>0.49926208760564589</v>
      </c>
    </row>
    <row r="414" spans="1:50" hidden="1">
      <c r="A414" s="41">
        <v>2025</v>
      </c>
      <c r="B414" s="41" t="s">
        <v>177</v>
      </c>
      <c r="C414" s="41" t="s">
        <v>177</v>
      </c>
      <c r="D414" s="41" t="s">
        <v>168</v>
      </c>
      <c r="E414" s="41" t="s">
        <v>24</v>
      </c>
      <c r="F414" s="41" t="s">
        <v>24</v>
      </c>
      <c r="G414" s="41">
        <v>31</v>
      </c>
      <c r="H414" s="41" t="s">
        <v>163</v>
      </c>
      <c r="I414" s="41" t="s">
        <v>275</v>
      </c>
      <c r="J414" s="150" t="s">
        <v>406</v>
      </c>
      <c r="K414">
        <v>1</v>
      </c>
      <c r="L414">
        <v>111</v>
      </c>
      <c r="M414">
        <v>1273000</v>
      </c>
      <c r="N414">
        <v>63650</v>
      </c>
      <c r="O414">
        <v>75000</v>
      </c>
      <c r="P414">
        <v>0</v>
      </c>
      <c r="R414">
        <v>0</v>
      </c>
      <c r="T414">
        <f t="shared" si="79"/>
        <v>138650</v>
      </c>
      <c r="U414">
        <v>0</v>
      </c>
      <c r="V414" s="76">
        <f>3*35000</f>
        <v>105000</v>
      </c>
      <c r="W414" s="76">
        <v>0</v>
      </c>
      <c r="X414">
        <v>0</v>
      </c>
      <c r="Y414">
        <f t="shared" si="72"/>
        <v>105000</v>
      </c>
      <c r="Z414" s="12">
        <f>30%*M414</f>
        <v>381900</v>
      </c>
      <c r="AA414">
        <v>75000</v>
      </c>
      <c r="AB414">
        <v>0</v>
      </c>
      <c r="AD414">
        <v>0</v>
      </c>
      <c r="AE414">
        <f t="shared" si="69"/>
        <v>456900</v>
      </c>
      <c r="AF414" s="12">
        <f t="shared" si="70"/>
        <v>213250</v>
      </c>
      <c r="AG41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243250</v>
      </c>
      <c r="AH414">
        <f>IFERROR(AG414/(Z414+Table5[[#This Row],[Rider Penalty (Claim, Other Denda to Riders)]]),0)</f>
        <v>0.63694684472374963</v>
      </c>
      <c r="AI414" s="12">
        <f t="shared" si="76"/>
        <v>-30000</v>
      </c>
      <c r="AJ414">
        <f t="shared" si="71"/>
        <v>-0.4</v>
      </c>
      <c r="AV414" s="109"/>
      <c r="AW414" s="109"/>
      <c r="AX414" s="109"/>
    </row>
    <row r="415" spans="1:50" hidden="1">
      <c r="A415">
        <v>2025</v>
      </c>
      <c r="B415" t="s">
        <v>23</v>
      </c>
      <c r="C415" t="s">
        <v>23</v>
      </c>
      <c r="D415" t="s">
        <v>168</v>
      </c>
      <c r="E415" t="s">
        <v>28</v>
      </c>
      <c r="F415" t="s">
        <v>25</v>
      </c>
      <c r="G415" s="41">
        <v>31</v>
      </c>
      <c r="H415" s="41" t="s">
        <v>162</v>
      </c>
      <c r="I415" s="41" t="s">
        <v>280</v>
      </c>
      <c r="J415" s="150" t="s">
        <v>405</v>
      </c>
      <c r="K415">
        <v>262</v>
      </c>
      <c r="L415">
        <v>43432</v>
      </c>
      <c r="M415">
        <f>4/7*739160000</f>
        <v>422377142.85714281</v>
      </c>
      <c r="N415">
        <f>4/7*87986920</f>
        <v>50278240</v>
      </c>
      <c r="O415">
        <f>4/7*63652500</f>
        <v>36372857.142857142</v>
      </c>
      <c r="P415">
        <v>0</v>
      </c>
      <c r="R415">
        <v>0</v>
      </c>
      <c r="T415">
        <f t="shared" si="79"/>
        <v>86651097.142857134</v>
      </c>
      <c r="U415" s="16">
        <f>4/7*5925000</f>
        <v>3385714.2857142854</v>
      </c>
      <c r="V415" s="1">
        <f>4/7*64190000</f>
        <v>36680000</v>
      </c>
      <c r="W415" s="1">
        <v>166861</v>
      </c>
      <c r="X415">
        <v>0</v>
      </c>
      <c r="Y415">
        <f t="shared" si="72"/>
        <v>40232575.285714284</v>
      </c>
      <c r="Z415" s="12">
        <f>26%*M415</f>
        <v>109818057.14285713</v>
      </c>
      <c r="AA415">
        <f>4/7*37700000</f>
        <v>21542857.142857142</v>
      </c>
      <c r="AB415">
        <v>0</v>
      </c>
      <c r="AD415">
        <v>0</v>
      </c>
      <c r="AE415" s="12">
        <f t="shared" si="69"/>
        <v>131360914.28571427</v>
      </c>
      <c r="AF415" s="12">
        <f t="shared" si="70"/>
        <v>4477241.8571428508</v>
      </c>
      <c r="AG41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19614384.714285716</v>
      </c>
      <c r="AH415">
        <f>IFERROR(AG415/(Z415+Table5[[#This Row],[Rider Penalty (Claim, Other Denda to Riders)]]),0)</f>
        <v>0.1786080106003905</v>
      </c>
      <c r="AI415" s="12">
        <f t="shared" si="76"/>
        <v>-15137142.857142858</v>
      </c>
      <c r="AJ415">
        <f t="shared" si="71"/>
        <v>-0.70265251989389932</v>
      </c>
      <c r="AV415" s="109">
        <f>Table5[[#This Row],[Total Selling Comission/Sales (Weekly)]]/Table5[[#This Row],[Total Revenue Sharing % (Weekly)]]*100%</f>
        <v>0.45783217540076682</v>
      </c>
      <c r="AW415" s="109">
        <f>Table5[[#This Row],[Total Daily Incentive (Weekly)]]/Table5[[#This Row],[Total Revenue Sharing % (Weekly)]]*100%</f>
        <v>0.33121016788287744</v>
      </c>
      <c r="AX415" s="109">
        <f>(N415+O415)/Z415*100%</f>
        <v>0.7890423432836442</v>
      </c>
    </row>
    <row r="416" spans="1:50" hidden="1">
      <c r="A416">
        <v>2025</v>
      </c>
      <c r="B416" t="s">
        <v>23</v>
      </c>
      <c r="C416" t="s">
        <v>23</v>
      </c>
      <c r="D416" t="s">
        <v>168</v>
      </c>
      <c r="E416" t="s">
        <v>28</v>
      </c>
      <c r="F416" t="s">
        <v>25</v>
      </c>
      <c r="G416">
        <v>31</v>
      </c>
      <c r="H416" t="s">
        <v>163</v>
      </c>
      <c r="I416" t="s">
        <v>275</v>
      </c>
      <c r="J416" s="174" t="s">
        <v>406</v>
      </c>
      <c r="K416">
        <v>262</v>
      </c>
      <c r="L416">
        <v>40975</v>
      </c>
      <c r="M416">
        <f>3/7*739160000</f>
        <v>316782857.14285713</v>
      </c>
      <c r="N416">
        <f>3/7*87986920</f>
        <v>37708680</v>
      </c>
      <c r="O416">
        <f>3/7*63652500</f>
        <v>27279642.857142854</v>
      </c>
      <c r="P416">
        <v>0</v>
      </c>
      <c r="R416">
        <v>0</v>
      </c>
      <c r="T416">
        <f t="shared" si="79"/>
        <v>64988322.857142851</v>
      </c>
      <c r="U416" s="16">
        <f>3/7*5925000</f>
        <v>2539285.7142857141</v>
      </c>
      <c r="V416" s="1">
        <f>3/7*64190000</f>
        <v>27510000</v>
      </c>
      <c r="W416" s="1">
        <v>125146</v>
      </c>
      <c r="X416">
        <v>0</v>
      </c>
      <c r="Y416">
        <f t="shared" si="72"/>
        <v>30174431.714285713</v>
      </c>
      <c r="Z416" s="12">
        <f>26%*M416</f>
        <v>82363542.857142851</v>
      </c>
      <c r="AA416">
        <f>3/7*37700000</f>
        <v>16157142.857142856</v>
      </c>
      <c r="AB416">
        <v>0</v>
      </c>
      <c r="AD416">
        <v>0</v>
      </c>
      <c r="AE416" s="12">
        <f t="shared" si="69"/>
        <v>98520685.714285702</v>
      </c>
      <c r="AF416" s="12">
        <f t="shared" si="70"/>
        <v>3357931.1428571343</v>
      </c>
      <c r="AG4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14710788.285714285</v>
      </c>
      <c r="AH416">
        <f>IFERROR(AG416/(Z416+Table5[[#This Row],[Rider Penalty (Claim, Other Denda to Riders)]]),0)</f>
        <v>0.17860800756506695</v>
      </c>
      <c r="AI416" s="12">
        <f t="shared" si="76"/>
        <v>-11352857.142857144</v>
      </c>
      <c r="AJ416">
        <f t="shared" si="71"/>
        <v>-0.70265251989389932</v>
      </c>
      <c r="AV416" s="109">
        <f>Table5[[#This Row],[Total Selling Comission/Sales (Weekly)]]/Table5[[#This Row],[Total Revenue Sharing % (Weekly)]]*100%</f>
        <v>0.45783217540076682</v>
      </c>
      <c r="AW416" s="109">
        <f>Table5[[#This Row],[Total Daily Incentive (Weekly)]]/Table5[[#This Row],[Total Revenue Sharing % (Weekly)]]*100%</f>
        <v>0.33121016788287744</v>
      </c>
      <c r="AX416" s="109">
        <f>(N416+O416)/Z416*100%</f>
        <v>0.7890423432836442</v>
      </c>
    </row>
    <row r="417" spans="1:50" hidden="1">
      <c r="A417">
        <v>2025</v>
      </c>
      <c r="B417" t="s">
        <v>23</v>
      </c>
      <c r="C417" t="s">
        <v>172</v>
      </c>
      <c r="D417" t="s">
        <v>168</v>
      </c>
      <c r="E417" t="s">
        <v>28</v>
      </c>
      <c r="F417" t="s">
        <v>31</v>
      </c>
      <c r="G417" s="41">
        <v>31</v>
      </c>
      <c r="H417" s="41" t="s">
        <v>162</v>
      </c>
      <c r="I417" s="41" t="s">
        <v>280</v>
      </c>
      <c r="J417" s="150" t="s">
        <v>405</v>
      </c>
      <c r="K417">
        <v>22</v>
      </c>
      <c r="L417">
        <v>3179</v>
      </c>
      <c r="M417" s="131">
        <f>4/7*49506000</f>
        <v>28289142.857142854</v>
      </c>
      <c r="N417">
        <f>4/7*5606905</f>
        <v>3203945.7142857141</v>
      </c>
      <c r="O417">
        <f>4/7*4962500</f>
        <v>2835714.2857142854</v>
      </c>
      <c r="P417">
        <v>0</v>
      </c>
      <c r="R417">
        <v>0</v>
      </c>
      <c r="T417">
        <f t="shared" si="79"/>
        <v>6039660</v>
      </c>
      <c r="U417" s="16">
        <f>4/7*525000</f>
        <v>300000</v>
      </c>
      <c r="V417" s="1">
        <f>4/7*5390000</f>
        <v>3080000</v>
      </c>
      <c r="W417" s="1">
        <v>243200</v>
      </c>
      <c r="X417">
        <v>0</v>
      </c>
      <c r="Y417">
        <f t="shared" si="72"/>
        <v>3623200</v>
      </c>
      <c r="Z417" s="12">
        <f>26%*M417</f>
        <v>7355177.1428571427</v>
      </c>
      <c r="AA417">
        <f>4/7*3125000</f>
        <v>1785714.2857142857</v>
      </c>
      <c r="AB417">
        <v>0</v>
      </c>
      <c r="AD417">
        <v>0</v>
      </c>
      <c r="AE417" s="12">
        <f t="shared" si="69"/>
        <v>9140891.4285714291</v>
      </c>
      <c r="AF417" s="12">
        <f t="shared" si="70"/>
        <v>-521968.5714285709</v>
      </c>
      <c r="AG41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772317.14285714272</v>
      </c>
      <c r="AH417">
        <f>IFERROR(AG417/(Z417+Table5[[#This Row],[Rider Penalty (Claim, Other Denda to Riders)]]),0)</f>
        <v>0.10500320085521878</v>
      </c>
      <c r="AI417" s="12">
        <f t="shared" si="76"/>
        <v>-1294285.7142857143</v>
      </c>
      <c r="AJ417">
        <f t="shared" si="71"/>
        <v>-0.7248</v>
      </c>
      <c r="AV417" s="109">
        <f>Table5[[#This Row],[Total Selling Comission/Sales (Weekly)]]/Table5[[#This Row],[Total Revenue Sharing % (Weekly)]]*100%</f>
        <v>0.43560415365348099</v>
      </c>
      <c r="AW417" s="109">
        <f>Table5[[#This Row],[Total Daily Incentive (Weekly)]]/Table5[[#This Row],[Total Revenue Sharing % (Weekly)]]*100%</f>
        <v>0.38553990347712319</v>
      </c>
      <c r="AX417" s="109">
        <f>(N417+O417)/Z417*100%</f>
        <v>0.82114405713060423</v>
      </c>
    </row>
    <row r="418" spans="1:50" hidden="1">
      <c r="A418">
        <v>2025</v>
      </c>
      <c r="B418" t="s">
        <v>23</v>
      </c>
      <c r="C418" t="s">
        <v>172</v>
      </c>
      <c r="D418" t="s">
        <v>168</v>
      </c>
      <c r="E418" t="s">
        <v>28</v>
      </c>
      <c r="F418" t="s">
        <v>31</v>
      </c>
      <c r="G418" s="41">
        <v>31</v>
      </c>
      <c r="H418" s="41" t="s">
        <v>163</v>
      </c>
      <c r="I418" s="41" t="s">
        <v>275</v>
      </c>
      <c r="J418" s="150" t="s">
        <v>406</v>
      </c>
      <c r="K418">
        <v>22</v>
      </c>
      <c r="L418">
        <v>2476</v>
      </c>
      <c r="M418" s="131">
        <f>3/7*49506000</f>
        <v>21216857.142857142</v>
      </c>
      <c r="N418">
        <f>3/7*5606905</f>
        <v>2402959.2857142854</v>
      </c>
      <c r="O418">
        <f>3/7*4962500</f>
        <v>2126785.7142857141</v>
      </c>
      <c r="P418">
        <v>0</v>
      </c>
      <c r="R418">
        <v>0</v>
      </c>
      <c r="T418">
        <f t="shared" si="79"/>
        <v>4529745</v>
      </c>
      <c r="U418" s="16">
        <f>3/7*525000</f>
        <v>225000</v>
      </c>
      <c r="V418" s="1">
        <f>3/7*5390000</f>
        <v>2310000</v>
      </c>
      <c r="W418" s="1">
        <v>182400</v>
      </c>
      <c r="X418">
        <v>0</v>
      </c>
      <c r="Y418">
        <f t="shared" si="72"/>
        <v>2717400</v>
      </c>
      <c r="Z418" s="12">
        <f>26%*M418</f>
        <v>5516382.8571428573</v>
      </c>
      <c r="AA418">
        <f>3/7*3125000</f>
        <v>1339285.7142857143</v>
      </c>
      <c r="AB418">
        <v>0</v>
      </c>
      <c r="AD418">
        <v>0</v>
      </c>
      <c r="AE418" s="12">
        <f t="shared" si="69"/>
        <v>6855668.5714285718</v>
      </c>
      <c r="AF418" s="12">
        <f t="shared" si="70"/>
        <v>-391476.42857142817</v>
      </c>
      <c r="AG41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579237.85714285728</v>
      </c>
      <c r="AH418">
        <f>IFERROR(AG418/(Z418+Table5[[#This Row],[Rider Penalty (Claim, Other Denda to Riders)]]),0)</f>
        <v>0.10500320085521882</v>
      </c>
      <c r="AI418" s="12">
        <f t="shared" si="76"/>
        <v>-970714.28571428568</v>
      </c>
      <c r="AJ418">
        <f t="shared" si="71"/>
        <v>-0.7248</v>
      </c>
      <c r="AV418" s="109">
        <f>Table5[[#This Row],[Total Selling Comission/Sales (Weekly)]]/Table5[[#This Row],[Total Revenue Sharing % (Weekly)]]*100%</f>
        <v>0.43560415365348093</v>
      </c>
      <c r="AW418" s="109">
        <f>Table5[[#This Row],[Total Daily Incentive (Weekly)]]/Table5[[#This Row],[Total Revenue Sharing % (Weekly)]]*100%</f>
        <v>0.38553990347712314</v>
      </c>
      <c r="AX418" s="109">
        <f>(N418+O418)/Z418*100%</f>
        <v>0.82114405713060423</v>
      </c>
    </row>
    <row r="419" spans="1:50" hidden="1">
      <c r="A419">
        <v>2025</v>
      </c>
      <c r="B419" t="s">
        <v>27</v>
      </c>
      <c r="C419" t="s">
        <v>27</v>
      </c>
      <c r="D419" t="s">
        <v>169</v>
      </c>
      <c r="E419" t="s">
        <v>28</v>
      </c>
      <c r="F419" t="s">
        <v>28</v>
      </c>
      <c r="G419" s="41">
        <v>31</v>
      </c>
      <c r="H419" s="41" t="s">
        <v>162</v>
      </c>
      <c r="I419" s="41" t="s">
        <v>280</v>
      </c>
      <c r="J419" s="150" t="s">
        <v>405</v>
      </c>
      <c r="K419">
        <v>4</v>
      </c>
      <c r="L419">
        <v>434</v>
      </c>
      <c r="M419" s="131">
        <f>4/7*5320000</f>
        <v>3040000</v>
      </c>
      <c r="N419">
        <f>4/7*326740</f>
        <v>186708.57142857142</v>
      </c>
      <c r="O419">
        <f>4/7*555000</f>
        <v>317142.8571428571</v>
      </c>
      <c r="P419">
        <v>0</v>
      </c>
      <c r="R419">
        <v>0</v>
      </c>
      <c r="T419">
        <f t="shared" si="79"/>
        <v>503851.42857142852</v>
      </c>
      <c r="U419">
        <v>0</v>
      </c>
      <c r="V419" s="1">
        <f>4/7*980000</f>
        <v>560000</v>
      </c>
      <c r="W419" s="1">
        <v>0</v>
      </c>
      <c r="X419">
        <v>0</v>
      </c>
      <c r="Y419">
        <f t="shared" si="72"/>
        <v>560000</v>
      </c>
      <c r="Z419" s="12">
        <f>20%*M419</f>
        <v>608000</v>
      </c>
      <c r="AA419">
        <f>4/7*600000</f>
        <v>342857.14285714284</v>
      </c>
      <c r="AB419">
        <f>500000*4/7</f>
        <v>285714.28571428574</v>
      </c>
      <c r="AD419">
        <v>0</v>
      </c>
      <c r="AE419" s="12">
        <f t="shared" si="69"/>
        <v>1236571.4285714286</v>
      </c>
      <c r="AF419" s="12">
        <f t="shared" si="70"/>
        <v>172720</v>
      </c>
      <c r="AG41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104148.57142857148</v>
      </c>
      <c r="AH419">
        <f>IFERROR(AG419/(Z419+Table5[[#This Row],[Rider Penalty (Claim, Other Denda to Riders)]]),0)</f>
        <v>0.17129699248120309</v>
      </c>
      <c r="AI419" s="12">
        <f t="shared" si="76"/>
        <v>68571.428571428638</v>
      </c>
      <c r="AJ419">
        <f t="shared" si="71"/>
        <v>0.10909090909090918</v>
      </c>
      <c r="AV419" s="109"/>
      <c r="AW419" s="109"/>
      <c r="AX419" s="109"/>
    </row>
    <row r="420" spans="1:50" hidden="1">
      <c r="A420">
        <v>2025</v>
      </c>
      <c r="B420" t="s">
        <v>27</v>
      </c>
      <c r="C420" t="s">
        <v>27</v>
      </c>
      <c r="D420" t="s">
        <v>169</v>
      </c>
      <c r="E420" t="s">
        <v>28</v>
      </c>
      <c r="F420" t="s">
        <v>28</v>
      </c>
      <c r="G420" s="41">
        <v>31</v>
      </c>
      <c r="H420" s="41" t="s">
        <v>163</v>
      </c>
      <c r="I420" s="41" t="s">
        <v>275</v>
      </c>
      <c r="J420" s="150" t="s">
        <v>406</v>
      </c>
      <c r="K420">
        <v>4</v>
      </c>
      <c r="L420">
        <v>182</v>
      </c>
      <c r="M420" s="131">
        <f>3/7*5320000</f>
        <v>2280000</v>
      </c>
      <c r="N420">
        <f>3/7*326740</f>
        <v>140031.42857142855</v>
      </c>
      <c r="O420">
        <f>3/7*555000</f>
        <v>237857.14285714284</v>
      </c>
      <c r="P420">
        <v>0</v>
      </c>
      <c r="R420">
        <v>0</v>
      </c>
      <c r="T420">
        <f t="shared" si="79"/>
        <v>377888.57142857136</v>
      </c>
      <c r="U420">
        <v>0</v>
      </c>
      <c r="V420" s="1">
        <f>3/7*980000</f>
        <v>420000</v>
      </c>
      <c r="W420" s="1">
        <v>0</v>
      </c>
      <c r="X420">
        <v>0</v>
      </c>
      <c r="Y420">
        <f t="shared" si="72"/>
        <v>420000</v>
      </c>
      <c r="Z420" s="12">
        <f>20%*M420</f>
        <v>456000</v>
      </c>
      <c r="AA420">
        <f>3/7*600000</f>
        <v>257142.85714285713</v>
      </c>
      <c r="AB420">
        <f>500000*3/7</f>
        <v>214285.71428571429</v>
      </c>
      <c r="AD420">
        <v>0</v>
      </c>
      <c r="AE420" s="12">
        <f t="shared" si="69"/>
        <v>927428.57142857148</v>
      </c>
      <c r="AF420" s="12">
        <f t="shared" si="70"/>
        <v>129540.00000000012</v>
      </c>
      <c r="AG42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78111.428571428638</v>
      </c>
      <c r="AH420">
        <f>IFERROR(AG420/(Z420+Table5[[#This Row],[Rider Penalty (Claim, Other Denda to Riders)]]),0)</f>
        <v>0.17129699248120314</v>
      </c>
      <c r="AI420" s="12">
        <f t="shared" si="76"/>
        <v>51428.57142857142</v>
      </c>
      <c r="AJ420">
        <f t="shared" si="71"/>
        <v>0.10909090909090907</v>
      </c>
      <c r="AV420" s="109"/>
      <c r="AW420" s="109"/>
      <c r="AX420" s="109"/>
    </row>
    <row r="421" spans="1:50" hidden="1">
      <c r="A421">
        <v>2025</v>
      </c>
      <c r="B421" t="s">
        <v>203</v>
      </c>
      <c r="C421" t="s">
        <v>203</v>
      </c>
      <c r="D421" t="s">
        <v>169</v>
      </c>
      <c r="E421" t="s">
        <v>28</v>
      </c>
      <c r="F421" t="s">
        <v>28</v>
      </c>
      <c r="G421" s="41">
        <v>31</v>
      </c>
      <c r="H421" s="41" t="s">
        <v>162</v>
      </c>
      <c r="I421" s="41" t="s">
        <v>280</v>
      </c>
      <c r="J421" s="150" t="s">
        <v>405</v>
      </c>
      <c r="K421">
        <v>1</v>
      </c>
      <c r="L421">
        <v>489</v>
      </c>
      <c r="M421" s="131">
        <f>4/7*2481000</f>
        <v>1417714.2857142857</v>
      </c>
      <c r="N421">
        <f>4/7*248100</f>
        <v>141771.42857142855</v>
      </c>
      <c r="O421">
        <f>4/7*315000</f>
        <v>180000</v>
      </c>
      <c r="P421">
        <v>0</v>
      </c>
      <c r="R421">
        <v>0</v>
      </c>
      <c r="T421">
        <f t="shared" si="79"/>
        <v>321771.42857142852</v>
      </c>
      <c r="U421">
        <v>0</v>
      </c>
      <c r="V421" s="1">
        <f>4/7*245000</f>
        <v>140000</v>
      </c>
      <c r="W421" s="1">
        <v>0</v>
      </c>
      <c r="X421">
        <v>0</v>
      </c>
      <c r="Y421">
        <f t="shared" si="72"/>
        <v>140000</v>
      </c>
      <c r="Z421" s="12">
        <f>23%*M421</f>
        <v>326074.28571428574</v>
      </c>
      <c r="AA421">
        <f>4/7*150000</f>
        <v>85714.28571428571</v>
      </c>
      <c r="AB421">
        <v>0</v>
      </c>
      <c r="AD421">
        <v>0</v>
      </c>
      <c r="AE421" s="12">
        <f t="shared" si="69"/>
        <v>411788.57142857148</v>
      </c>
      <c r="AF421" s="12">
        <f t="shared" si="70"/>
        <v>-49982.857142857043</v>
      </c>
      <c r="AG42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4302.8571428572177</v>
      </c>
      <c r="AH421">
        <f>IFERROR(AG421/(Z421+Table5[[#This Row],[Rider Penalty (Claim, Other Denda to Riders)]]),0)</f>
        <v>1.3195941328006116E-2</v>
      </c>
      <c r="AI421" s="12">
        <f t="shared" si="76"/>
        <v>-54285.71428571429</v>
      </c>
      <c r="AJ421">
        <f t="shared" si="71"/>
        <v>-0.63333333333333341</v>
      </c>
      <c r="AV421" s="109"/>
      <c r="AW421" s="109"/>
      <c r="AX421" s="109"/>
    </row>
    <row r="422" spans="1:50" hidden="1">
      <c r="A422">
        <v>2025</v>
      </c>
      <c r="B422" t="s">
        <v>203</v>
      </c>
      <c r="C422" t="s">
        <v>203</v>
      </c>
      <c r="D422" t="s">
        <v>169</v>
      </c>
      <c r="E422" t="s">
        <v>28</v>
      </c>
      <c r="F422" t="s">
        <v>28</v>
      </c>
      <c r="G422" s="41">
        <v>31</v>
      </c>
      <c r="H422" s="41" t="s">
        <v>163</v>
      </c>
      <c r="I422" s="41" t="s">
        <v>275</v>
      </c>
      <c r="J422" s="150" t="s">
        <v>406</v>
      </c>
      <c r="K422">
        <v>1</v>
      </c>
      <c r="L422">
        <v>338</v>
      </c>
      <c r="M422" s="131">
        <f>3/7*2481000</f>
        <v>1063285.7142857143</v>
      </c>
      <c r="N422">
        <f>3/7*248100</f>
        <v>106328.57142857142</v>
      </c>
      <c r="O422">
        <f>3/7*315000</f>
        <v>135000</v>
      </c>
      <c r="P422">
        <v>0</v>
      </c>
      <c r="R422">
        <v>0</v>
      </c>
      <c r="T422">
        <f t="shared" si="79"/>
        <v>241328.57142857142</v>
      </c>
      <c r="U422">
        <v>0</v>
      </c>
      <c r="V422" s="1">
        <f>3/7*245000</f>
        <v>105000</v>
      </c>
      <c r="W422" s="1">
        <v>0</v>
      </c>
      <c r="X422">
        <v>0</v>
      </c>
      <c r="Y422">
        <f t="shared" si="72"/>
        <v>105000</v>
      </c>
      <c r="Z422" s="12">
        <f>23%*M422</f>
        <v>244555.71428571429</v>
      </c>
      <c r="AA422">
        <f>3/7*150000</f>
        <v>64285.714285714283</v>
      </c>
      <c r="AB422">
        <v>0</v>
      </c>
      <c r="AD422">
        <v>0</v>
      </c>
      <c r="AE422" s="12">
        <f t="shared" si="69"/>
        <v>308841.42857142858</v>
      </c>
      <c r="AF422" s="12">
        <f t="shared" si="70"/>
        <v>-37487.142857142841</v>
      </c>
      <c r="AG42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3227.1428571428696</v>
      </c>
      <c r="AH422">
        <f>IFERROR(AG422/(Z422+Table5[[#This Row],[Rider Penalty (Claim, Other Denda to Riders)]]),0)</f>
        <v>1.3195941328005939E-2</v>
      </c>
      <c r="AI422" s="12">
        <f t="shared" si="76"/>
        <v>-40714.285714285717</v>
      </c>
      <c r="AJ422">
        <f t="shared" si="71"/>
        <v>-0.63333333333333341</v>
      </c>
      <c r="AV422" s="109"/>
      <c r="AW422" s="109"/>
      <c r="AX422" s="109"/>
    </row>
    <row r="423" spans="1:50" hidden="1">
      <c r="A423" s="41">
        <v>2025</v>
      </c>
      <c r="B423" s="41" t="s">
        <v>176</v>
      </c>
      <c r="C423" s="41" t="s">
        <v>176</v>
      </c>
      <c r="D423" s="41" t="s">
        <v>169</v>
      </c>
      <c r="E423" s="41" t="s">
        <v>28</v>
      </c>
      <c r="F423" s="41" t="s">
        <v>28</v>
      </c>
      <c r="G423" s="41">
        <v>31</v>
      </c>
      <c r="H423" s="41" t="s">
        <v>162</v>
      </c>
      <c r="I423" s="41" t="s">
        <v>280</v>
      </c>
      <c r="J423" s="150" t="s">
        <v>405</v>
      </c>
      <c r="K423">
        <v>10</v>
      </c>
      <c r="L423">
        <v>505</v>
      </c>
      <c r="M423">
        <f>4/7*10260000</f>
        <v>5862857.1428571427</v>
      </c>
      <c r="N423">
        <v>0</v>
      </c>
      <c r="O423">
        <v>0</v>
      </c>
      <c r="P423" s="16">
        <v>0</v>
      </c>
      <c r="Q423" s="16"/>
      <c r="R423" s="16">
        <v>0</v>
      </c>
      <c r="S423" s="16"/>
      <c r="T423">
        <f t="shared" si="79"/>
        <v>0</v>
      </c>
      <c r="U423" s="16">
        <v>0</v>
      </c>
      <c r="V423" s="1">
        <v>0</v>
      </c>
      <c r="W423" s="16">
        <v>0</v>
      </c>
      <c r="X423" s="16">
        <v>0</v>
      </c>
      <c r="Y423">
        <f t="shared" si="72"/>
        <v>0</v>
      </c>
      <c r="Z423" s="12">
        <f>7%*Table5[[#This Row],[Total Selling (Clients Revenue)]]</f>
        <v>410400.00000000006</v>
      </c>
      <c r="AA423">
        <v>0</v>
      </c>
      <c r="AB423" s="16">
        <v>0</v>
      </c>
      <c r="AC423" s="16"/>
      <c r="AD423" s="16">
        <v>0</v>
      </c>
      <c r="AE423">
        <f t="shared" si="69"/>
        <v>410400.00000000006</v>
      </c>
      <c r="AF423" s="12">
        <f t="shared" si="70"/>
        <v>410400.00000000006</v>
      </c>
      <c r="AG42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410400.00000000006</v>
      </c>
      <c r="AH423">
        <f>IFERROR(AG423/(Z423+Table5[[#This Row],[Rider Penalty (Claim, Other Denda to Riders)]]),0)</f>
        <v>1</v>
      </c>
      <c r="AI423" s="12">
        <f t="shared" ref="AI423:AI454" si="80">AA423+AB423-V423</f>
        <v>0</v>
      </c>
      <c r="AJ423">
        <f t="shared" si="71"/>
        <v>0</v>
      </c>
      <c r="AV423" s="109"/>
      <c r="AW423" s="109"/>
      <c r="AX423" s="109"/>
    </row>
    <row r="424" spans="1:50" hidden="1">
      <c r="A424" s="41">
        <v>2025</v>
      </c>
      <c r="B424" s="41" t="s">
        <v>176</v>
      </c>
      <c r="C424" s="41" t="s">
        <v>176</v>
      </c>
      <c r="D424" s="41" t="s">
        <v>169</v>
      </c>
      <c r="E424" s="41" t="s">
        <v>28</v>
      </c>
      <c r="F424" s="41" t="s">
        <v>28</v>
      </c>
      <c r="G424" s="41">
        <v>31</v>
      </c>
      <c r="H424" s="41" t="s">
        <v>163</v>
      </c>
      <c r="I424" s="41" t="s">
        <v>275</v>
      </c>
      <c r="J424" s="150" t="s">
        <v>406</v>
      </c>
      <c r="K424">
        <v>11</v>
      </c>
      <c r="L424">
        <v>569</v>
      </c>
      <c r="M424">
        <f>3/7*10260000</f>
        <v>4397142.8571428573</v>
      </c>
      <c r="N424">
        <v>0</v>
      </c>
      <c r="O424">
        <v>0</v>
      </c>
      <c r="P424" s="16">
        <v>0</v>
      </c>
      <c r="Q424" s="16"/>
      <c r="R424" s="16">
        <v>0</v>
      </c>
      <c r="S424" s="16"/>
      <c r="T424">
        <f t="shared" si="79"/>
        <v>0</v>
      </c>
      <c r="U424" s="16">
        <v>0</v>
      </c>
      <c r="V424" s="1">
        <v>0</v>
      </c>
      <c r="W424" s="16">
        <v>0</v>
      </c>
      <c r="X424" s="16">
        <v>0</v>
      </c>
      <c r="Y424" s="16">
        <f t="shared" si="72"/>
        <v>0</v>
      </c>
      <c r="Z424" s="12">
        <f>7%*Table5[[#This Row],[Total Selling (Clients Revenue)]]</f>
        <v>307800.00000000006</v>
      </c>
      <c r="AA424">
        <v>0</v>
      </c>
      <c r="AB424" s="16">
        <v>0</v>
      </c>
      <c r="AC424" s="16"/>
      <c r="AD424" s="16">
        <v>0</v>
      </c>
      <c r="AE424">
        <f t="shared" si="69"/>
        <v>307800.00000000006</v>
      </c>
      <c r="AF424" s="12">
        <f t="shared" si="70"/>
        <v>307800.00000000006</v>
      </c>
      <c r="AG42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307800.00000000006</v>
      </c>
      <c r="AH424">
        <f>IFERROR(AG424/(Z424+Table5[[#This Row],[Rider Penalty (Claim, Other Denda to Riders)]]),0)</f>
        <v>1</v>
      </c>
      <c r="AI424" s="12">
        <f t="shared" si="80"/>
        <v>0</v>
      </c>
      <c r="AJ424">
        <f t="shared" si="71"/>
        <v>0</v>
      </c>
      <c r="AV424" s="109"/>
      <c r="AW424" s="109"/>
      <c r="AX424" s="109"/>
    </row>
    <row r="425" spans="1:50" hidden="1">
      <c r="A425" s="41">
        <v>2025</v>
      </c>
      <c r="B425" s="117" t="s">
        <v>23</v>
      </c>
      <c r="C425" s="117" t="s">
        <v>174</v>
      </c>
      <c r="D425" s="117" t="s">
        <v>168</v>
      </c>
      <c r="E425" s="117" t="s">
        <v>24</v>
      </c>
      <c r="F425" s="117" t="s">
        <v>24</v>
      </c>
      <c r="G425" s="41">
        <v>32</v>
      </c>
      <c r="H425" s="41" t="s">
        <v>163</v>
      </c>
      <c r="I425" s="41" t="s">
        <v>256</v>
      </c>
      <c r="J425" s="150" t="s">
        <v>333</v>
      </c>
      <c r="K425">
        <v>30</v>
      </c>
      <c r="L425">
        <v>6145</v>
      </c>
      <c r="M425">
        <v>56374000</v>
      </c>
      <c r="N425">
        <v>5736900</v>
      </c>
      <c r="O425">
        <v>5597500</v>
      </c>
      <c r="P425">
        <v>0</v>
      </c>
      <c r="R425">
        <v>0</v>
      </c>
      <c r="T425">
        <f t="shared" si="79"/>
        <v>11334400</v>
      </c>
      <c r="U425" s="16">
        <v>500000</v>
      </c>
      <c r="V425" s="76">
        <f>153*35000</f>
        <v>5355000</v>
      </c>
      <c r="W425" s="76">
        <v>0</v>
      </c>
      <c r="X425">
        <v>0</v>
      </c>
      <c r="Y425">
        <f t="shared" si="72"/>
        <v>5855000</v>
      </c>
      <c r="Z425" s="12">
        <f>26%*M425</f>
        <v>14657240</v>
      </c>
      <c r="AA425">
        <f>170*25000</f>
        <v>4250000</v>
      </c>
      <c r="AB425">
        <v>0</v>
      </c>
      <c r="AD425">
        <v>0</v>
      </c>
      <c r="AE425">
        <f t="shared" si="69"/>
        <v>18907240</v>
      </c>
      <c r="AF425" s="12">
        <f t="shared" si="70"/>
        <v>1717840</v>
      </c>
      <c r="AG42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2822840</v>
      </c>
      <c r="AH425">
        <f>IFERROR(AG425/(Z425+Table5[[#This Row],[Rider Penalty (Claim, Other Denda to Riders)]]),0)</f>
        <v>0.19259014657602661</v>
      </c>
      <c r="AI425" s="12">
        <f t="shared" si="80"/>
        <v>-1105000</v>
      </c>
      <c r="AJ425">
        <f t="shared" si="71"/>
        <v>-0.26</v>
      </c>
      <c r="AV425" s="109">
        <f>Table5[[#This Row],[Total Selling Comission/Sales (Weekly)]]/Table5[[#This Row],[Total Revenue Sharing % (Weekly)]]*100%</f>
        <v>0.39140383864902262</v>
      </c>
      <c r="AW425" s="109">
        <f>Table5[[#This Row],[Total Daily Incentive (Weekly)]]/Table5[[#This Row],[Total Revenue Sharing % (Weekly)]]*100%</f>
        <v>0.38189318043506143</v>
      </c>
      <c r="AX425" s="109">
        <f>(N425+O425)/Z425*100%</f>
        <v>0.77329701908408399</v>
      </c>
    </row>
    <row r="426" spans="1:50" hidden="1">
      <c r="A426" s="41">
        <v>2025</v>
      </c>
      <c r="B426" s="64" t="s">
        <v>23</v>
      </c>
      <c r="C426" s="64" t="s">
        <v>173</v>
      </c>
      <c r="D426" s="64" t="s">
        <v>168</v>
      </c>
      <c r="E426" s="64" t="s">
        <v>24</v>
      </c>
      <c r="F426" s="153" t="s">
        <v>282</v>
      </c>
      <c r="G426" s="41">
        <v>32</v>
      </c>
      <c r="H426" s="41" t="s">
        <v>163</v>
      </c>
      <c r="I426" s="41" t="s">
        <v>256</v>
      </c>
      <c r="J426" s="150" t="s">
        <v>333</v>
      </c>
      <c r="K426">
        <v>25</v>
      </c>
      <c r="L426">
        <v>4992</v>
      </c>
      <c r="M426">
        <v>44734000</v>
      </c>
      <c r="N426">
        <v>4344580</v>
      </c>
      <c r="O426">
        <v>4615000</v>
      </c>
      <c r="P426">
        <v>0</v>
      </c>
      <c r="R426">
        <v>0</v>
      </c>
      <c r="T426" s="16">
        <f t="shared" si="79"/>
        <v>8959580</v>
      </c>
      <c r="U426" s="16">
        <v>840000</v>
      </c>
      <c r="V426" s="76">
        <f>129*35000</f>
        <v>4515000</v>
      </c>
      <c r="W426" s="76">
        <v>0</v>
      </c>
      <c r="X426">
        <v>0</v>
      </c>
      <c r="Y426" s="16">
        <f t="shared" si="72"/>
        <v>5355000</v>
      </c>
      <c r="Z426" s="12">
        <f>26%*M426</f>
        <v>11630840</v>
      </c>
      <c r="AA426">
        <f>141*25000</f>
        <v>3525000</v>
      </c>
      <c r="AB426">
        <v>0</v>
      </c>
      <c r="AD426">
        <v>0</v>
      </c>
      <c r="AE426">
        <f t="shared" si="69"/>
        <v>15155840</v>
      </c>
      <c r="AF426" s="12">
        <f t="shared" si="70"/>
        <v>841260</v>
      </c>
      <c r="AG42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1831260</v>
      </c>
      <c r="AH426">
        <f>IFERROR(AG426/(Z426+Table5[[#This Row],[Rider Penalty (Claim, Other Denda to Riders)]]),0)</f>
        <v>0.15744864515374643</v>
      </c>
      <c r="AI426" s="12">
        <f t="shared" si="80"/>
        <v>-990000</v>
      </c>
      <c r="AJ426">
        <f t="shared" si="71"/>
        <v>-0.28085106382978725</v>
      </c>
      <c r="AV426" s="109">
        <f>Table5[[#This Row],[Total Selling Comission/Sales (Weekly)]]/Table5[[#This Row],[Total Revenue Sharing % (Weekly)]]*100%</f>
        <v>0.37353965835657615</v>
      </c>
      <c r="AW426" s="109">
        <f>Table5[[#This Row],[Total Daily Incentive (Weekly)]]/Table5[[#This Row],[Total Revenue Sharing % (Weekly)]]*100%</f>
        <v>0.39678991371216527</v>
      </c>
      <c r="AX426" s="109">
        <f>(N426+O426)/Z426*100%</f>
        <v>0.77032957206874142</v>
      </c>
    </row>
    <row r="427" spans="1:50" hidden="1">
      <c r="A427" s="41">
        <v>2025</v>
      </c>
      <c r="B427" s="41" t="s">
        <v>177</v>
      </c>
      <c r="C427" s="41" t="s">
        <v>177</v>
      </c>
      <c r="D427" s="41" t="s">
        <v>168</v>
      </c>
      <c r="E427" s="41" t="s">
        <v>24</v>
      </c>
      <c r="F427" s="41" t="s">
        <v>24</v>
      </c>
      <c r="G427" s="41">
        <v>32</v>
      </c>
      <c r="H427" s="41" t="s">
        <v>163</v>
      </c>
      <c r="I427" s="41" t="s">
        <v>256</v>
      </c>
      <c r="J427" s="150" t="s">
        <v>333</v>
      </c>
      <c r="K427">
        <v>1</v>
      </c>
      <c r="L427">
        <v>241</v>
      </c>
      <c r="M427" s="16">
        <v>2772000</v>
      </c>
      <c r="N427" s="16">
        <v>304920</v>
      </c>
      <c r="O427" s="16">
        <v>315000</v>
      </c>
      <c r="P427">
        <v>0</v>
      </c>
      <c r="R427">
        <v>0</v>
      </c>
      <c r="T427">
        <f t="shared" si="79"/>
        <v>619920</v>
      </c>
      <c r="U427">
        <v>0</v>
      </c>
      <c r="V427" s="76">
        <f>7*35000</f>
        <v>245000</v>
      </c>
      <c r="W427" s="76">
        <v>0</v>
      </c>
      <c r="X427">
        <v>0</v>
      </c>
      <c r="Y427">
        <f t="shared" si="72"/>
        <v>245000</v>
      </c>
      <c r="Z427" s="12">
        <f>30%*M427</f>
        <v>831600</v>
      </c>
      <c r="AA427">
        <f>7*25000</f>
        <v>175000</v>
      </c>
      <c r="AB427">
        <v>0</v>
      </c>
      <c r="AD427">
        <v>0</v>
      </c>
      <c r="AE427">
        <f t="shared" si="69"/>
        <v>1006600</v>
      </c>
      <c r="AF427" s="12">
        <f t="shared" si="70"/>
        <v>141680</v>
      </c>
      <c r="AG42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211680</v>
      </c>
      <c r="AH427">
        <f>IFERROR(AG427/(Z427+Table5[[#This Row],[Rider Penalty (Claim, Other Denda to Riders)]]),0)</f>
        <v>0.25454545454545452</v>
      </c>
      <c r="AI427" s="12">
        <f t="shared" si="80"/>
        <v>-70000</v>
      </c>
      <c r="AJ427">
        <f t="shared" si="71"/>
        <v>-0.4</v>
      </c>
      <c r="AV427" s="109"/>
      <c r="AW427" s="109"/>
      <c r="AX427" s="109"/>
    </row>
    <row r="428" spans="1:50" hidden="1">
      <c r="A428">
        <v>2025</v>
      </c>
      <c r="B428" t="s">
        <v>23</v>
      </c>
      <c r="C428" t="s">
        <v>23</v>
      </c>
      <c r="D428" t="s">
        <v>168</v>
      </c>
      <c r="E428" t="s">
        <v>28</v>
      </c>
      <c r="F428" t="s">
        <v>25</v>
      </c>
      <c r="G428" s="41">
        <v>32</v>
      </c>
      <c r="H428" s="41" t="s">
        <v>163</v>
      </c>
      <c r="I428" s="41" t="s">
        <v>256</v>
      </c>
      <c r="J428" s="150" t="s">
        <v>333</v>
      </c>
      <c r="K428" s="16">
        <v>263</v>
      </c>
      <c r="L428" s="16">
        <v>78810</v>
      </c>
      <c r="M428" s="16">
        <v>689866000</v>
      </c>
      <c r="N428" s="16">
        <v>79037295</v>
      </c>
      <c r="O428" s="16">
        <v>62790000</v>
      </c>
      <c r="P428" s="16">
        <v>0</v>
      </c>
      <c r="Q428" s="16"/>
      <c r="R428" s="16">
        <v>0</v>
      </c>
      <c r="S428" s="16"/>
      <c r="T428" s="16">
        <f t="shared" si="79"/>
        <v>141827295</v>
      </c>
      <c r="U428" s="16">
        <v>3625000</v>
      </c>
      <c r="V428" s="14">
        <v>64435000</v>
      </c>
      <c r="W428" s="14">
        <v>250000</v>
      </c>
      <c r="X428" s="16">
        <v>292006.16666666663</v>
      </c>
      <c r="Y428" s="16">
        <f t="shared" si="72"/>
        <v>68602006.166666672</v>
      </c>
      <c r="Z428" s="16">
        <f>26%*M428</f>
        <v>179365160</v>
      </c>
      <c r="AA428" s="16">
        <v>38350000</v>
      </c>
      <c r="AB428" s="16">
        <v>0</v>
      </c>
      <c r="AC428" s="16"/>
      <c r="AD428" s="16">
        <v>0</v>
      </c>
      <c r="AE428" s="16">
        <f t="shared" ref="AE428:AE467" si="81">SUM(Z428:AD428)</f>
        <v>217715160</v>
      </c>
      <c r="AF428" s="12">
        <f t="shared" ref="AF428:AF468" si="82">AE428-(T428+Y428)</f>
        <v>7285858.8333333135</v>
      </c>
      <c r="AG42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33370858.833333332</v>
      </c>
      <c r="AH428">
        <f>IFERROR(AG428/(Z428+Table5[[#This Row],[Rider Penalty (Claim, Other Denda to Riders)]]),0)</f>
        <v>0.18604983728909968</v>
      </c>
      <c r="AI428" s="12">
        <f t="shared" si="80"/>
        <v>-26085000</v>
      </c>
      <c r="AJ428">
        <f t="shared" ref="AJ428:AJ467" si="83">IFERROR(AI428/(AA428+AB428),0)</f>
        <v>-0.68018252933507173</v>
      </c>
      <c r="AV428" s="109">
        <f>Table5[[#This Row],[Total Selling Comission/Sales (Weekly)]]/Table5[[#This Row],[Total Revenue Sharing % (Weekly)]]*100%</f>
        <v>0.44065020765459689</v>
      </c>
      <c r="AW428" s="109">
        <f>Table5[[#This Row],[Total Daily Incentive (Weekly)]]/Table5[[#This Row],[Total Revenue Sharing % (Weekly)]]*100%</f>
        <v>0.35006798421722479</v>
      </c>
      <c r="AX428" s="109">
        <f>(N428+O428)/Z428*100%</f>
        <v>0.79071819187182169</v>
      </c>
    </row>
    <row r="429" spans="1:50" hidden="1">
      <c r="A429">
        <v>2025</v>
      </c>
      <c r="B429" t="s">
        <v>23</v>
      </c>
      <c r="C429" t="s">
        <v>172</v>
      </c>
      <c r="D429" t="s">
        <v>168</v>
      </c>
      <c r="E429" t="s">
        <v>28</v>
      </c>
      <c r="F429" t="s">
        <v>31</v>
      </c>
      <c r="G429" s="41">
        <v>32</v>
      </c>
      <c r="H429" s="41" t="s">
        <v>163</v>
      </c>
      <c r="I429" s="41" t="s">
        <v>256</v>
      </c>
      <c r="J429" s="150" t="s">
        <v>333</v>
      </c>
      <c r="K429" s="16">
        <v>21</v>
      </c>
      <c r="L429" s="16">
        <v>5642</v>
      </c>
      <c r="M429" s="16">
        <v>49392000</v>
      </c>
      <c r="N429" s="16">
        <v>5473580</v>
      </c>
      <c r="O429" s="16">
        <v>4915000</v>
      </c>
      <c r="P429" s="16">
        <v>0</v>
      </c>
      <c r="Q429" s="16"/>
      <c r="R429" s="16">
        <v>0</v>
      </c>
      <c r="S429" s="16"/>
      <c r="T429" s="16">
        <f t="shared" si="79"/>
        <v>10388580</v>
      </c>
      <c r="U429" s="16">
        <v>375000</v>
      </c>
      <c r="V429" s="14">
        <v>5145000</v>
      </c>
      <c r="W429" s="14">
        <v>0</v>
      </c>
      <c r="X429" s="16">
        <v>425600</v>
      </c>
      <c r="Y429" s="16">
        <f t="shared" si="72"/>
        <v>5945600</v>
      </c>
      <c r="Z429" s="16">
        <f>26%*M429</f>
        <v>12841920</v>
      </c>
      <c r="AA429" s="16">
        <v>2850000</v>
      </c>
      <c r="AB429" s="16">
        <v>0</v>
      </c>
      <c r="AC429" s="16"/>
      <c r="AD429" s="16">
        <v>0</v>
      </c>
      <c r="AE429" s="16">
        <f t="shared" si="81"/>
        <v>15691920</v>
      </c>
      <c r="AF429" s="12">
        <f t="shared" si="82"/>
        <v>-642260</v>
      </c>
      <c r="AG42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1652740</v>
      </c>
      <c r="AH429">
        <f>IFERROR(AG429/(Z429+Table5[[#This Row],[Rider Penalty (Claim, Other Denda to Riders)]]),0)</f>
        <v>0.12869882385188508</v>
      </c>
      <c r="AI429" s="12">
        <f t="shared" si="80"/>
        <v>-2295000</v>
      </c>
      <c r="AJ429">
        <f t="shared" si="83"/>
        <v>-0.80526315789473679</v>
      </c>
      <c r="AV429" s="109">
        <f>Table5[[#This Row],[Total Selling Comission/Sales (Weekly)]]/Table5[[#This Row],[Total Revenue Sharing % (Weekly)]]*100%</f>
        <v>0.42622754229897086</v>
      </c>
      <c r="AW429" s="109">
        <f>Table5[[#This Row],[Total Daily Incentive (Weekly)]]/Table5[[#This Row],[Total Revenue Sharing % (Weekly)]]*100%</f>
        <v>0.38273093120031898</v>
      </c>
      <c r="AX429" s="109">
        <f>(N429+O429)/Z429*100%</f>
        <v>0.80895847349928984</v>
      </c>
    </row>
    <row r="430" spans="1:50" hidden="1">
      <c r="A430" s="41">
        <v>2025</v>
      </c>
      <c r="B430" s="41" t="s">
        <v>176</v>
      </c>
      <c r="C430" s="41" t="s">
        <v>176</v>
      </c>
      <c r="D430" s="41" t="s">
        <v>169</v>
      </c>
      <c r="E430" s="41" t="s">
        <v>28</v>
      </c>
      <c r="F430" s="41" t="s">
        <v>28</v>
      </c>
      <c r="G430" s="41">
        <v>32</v>
      </c>
      <c r="H430" s="41" t="s">
        <v>163</v>
      </c>
      <c r="I430" s="41" t="s">
        <v>256</v>
      </c>
      <c r="J430" s="150" t="s">
        <v>333</v>
      </c>
      <c r="K430" s="16">
        <v>13</v>
      </c>
      <c r="L430" s="16">
        <v>1058</v>
      </c>
      <c r="M430" s="16">
        <v>9906000</v>
      </c>
      <c r="N430" s="16">
        <v>0</v>
      </c>
      <c r="O430" s="16">
        <v>0</v>
      </c>
      <c r="P430" s="16">
        <v>0</v>
      </c>
      <c r="Q430" s="16"/>
      <c r="R430" s="16">
        <v>0</v>
      </c>
      <c r="S430" s="16"/>
      <c r="T430" s="16">
        <v>0</v>
      </c>
      <c r="U430" s="16">
        <v>0</v>
      </c>
      <c r="V430" s="14">
        <v>0</v>
      </c>
      <c r="W430" s="14">
        <v>0</v>
      </c>
      <c r="X430" s="16">
        <v>0</v>
      </c>
      <c r="Y430" s="16">
        <f t="shared" si="72"/>
        <v>0</v>
      </c>
      <c r="Z430" s="16">
        <f>7%*Table5[[#This Row],[Total Selling (Clients Revenue)]]</f>
        <v>693420.00000000012</v>
      </c>
      <c r="AA430" s="16">
        <v>0</v>
      </c>
      <c r="AB430" s="16">
        <v>0</v>
      </c>
      <c r="AC430" s="16"/>
      <c r="AD430" s="16">
        <v>0</v>
      </c>
      <c r="AE430" s="16">
        <f t="shared" si="81"/>
        <v>693420.00000000012</v>
      </c>
      <c r="AF430" s="12">
        <f t="shared" si="82"/>
        <v>693420.00000000012</v>
      </c>
      <c r="AG43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693420.00000000012</v>
      </c>
      <c r="AH430">
        <f>IFERROR(AG430/(Z430+Table5[[#This Row],[Rider Penalty (Claim, Other Denda to Riders)]]),0)</f>
        <v>1</v>
      </c>
      <c r="AI430" s="12">
        <f t="shared" si="80"/>
        <v>0</v>
      </c>
      <c r="AJ430">
        <f t="shared" si="83"/>
        <v>0</v>
      </c>
      <c r="AV430" s="109"/>
      <c r="AW430" s="109"/>
      <c r="AX430" s="109"/>
    </row>
    <row r="431" spans="1:50" hidden="1">
      <c r="A431" s="41">
        <v>2025</v>
      </c>
      <c r="B431" s="117" t="s">
        <v>23</v>
      </c>
      <c r="C431" s="117" t="s">
        <v>174</v>
      </c>
      <c r="D431" s="117" t="s">
        <v>168</v>
      </c>
      <c r="E431" s="117" t="s">
        <v>24</v>
      </c>
      <c r="F431" s="117" t="s">
        <v>24</v>
      </c>
      <c r="G431" s="41">
        <v>33</v>
      </c>
      <c r="H431" s="41" t="s">
        <v>163</v>
      </c>
      <c r="I431" s="41" t="s">
        <v>278</v>
      </c>
      <c r="J431" s="150" t="s">
        <v>332</v>
      </c>
      <c r="K431">
        <v>25</v>
      </c>
      <c r="L431">
        <v>5374</v>
      </c>
      <c r="M431">
        <v>49170000</v>
      </c>
      <c r="N431">
        <v>5077380</v>
      </c>
      <c r="O431">
        <v>5092500</v>
      </c>
      <c r="P431">
        <v>0</v>
      </c>
      <c r="R431">
        <v>0</v>
      </c>
      <c r="T431">
        <f t="shared" ref="T431:T440" si="84">SUM(N431:R431)</f>
        <v>10169880</v>
      </c>
      <c r="U431">
        <v>0</v>
      </c>
      <c r="V431" s="76">
        <f>137*35000</f>
        <v>4795000</v>
      </c>
      <c r="W431" s="76">
        <v>0</v>
      </c>
      <c r="X431">
        <v>0</v>
      </c>
      <c r="Y431">
        <f t="shared" ref="Y431:Y467" si="85">SUM(U431:X431)</f>
        <v>4795000</v>
      </c>
      <c r="Z431" s="12">
        <f>26%*M431</f>
        <v>12784200</v>
      </c>
      <c r="AA431">
        <v>3975000</v>
      </c>
      <c r="AB431">
        <v>0</v>
      </c>
      <c r="AD431">
        <v>75000</v>
      </c>
      <c r="AE431">
        <f t="shared" si="81"/>
        <v>16834200</v>
      </c>
      <c r="AF431" s="12">
        <f t="shared" si="82"/>
        <v>1869320</v>
      </c>
      <c r="AG43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2689320</v>
      </c>
      <c r="AH431">
        <f>IFERROR(AG431/(Z431+Table5[[#This Row],[Rider Penalty (Claim, Other Denda to Riders)]]),0)</f>
        <v>0.20913587159387831</v>
      </c>
      <c r="AI431" s="12">
        <f t="shared" si="80"/>
        <v>-820000</v>
      </c>
      <c r="AJ431">
        <f t="shared" si="83"/>
        <v>-0.20628930817610064</v>
      </c>
      <c r="AV431" s="109">
        <f>Table5[[#This Row],[Total Selling Comission/Sales (Weekly)]]/Table5[[#This Row],[Total Revenue Sharing % (Weekly)]]*100%</f>
        <v>0.39716055756324214</v>
      </c>
      <c r="AW431" s="109">
        <f>Table5[[#This Row],[Total Daily Incentive (Weekly)]]/Table5[[#This Row],[Total Revenue Sharing % (Weekly)]]*100%</f>
        <v>0.39834326747078425</v>
      </c>
      <c r="AX431" s="109">
        <f>(N431+O431)/Z431*100%</f>
        <v>0.79550382503402639</v>
      </c>
    </row>
    <row r="432" spans="1:50" hidden="1">
      <c r="A432" s="41">
        <v>2025</v>
      </c>
      <c r="B432" s="64" t="s">
        <v>23</v>
      </c>
      <c r="C432" s="64" t="s">
        <v>173</v>
      </c>
      <c r="D432" s="64" t="s">
        <v>168</v>
      </c>
      <c r="E432" s="64" t="s">
        <v>24</v>
      </c>
      <c r="F432" s="153" t="s">
        <v>282</v>
      </c>
      <c r="G432" s="41">
        <v>33</v>
      </c>
      <c r="H432" s="41" t="s">
        <v>163</v>
      </c>
      <c r="I432" s="41" t="s">
        <v>278</v>
      </c>
      <c r="J432" s="150" t="s">
        <v>332</v>
      </c>
      <c r="K432">
        <v>24</v>
      </c>
      <c r="L432">
        <v>4767</v>
      </c>
      <c r="M432">
        <v>42880000</v>
      </c>
      <c r="N432">
        <v>4173960</v>
      </c>
      <c r="O432">
        <v>4395000</v>
      </c>
      <c r="P432">
        <v>0</v>
      </c>
      <c r="R432">
        <v>0</v>
      </c>
      <c r="T432">
        <f t="shared" si="84"/>
        <v>8568960</v>
      </c>
      <c r="U432">
        <v>700000</v>
      </c>
      <c r="V432" s="76">
        <f>123*35000</f>
        <v>4305000</v>
      </c>
      <c r="W432" s="76">
        <v>0</v>
      </c>
      <c r="X432">
        <v>0</v>
      </c>
      <c r="Y432">
        <f t="shared" si="85"/>
        <v>5005000</v>
      </c>
      <c r="Z432" s="12">
        <f>26%*M432</f>
        <v>11148800</v>
      </c>
      <c r="AA432" s="16">
        <v>3550000</v>
      </c>
      <c r="AB432">
        <v>0</v>
      </c>
      <c r="AD432">
        <v>0</v>
      </c>
      <c r="AE432">
        <f t="shared" si="81"/>
        <v>14698800</v>
      </c>
      <c r="AF432" s="12">
        <f t="shared" si="82"/>
        <v>1124840</v>
      </c>
      <c r="AG43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1879840</v>
      </c>
      <c r="AH432">
        <f>IFERROR(AG432/(Z432+Table5[[#This Row],[Rider Penalty (Claim, Other Denda to Riders)]]),0)</f>
        <v>0.16861366245694603</v>
      </c>
      <c r="AI432" s="12">
        <f t="shared" si="80"/>
        <v>-755000</v>
      </c>
      <c r="AJ432">
        <f t="shared" si="83"/>
        <v>-0.21267605633802816</v>
      </c>
      <c r="AV432" s="109">
        <f>Table5[[#This Row],[Total Selling Comission/Sales (Weekly)]]/Table5[[#This Row],[Total Revenue Sharing % (Weekly)]]*100%</f>
        <v>0.37438648105625716</v>
      </c>
      <c r="AW432" s="109">
        <f>Table5[[#This Row],[Total Daily Incentive (Weekly)]]/Table5[[#This Row],[Total Revenue Sharing % (Weekly)]]*100%</f>
        <v>0.39421283008036739</v>
      </c>
      <c r="AX432" s="109">
        <f>(N432+O432)/Z432*100%</f>
        <v>0.76859931113662461</v>
      </c>
    </row>
    <row r="433" spans="1:50" hidden="1">
      <c r="A433" s="41">
        <v>2025</v>
      </c>
      <c r="B433" s="41" t="s">
        <v>177</v>
      </c>
      <c r="C433" s="41" t="s">
        <v>177</v>
      </c>
      <c r="D433" s="41" t="s">
        <v>168</v>
      </c>
      <c r="E433" s="41" t="s">
        <v>24</v>
      </c>
      <c r="F433" s="41" t="s">
        <v>24</v>
      </c>
      <c r="G433" s="41">
        <v>33</v>
      </c>
      <c r="H433" s="41" t="s">
        <v>163</v>
      </c>
      <c r="I433" s="41" t="s">
        <v>278</v>
      </c>
      <c r="J433" s="150" t="s">
        <v>332</v>
      </c>
      <c r="K433">
        <v>2</v>
      </c>
      <c r="L433">
        <v>296</v>
      </c>
      <c r="M433">
        <v>3318000</v>
      </c>
      <c r="N433">
        <v>328440</v>
      </c>
      <c r="O433">
        <v>465000</v>
      </c>
      <c r="P433">
        <v>0</v>
      </c>
      <c r="R433">
        <v>0</v>
      </c>
      <c r="T433">
        <f t="shared" si="84"/>
        <v>793440</v>
      </c>
      <c r="U433">
        <v>0</v>
      </c>
      <c r="V433" s="76">
        <f>13*35000</f>
        <v>455000</v>
      </c>
      <c r="W433" s="76">
        <v>0</v>
      </c>
      <c r="X433">
        <v>0</v>
      </c>
      <c r="Y433">
        <f t="shared" si="85"/>
        <v>455000</v>
      </c>
      <c r="Z433" s="12">
        <f>30%*M433</f>
        <v>995400</v>
      </c>
      <c r="AA433">
        <v>325000</v>
      </c>
      <c r="AB433">
        <v>0</v>
      </c>
      <c r="AD433">
        <v>0</v>
      </c>
      <c r="AE433">
        <f t="shared" si="81"/>
        <v>1320400</v>
      </c>
      <c r="AF433" s="12">
        <f t="shared" si="82"/>
        <v>71960</v>
      </c>
      <c r="AG43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201960</v>
      </c>
      <c r="AH433">
        <f>IFERROR(AG433/(Z433+Table5[[#This Row],[Rider Penalty (Claim, Other Denda to Riders)]]),0)</f>
        <v>0.20289330922242316</v>
      </c>
      <c r="AI433" s="12">
        <f t="shared" si="80"/>
        <v>-130000</v>
      </c>
      <c r="AJ433">
        <f t="shared" si="83"/>
        <v>-0.4</v>
      </c>
      <c r="AV433" s="109"/>
      <c r="AW433" s="109"/>
      <c r="AX433" s="109"/>
    </row>
    <row r="434" spans="1:50" hidden="1">
      <c r="A434" s="41">
        <v>2025</v>
      </c>
      <c r="B434" s="64" t="s">
        <v>320</v>
      </c>
      <c r="C434" s="64" t="s">
        <v>276</v>
      </c>
      <c r="D434" s="64" t="s">
        <v>168</v>
      </c>
      <c r="E434" s="64" t="s">
        <v>24</v>
      </c>
      <c r="F434" s="64" t="s">
        <v>283</v>
      </c>
      <c r="G434" s="41">
        <v>33</v>
      </c>
      <c r="H434" s="41" t="s">
        <v>163</v>
      </c>
      <c r="I434" s="41" t="s">
        <v>278</v>
      </c>
      <c r="J434" s="150" t="s">
        <v>332</v>
      </c>
      <c r="K434">
        <v>2</v>
      </c>
      <c r="L434">
        <v>80</v>
      </c>
      <c r="M434">
        <v>497000</v>
      </c>
      <c r="N434">
        <v>99400</v>
      </c>
      <c r="O434">
        <v>180000</v>
      </c>
      <c r="P434">
        <v>0</v>
      </c>
      <c r="R434">
        <v>0</v>
      </c>
      <c r="T434">
        <f t="shared" si="84"/>
        <v>279400</v>
      </c>
      <c r="U434">
        <v>700000</v>
      </c>
      <c r="V434" s="76">
        <v>0</v>
      </c>
      <c r="W434" s="76">
        <v>0</v>
      </c>
      <c r="X434">
        <f>2*230000</f>
        <v>460000</v>
      </c>
      <c r="Y434">
        <f t="shared" si="85"/>
        <v>1160000</v>
      </c>
      <c r="Z434" s="12">
        <f>Table5[[#This Row],[Total Selling (Clients Revenue)]]</f>
        <v>497000</v>
      </c>
      <c r="AA434">
        <v>0</v>
      </c>
      <c r="AB434">
        <v>0</v>
      </c>
      <c r="AD434">
        <v>0</v>
      </c>
      <c r="AE434">
        <f t="shared" si="81"/>
        <v>497000</v>
      </c>
      <c r="AF434" s="12">
        <f t="shared" si="82"/>
        <v>-942400</v>
      </c>
      <c r="AG43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-942400</v>
      </c>
      <c r="AH434">
        <f>IFERROR(AG434/(Z434+Table5[[#This Row],[Rider Penalty (Claim, Other Denda to Riders)]]),0)</f>
        <v>-1.8961770623742455</v>
      </c>
      <c r="AI434" s="12">
        <f t="shared" si="80"/>
        <v>0</v>
      </c>
      <c r="AJ434">
        <f t="shared" si="83"/>
        <v>0</v>
      </c>
      <c r="AV434" s="109"/>
      <c r="AW434" s="109"/>
      <c r="AX434" s="109"/>
    </row>
    <row r="435" spans="1:50" hidden="1">
      <c r="A435" s="41">
        <v>2025</v>
      </c>
      <c r="B435" s="41" t="s">
        <v>320</v>
      </c>
      <c r="C435" s="64" t="s">
        <v>277</v>
      </c>
      <c r="D435" s="41" t="s">
        <v>168</v>
      </c>
      <c r="E435" s="41" t="s">
        <v>24</v>
      </c>
      <c r="F435" s="41" t="s">
        <v>24</v>
      </c>
      <c r="G435" s="41">
        <v>33</v>
      </c>
      <c r="H435" s="41" t="s">
        <v>163</v>
      </c>
      <c r="I435" s="41" t="s">
        <v>278</v>
      </c>
      <c r="J435" s="150" t="s">
        <v>332</v>
      </c>
      <c r="K435">
        <v>2</v>
      </c>
      <c r="L435">
        <v>50</v>
      </c>
      <c r="M435">
        <v>30000</v>
      </c>
      <c r="N435">
        <v>7800</v>
      </c>
      <c r="O435">
        <v>30000</v>
      </c>
      <c r="P435">
        <v>0</v>
      </c>
      <c r="R435">
        <v>0</v>
      </c>
      <c r="T435">
        <f t="shared" si="84"/>
        <v>37800</v>
      </c>
      <c r="U435">
        <v>0</v>
      </c>
      <c r="V435" s="76">
        <f>2*35000</f>
        <v>70000</v>
      </c>
      <c r="W435" s="76">
        <v>0</v>
      </c>
      <c r="X435">
        <f>1*230000</f>
        <v>230000</v>
      </c>
      <c r="Y435">
        <f t="shared" si="85"/>
        <v>300000</v>
      </c>
      <c r="Z435" s="12">
        <f>Table5[[#This Row],[Total Selling (Clients Revenue)]]</f>
        <v>30000</v>
      </c>
      <c r="AA435">
        <v>50000</v>
      </c>
      <c r="AB435">
        <v>0</v>
      </c>
      <c r="AD435">
        <v>0</v>
      </c>
      <c r="AE435">
        <f t="shared" si="81"/>
        <v>80000</v>
      </c>
      <c r="AF435" s="12">
        <f t="shared" si="82"/>
        <v>-257800</v>
      </c>
      <c r="AG43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-237800</v>
      </c>
      <c r="AH435">
        <f>IFERROR(AG435/(Z435+Table5[[#This Row],[Rider Penalty (Claim, Other Denda to Riders)]]),0)</f>
        <v>-7.9266666666666667</v>
      </c>
      <c r="AI435" s="12">
        <f t="shared" si="80"/>
        <v>-20000</v>
      </c>
      <c r="AJ435">
        <f t="shared" si="83"/>
        <v>-0.4</v>
      </c>
      <c r="AV435" s="109"/>
      <c r="AW435" s="109"/>
      <c r="AX435" s="109"/>
    </row>
    <row r="436" spans="1:50" hidden="1">
      <c r="A436">
        <v>2025</v>
      </c>
      <c r="B436" t="s">
        <v>23</v>
      </c>
      <c r="C436" t="s">
        <v>23</v>
      </c>
      <c r="D436" t="s">
        <v>168</v>
      </c>
      <c r="E436" t="s">
        <v>28</v>
      </c>
      <c r="F436" t="s">
        <v>25</v>
      </c>
      <c r="G436" s="41">
        <v>33</v>
      </c>
      <c r="H436" s="41" t="s">
        <v>163</v>
      </c>
      <c r="I436" s="41" t="s">
        <v>278</v>
      </c>
      <c r="J436" s="150" t="s">
        <v>332</v>
      </c>
      <c r="K436" s="16">
        <v>254</v>
      </c>
      <c r="L436" s="16">
        <v>75983</v>
      </c>
      <c r="M436" s="16">
        <v>664506000</v>
      </c>
      <c r="N436" s="16">
        <v>76284905</v>
      </c>
      <c r="O436" s="16">
        <v>61092500</v>
      </c>
      <c r="P436">
        <v>0</v>
      </c>
      <c r="R436">
        <v>0</v>
      </c>
      <c r="T436" s="16">
        <f t="shared" si="84"/>
        <v>137377405</v>
      </c>
      <c r="U436" s="16">
        <v>3525000</v>
      </c>
      <c r="V436" s="14">
        <v>62230000</v>
      </c>
      <c r="W436" s="14">
        <v>0</v>
      </c>
      <c r="X436" s="16">
        <v>292006.16666666663</v>
      </c>
      <c r="Y436" s="16">
        <f t="shared" si="85"/>
        <v>66047006.166666664</v>
      </c>
      <c r="Z436" s="16">
        <f>26%*M436</f>
        <v>172771560</v>
      </c>
      <c r="AA436" s="16">
        <v>39950000</v>
      </c>
      <c r="AB436" s="16">
        <v>0</v>
      </c>
      <c r="AC436" s="16"/>
      <c r="AD436">
        <v>0</v>
      </c>
      <c r="AE436" s="16">
        <f t="shared" si="81"/>
        <v>212721560</v>
      </c>
      <c r="AF436" s="12">
        <f t="shared" si="82"/>
        <v>9297148.8333333433</v>
      </c>
      <c r="AG43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31577148.833333332</v>
      </c>
      <c r="AH436">
        <f>IFERROR(AG436/(Z436+Table5[[#This Row],[Rider Penalty (Claim, Other Denda to Riders)]]),0)</f>
        <v>0.18276821042382979</v>
      </c>
      <c r="AI436" s="12">
        <f t="shared" si="80"/>
        <v>-22280000</v>
      </c>
      <c r="AJ436">
        <f t="shared" si="83"/>
        <v>-0.5576971214017522</v>
      </c>
      <c r="AV436" s="109">
        <f>Table5[[#This Row],[Total Selling Comission/Sales (Weekly)]]/Table5[[#This Row],[Total Revenue Sharing % (Weekly)]]*100%</f>
        <v>0.44153624010803633</v>
      </c>
      <c r="AW436" s="109">
        <f>Table5[[#This Row],[Total Daily Incentive (Weekly)]]/Table5[[#This Row],[Total Revenue Sharing % (Weekly)]]*100%</f>
        <v>0.35360275730565843</v>
      </c>
      <c r="AX436" s="109">
        <f>(N436+O436)/Z436*100%</f>
        <v>0.79513899741369476</v>
      </c>
    </row>
    <row r="437" spans="1:50" hidden="1">
      <c r="A437">
        <v>2025</v>
      </c>
      <c r="B437" t="s">
        <v>23</v>
      </c>
      <c r="C437" t="s">
        <v>172</v>
      </c>
      <c r="D437" t="s">
        <v>168</v>
      </c>
      <c r="E437" t="s">
        <v>28</v>
      </c>
      <c r="F437" t="s">
        <v>31</v>
      </c>
      <c r="G437" s="41">
        <v>33</v>
      </c>
      <c r="H437" s="41" t="s">
        <v>163</v>
      </c>
      <c r="I437" s="41" t="s">
        <v>278</v>
      </c>
      <c r="J437" s="150" t="s">
        <v>332</v>
      </c>
      <c r="K437" s="16">
        <v>21</v>
      </c>
      <c r="L437" s="16">
        <v>5809</v>
      </c>
      <c r="M437" s="16">
        <v>50728000</v>
      </c>
      <c r="N437" s="16">
        <v>5622710</v>
      </c>
      <c r="O437" s="16">
        <v>5415000</v>
      </c>
      <c r="P437">
        <v>0</v>
      </c>
      <c r="R437">
        <v>0</v>
      </c>
      <c r="T437" s="16">
        <f t="shared" si="84"/>
        <v>11037710</v>
      </c>
      <c r="U437" s="16">
        <v>450000</v>
      </c>
      <c r="V437" s="14">
        <v>5145000</v>
      </c>
      <c r="W437" s="14">
        <v>0</v>
      </c>
      <c r="X437" s="16">
        <v>425600</v>
      </c>
      <c r="Y437" s="16">
        <f t="shared" si="85"/>
        <v>6020600</v>
      </c>
      <c r="Z437" s="16">
        <f>26%*M437</f>
        <v>13189280</v>
      </c>
      <c r="AA437" s="16">
        <v>3050000</v>
      </c>
      <c r="AB437" s="16">
        <v>0</v>
      </c>
      <c r="AC437" s="16"/>
      <c r="AD437">
        <v>0</v>
      </c>
      <c r="AE437" s="16">
        <f t="shared" si="81"/>
        <v>16239280</v>
      </c>
      <c r="AF437" s="12">
        <f t="shared" si="82"/>
        <v>-819030</v>
      </c>
      <c r="AG43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1275970</v>
      </c>
      <c r="AH437">
        <f>IFERROR(AG437/(Z437+Table5[[#This Row],[Rider Penalty (Claim, Other Denda to Riders)]]),0)</f>
        <v>9.6742960950104928E-2</v>
      </c>
      <c r="AI437" s="12">
        <f t="shared" si="80"/>
        <v>-2095000</v>
      </c>
      <c r="AJ437">
        <f t="shared" si="83"/>
        <v>-0.68688524590163935</v>
      </c>
      <c r="AV437" s="109">
        <f>Table5[[#This Row],[Total Selling Comission/Sales (Weekly)]]/Table5[[#This Row],[Total Revenue Sharing % (Weekly)]]*100%</f>
        <v>0.4263090934455861</v>
      </c>
      <c r="AW437" s="109">
        <f>Table5[[#This Row],[Total Daily Incentive (Weekly)]]/Table5[[#This Row],[Total Revenue Sharing % (Weekly)]]*100%</f>
        <v>0.41056069777880216</v>
      </c>
      <c r="AX437" s="109">
        <f>(N437+O437)/Z437*100%</f>
        <v>0.83686979122438832</v>
      </c>
    </row>
    <row r="438" spans="1:50" hidden="1">
      <c r="A438" s="41">
        <v>2025</v>
      </c>
      <c r="B438" s="41" t="s">
        <v>176</v>
      </c>
      <c r="C438" s="41" t="s">
        <v>176</v>
      </c>
      <c r="D438" s="41" t="s">
        <v>169</v>
      </c>
      <c r="E438" s="41" t="s">
        <v>28</v>
      </c>
      <c r="F438" s="41" t="s">
        <v>28</v>
      </c>
      <c r="G438" s="41">
        <v>33</v>
      </c>
      <c r="H438" s="41" t="s">
        <v>163</v>
      </c>
      <c r="I438" s="41" t="s">
        <v>278</v>
      </c>
      <c r="J438" s="150" t="s">
        <v>332</v>
      </c>
      <c r="K438" s="16">
        <v>15</v>
      </c>
      <c r="L438" s="16">
        <v>1092</v>
      </c>
      <c r="M438" s="16">
        <v>10382000</v>
      </c>
      <c r="N438" s="16">
        <v>0</v>
      </c>
      <c r="O438" s="16">
        <v>0</v>
      </c>
      <c r="P438" s="16">
        <v>0</v>
      </c>
      <c r="Q438" s="16"/>
      <c r="R438" s="16">
        <v>0</v>
      </c>
      <c r="S438" s="16"/>
      <c r="T438" s="16">
        <f t="shared" si="84"/>
        <v>0</v>
      </c>
      <c r="U438" s="16">
        <v>0</v>
      </c>
      <c r="V438" s="14">
        <v>0</v>
      </c>
      <c r="W438" s="14">
        <v>0</v>
      </c>
      <c r="X438" s="16">
        <v>0</v>
      </c>
      <c r="Y438" s="16">
        <f t="shared" si="85"/>
        <v>0</v>
      </c>
      <c r="Z438" s="16">
        <f>7%*M438</f>
        <v>726740.00000000012</v>
      </c>
      <c r="AA438" s="16">
        <v>0</v>
      </c>
      <c r="AB438" s="16">
        <v>0</v>
      </c>
      <c r="AC438" s="16"/>
      <c r="AD438" s="16">
        <v>0</v>
      </c>
      <c r="AE438" s="16">
        <f t="shared" si="81"/>
        <v>726740.00000000012</v>
      </c>
      <c r="AF438" s="12">
        <f t="shared" si="82"/>
        <v>726740.00000000012</v>
      </c>
      <c r="AG43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726740.00000000012</v>
      </c>
      <c r="AH438">
        <f>IFERROR(AG438/(Z438+Table5[[#This Row],[Rider Penalty (Claim, Other Denda to Riders)]]),0)</f>
        <v>1</v>
      </c>
      <c r="AI438" s="12">
        <f t="shared" si="80"/>
        <v>0</v>
      </c>
      <c r="AJ438">
        <f t="shared" si="83"/>
        <v>0</v>
      </c>
      <c r="AV438" s="109"/>
      <c r="AW438" s="109"/>
      <c r="AX438" s="109"/>
    </row>
    <row r="439" spans="1:50" hidden="1">
      <c r="A439">
        <v>2025</v>
      </c>
      <c r="B439" t="s">
        <v>23</v>
      </c>
      <c r="C439" t="s">
        <v>23</v>
      </c>
      <c r="D439" t="s">
        <v>168</v>
      </c>
      <c r="E439" t="s">
        <v>28</v>
      </c>
      <c r="F439" t="s">
        <v>25</v>
      </c>
      <c r="G439">
        <v>34</v>
      </c>
      <c r="H439" s="41" t="s">
        <v>163</v>
      </c>
      <c r="I439" s="41" t="s">
        <v>279</v>
      </c>
      <c r="J439" s="150" t="s">
        <v>330</v>
      </c>
      <c r="K439" s="16">
        <v>248</v>
      </c>
      <c r="L439" s="16">
        <v>71213</v>
      </c>
      <c r="M439" s="16">
        <v>623200000</v>
      </c>
      <c r="N439" s="16">
        <v>70094600</v>
      </c>
      <c r="O439" s="16">
        <v>57325200</v>
      </c>
      <c r="P439" s="16">
        <v>0</v>
      </c>
      <c r="Q439" s="16"/>
      <c r="R439" s="16">
        <v>0</v>
      </c>
      <c r="S439" s="16"/>
      <c r="T439" s="16">
        <f t="shared" si="84"/>
        <v>127419800</v>
      </c>
      <c r="U439" s="16">
        <v>3525000</v>
      </c>
      <c r="V439" s="14">
        <v>60515000</v>
      </c>
      <c r="W439" s="14">
        <v>75000</v>
      </c>
      <c r="X439" s="16">
        <v>292006.16666666698</v>
      </c>
      <c r="Y439" s="16">
        <f t="shared" si="85"/>
        <v>64407006.166666664</v>
      </c>
      <c r="Z439" s="16">
        <f>26%*M439</f>
        <v>162032000</v>
      </c>
      <c r="AA439" s="16">
        <v>39010000</v>
      </c>
      <c r="AB439" s="16">
        <v>0</v>
      </c>
      <c r="AC439" s="16"/>
      <c r="AD439" s="16">
        <v>0</v>
      </c>
      <c r="AE439" s="16">
        <f t="shared" si="81"/>
        <v>201042000</v>
      </c>
      <c r="AF439" s="16">
        <f t="shared" si="82"/>
        <v>9215193.8333333433</v>
      </c>
      <c r="AG43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30720193.833333332</v>
      </c>
      <c r="AH439" s="16">
        <f>IFERROR(AG439/(Z439+Table5[[#This Row],[Rider Penalty (Claim, Other Denda to Riders)]]),0)</f>
        <v>0.18959337558836115</v>
      </c>
      <c r="AI439" s="16">
        <f t="shared" si="80"/>
        <v>-21505000</v>
      </c>
      <c r="AJ439" s="16">
        <f t="shared" si="83"/>
        <v>-0.55126890540886953</v>
      </c>
      <c r="AV439" s="109">
        <f>Table5[[#This Row],[Total Selling Comission/Sales (Weekly)]]/Table5[[#This Row],[Total Revenue Sharing % (Weekly)]]*100%</f>
        <v>0.43259726473782956</v>
      </c>
      <c r="AW439" s="109">
        <f>Table5[[#This Row],[Total Daily Incentive (Weekly)]]/Table5[[#This Row],[Total Revenue Sharing % (Weekly)]]*100%</f>
        <v>0.35378937493828377</v>
      </c>
      <c r="AX439" s="109">
        <f>(N439+O439)/Z439*100%</f>
        <v>0.78638663967611333</v>
      </c>
    </row>
    <row r="440" spans="1:50" hidden="1">
      <c r="A440">
        <v>2025</v>
      </c>
      <c r="B440" t="s">
        <v>23</v>
      </c>
      <c r="C440" t="s">
        <v>172</v>
      </c>
      <c r="D440" t="s">
        <v>168</v>
      </c>
      <c r="E440" t="s">
        <v>28</v>
      </c>
      <c r="F440" t="s">
        <v>31</v>
      </c>
      <c r="G440">
        <v>34</v>
      </c>
      <c r="H440" s="41" t="s">
        <v>163</v>
      </c>
      <c r="I440" s="41" t="s">
        <v>279</v>
      </c>
      <c r="J440" s="150" t="s">
        <v>330</v>
      </c>
      <c r="K440" s="16">
        <v>24</v>
      </c>
      <c r="L440" s="16">
        <v>5951</v>
      </c>
      <c r="M440" s="16">
        <v>51990000</v>
      </c>
      <c r="N440" s="16">
        <v>5235660</v>
      </c>
      <c r="O440" s="16">
        <v>5585000</v>
      </c>
      <c r="P440" s="16">
        <v>0</v>
      </c>
      <c r="Q440" s="16"/>
      <c r="R440" s="16">
        <v>0</v>
      </c>
      <c r="S440" s="16"/>
      <c r="T440" s="16">
        <f t="shared" si="84"/>
        <v>10820660</v>
      </c>
      <c r="U440" s="16">
        <v>450000</v>
      </c>
      <c r="V440" s="14">
        <v>5880000</v>
      </c>
      <c r="W440" s="14">
        <v>0</v>
      </c>
      <c r="X440" s="16">
        <v>425600</v>
      </c>
      <c r="Y440" s="16">
        <f t="shared" si="85"/>
        <v>6755600</v>
      </c>
      <c r="Z440" s="16">
        <f>26%*M440</f>
        <v>13517400</v>
      </c>
      <c r="AA440" s="16">
        <v>3635000</v>
      </c>
      <c r="AB440" s="16">
        <v>0</v>
      </c>
      <c r="AC440" s="16"/>
      <c r="AD440" s="16">
        <v>0</v>
      </c>
      <c r="AE440" s="16">
        <f t="shared" si="81"/>
        <v>17152400</v>
      </c>
      <c r="AF440" s="16">
        <f t="shared" si="82"/>
        <v>-423860</v>
      </c>
      <c r="AG44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1821140</v>
      </c>
      <c r="AH440" s="16">
        <f>IFERROR(AG440/(Z440+Table5[[#This Row],[Rider Penalty (Claim, Other Denda to Riders)]]),0)</f>
        <v>0.13472561291372601</v>
      </c>
      <c r="AI440" s="16">
        <f t="shared" si="80"/>
        <v>-2245000</v>
      </c>
      <c r="AJ440" s="16">
        <f t="shared" si="83"/>
        <v>-0.61760660247592847</v>
      </c>
      <c r="AV440" s="109">
        <f>Table5[[#This Row],[Total Selling Comission/Sales (Weekly)]]/Table5[[#This Row],[Total Revenue Sharing % (Weekly)]]*100%</f>
        <v>0.38732744462692531</v>
      </c>
      <c r="AW440" s="109">
        <f>Table5[[#This Row],[Total Daily Incentive (Weekly)]]/Table5[[#This Row],[Total Revenue Sharing % (Weekly)]]*100%</f>
        <v>0.41317117197094116</v>
      </c>
      <c r="AX440" s="109">
        <f>(N440+O440)/Z440*100%</f>
        <v>0.80049861659786647</v>
      </c>
    </row>
    <row r="441" spans="1:50" hidden="1">
      <c r="A441" s="41">
        <v>2025</v>
      </c>
      <c r="B441" s="41" t="s">
        <v>176</v>
      </c>
      <c r="C441" s="41" t="s">
        <v>176</v>
      </c>
      <c r="D441" s="41" t="s">
        <v>169</v>
      </c>
      <c r="E441" s="41" t="s">
        <v>28</v>
      </c>
      <c r="F441" s="41" t="s">
        <v>28</v>
      </c>
      <c r="G441">
        <v>34</v>
      </c>
      <c r="H441" s="41" t="s">
        <v>163</v>
      </c>
      <c r="I441" s="41" t="s">
        <v>279</v>
      </c>
      <c r="J441" s="150" t="s">
        <v>330</v>
      </c>
      <c r="K441" s="16">
        <v>13</v>
      </c>
      <c r="L441" s="16">
        <v>1005</v>
      </c>
      <c r="M441" s="16">
        <v>9666000</v>
      </c>
      <c r="N441" s="16">
        <v>0</v>
      </c>
      <c r="O441" s="16">
        <v>0</v>
      </c>
      <c r="P441" s="16">
        <v>0</v>
      </c>
      <c r="Q441" s="16"/>
      <c r="R441" s="16">
        <v>0</v>
      </c>
      <c r="S441" s="16"/>
      <c r="T441" s="16">
        <v>0</v>
      </c>
      <c r="U441" s="16">
        <v>0</v>
      </c>
      <c r="V441" s="16">
        <v>0</v>
      </c>
      <c r="W441" s="14">
        <v>0</v>
      </c>
      <c r="X441" s="16">
        <v>0</v>
      </c>
      <c r="Y441" s="16">
        <f t="shared" si="85"/>
        <v>0</v>
      </c>
      <c r="Z441" s="16">
        <f>7%*M441</f>
        <v>676620.00000000012</v>
      </c>
      <c r="AA441" s="16">
        <v>0</v>
      </c>
      <c r="AB441" s="16">
        <v>0</v>
      </c>
      <c r="AC441" s="16"/>
      <c r="AD441" s="16">
        <v>0</v>
      </c>
      <c r="AE441" s="16">
        <f t="shared" si="81"/>
        <v>676620.00000000012</v>
      </c>
      <c r="AF441" s="16">
        <f t="shared" si="82"/>
        <v>676620.00000000012</v>
      </c>
      <c r="AG44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676620.00000000012</v>
      </c>
      <c r="AH441" s="16">
        <f>IFERROR(AG441/(Z441+Table5[[#This Row],[Rider Penalty (Claim, Other Denda to Riders)]]),0)</f>
        <v>1</v>
      </c>
      <c r="AI441" s="16">
        <f t="shared" si="80"/>
        <v>0</v>
      </c>
      <c r="AJ441" s="16">
        <f t="shared" si="83"/>
        <v>0</v>
      </c>
      <c r="AV441" s="109"/>
      <c r="AW441" s="109"/>
      <c r="AX441" s="109"/>
    </row>
    <row r="442" spans="1:50" hidden="1">
      <c r="A442" s="41">
        <v>2025</v>
      </c>
      <c r="B442" s="117" t="s">
        <v>23</v>
      </c>
      <c r="C442" s="117" t="s">
        <v>174</v>
      </c>
      <c r="D442" s="117" t="s">
        <v>168</v>
      </c>
      <c r="E442" s="117" t="s">
        <v>24</v>
      </c>
      <c r="F442" s="117" t="s">
        <v>24</v>
      </c>
      <c r="G442" s="41">
        <v>34</v>
      </c>
      <c r="H442" s="41" t="s">
        <v>163</v>
      </c>
      <c r="I442" s="41" t="s">
        <v>279</v>
      </c>
      <c r="J442" s="150" t="s">
        <v>330</v>
      </c>
      <c r="K442">
        <v>32</v>
      </c>
      <c r="L442">
        <v>5286</v>
      </c>
      <c r="M442">
        <v>48380000</v>
      </c>
      <c r="N442">
        <v>4382360</v>
      </c>
      <c r="O442">
        <v>6147500</v>
      </c>
      <c r="P442">
        <v>0</v>
      </c>
      <c r="R442">
        <v>0</v>
      </c>
      <c r="T442">
        <f t="shared" ref="T442:T452" si="86">SUM(N442:R442)</f>
        <v>10529860</v>
      </c>
      <c r="U442">
        <v>400000</v>
      </c>
      <c r="V442" s="76">
        <f>162*35000</f>
        <v>5670000</v>
      </c>
      <c r="W442" s="76">
        <v>0</v>
      </c>
      <c r="X442">
        <v>0</v>
      </c>
      <c r="Y442">
        <f t="shared" si="85"/>
        <v>6070000</v>
      </c>
      <c r="Z442" s="12">
        <f>26%*M442</f>
        <v>12578800</v>
      </c>
      <c r="AA442">
        <v>4500000</v>
      </c>
      <c r="AB442">
        <v>0</v>
      </c>
      <c r="AD442">
        <v>75000</v>
      </c>
      <c r="AE442">
        <f t="shared" si="81"/>
        <v>17153800</v>
      </c>
      <c r="AF442" s="12">
        <f t="shared" si="82"/>
        <v>553940</v>
      </c>
      <c r="AG44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1723940</v>
      </c>
      <c r="AH442">
        <f>IFERROR(AG442/(Z442+Table5[[#This Row],[Rider Penalty (Claim, Other Denda to Riders)]]),0)</f>
        <v>0.13623891637294724</v>
      </c>
      <c r="AI442" s="12">
        <f t="shared" si="80"/>
        <v>-1170000</v>
      </c>
      <c r="AJ442">
        <f t="shared" si="83"/>
        <v>-0.26</v>
      </c>
      <c r="AV442" s="109">
        <f>Table5[[#This Row],[Total Selling Comission/Sales (Weekly)]]/Table5[[#This Row],[Total Revenue Sharing % (Weekly)]]*100%</f>
        <v>0.34839253346901133</v>
      </c>
      <c r="AW442" s="109">
        <f>Table5[[#This Row],[Total Daily Incentive (Weekly)]]/Table5[[#This Row],[Total Revenue Sharing % (Weekly)]]*100%</f>
        <v>0.48871911470092538</v>
      </c>
      <c r="AX442" s="109">
        <f>(N442+O442)/Z442*100%</f>
        <v>0.83711164816993677</v>
      </c>
    </row>
    <row r="443" spans="1:50" hidden="1">
      <c r="A443" s="41">
        <v>2025</v>
      </c>
      <c r="B443" s="64" t="s">
        <v>23</v>
      </c>
      <c r="C443" s="64" t="s">
        <v>173</v>
      </c>
      <c r="D443" s="64" t="s">
        <v>168</v>
      </c>
      <c r="E443" s="64" t="s">
        <v>24</v>
      </c>
      <c r="F443" s="153" t="s">
        <v>282</v>
      </c>
      <c r="G443" s="41">
        <v>34</v>
      </c>
      <c r="H443" s="41" t="s">
        <v>163</v>
      </c>
      <c r="I443" s="41" t="s">
        <v>279</v>
      </c>
      <c r="J443" s="150" t="s">
        <v>330</v>
      </c>
      <c r="K443">
        <v>27</v>
      </c>
      <c r="L443">
        <v>4096</v>
      </c>
      <c r="M443">
        <v>36532000</v>
      </c>
      <c r="N443">
        <v>3295540</v>
      </c>
      <c r="O443">
        <v>4327500</v>
      </c>
      <c r="P443">
        <v>0</v>
      </c>
      <c r="R443">
        <v>0</v>
      </c>
      <c r="T443">
        <f t="shared" si="86"/>
        <v>7623040</v>
      </c>
      <c r="U443">
        <v>700000</v>
      </c>
      <c r="V443" s="76">
        <f>122*35000</f>
        <v>4270000</v>
      </c>
      <c r="W443" s="76">
        <v>0</v>
      </c>
      <c r="X443">
        <v>0</v>
      </c>
      <c r="Y443">
        <f t="shared" si="85"/>
        <v>4970000</v>
      </c>
      <c r="Z443" s="12">
        <f>26%*M443</f>
        <v>9498320</v>
      </c>
      <c r="AA443">
        <v>3700000</v>
      </c>
      <c r="AB443">
        <v>0</v>
      </c>
      <c r="AD443">
        <v>50000</v>
      </c>
      <c r="AE443">
        <f t="shared" si="81"/>
        <v>13248320</v>
      </c>
      <c r="AF443" s="12">
        <f t="shared" si="82"/>
        <v>655280</v>
      </c>
      <c r="AG44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1225280</v>
      </c>
      <c r="AH443">
        <f>IFERROR(AG443/(Z443+Table5[[#This Row],[Rider Penalty (Claim, Other Denda to Riders)]]),0)</f>
        <v>0.12832414498047823</v>
      </c>
      <c r="AI443" s="12">
        <f t="shared" si="80"/>
        <v>-570000</v>
      </c>
      <c r="AJ443">
        <f t="shared" si="83"/>
        <v>-0.15405405405405406</v>
      </c>
      <c r="AV443" s="109">
        <f>Table5[[#This Row],[Total Selling Comission/Sales (Weekly)]]/Table5[[#This Row],[Total Revenue Sharing % (Weekly)]]*100%</f>
        <v>0.34696030455912202</v>
      </c>
      <c r="AW443" s="109">
        <f>Table5[[#This Row],[Total Daily Incentive (Weekly)]]/Table5[[#This Row],[Total Revenue Sharing % (Weekly)]]*100%</f>
        <v>0.45560688627041412</v>
      </c>
      <c r="AX443" s="109">
        <f>(N443+O443)/Z443*100%</f>
        <v>0.8025671908295362</v>
      </c>
    </row>
    <row r="444" spans="1:50" hidden="1">
      <c r="A444" s="41">
        <v>2025</v>
      </c>
      <c r="B444" s="41" t="s">
        <v>177</v>
      </c>
      <c r="C444" s="41" t="s">
        <v>177</v>
      </c>
      <c r="D444" s="41" t="s">
        <v>168</v>
      </c>
      <c r="E444" s="41" t="s">
        <v>24</v>
      </c>
      <c r="F444" s="41" t="s">
        <v>24</v>
      </c>
      <c r="G444" s="41">
        <v>34</v>
      </c>
      <c r="H444" s="41" t="s">
        <v>163</v>
      </c>
      <c r="I444" s="41" t="s">
        <v>279</v>
      </c>
      <c r="J444" s="150" t="s">
        <v>330</v>
      </c>
      <c r="K444">
        <v>2</v>
      </c>
      <c r="L444">
        <v>291</v>
      </c>
      <c r="M444">
        <v>3305000</v>
      </c>
      <c r="N444">
        <v>289700</v>
      </c>
      <c r="O444">
        <v>465000</v>
      </c>
      <c r="P444">
        <v>0</v>
      </c>
      <c r="R444">
        <v>0</v>
      </c>
      <c r="T444">
        <f t="shared" si="86"/>
        <v>754700</v>
      </c>
      <c r="U444">
        <v>0</v>
      </c>
      <c r="V444" s="76">
        <f>13*35000</f>
        <v>455000</v>
      </c>
      <c r="W444" s="76">
        <v>0</v>
      </c>
      <c r="X444">
        <v>0</v>
      </c>
      <c r="Y444">
        <f t="shared" si="85"/>
        <v>455000</v>
      </c>
      <c r="Z444" s="12">
        <f>30%*M444</f>
        <v>991500</v>
      </c>
      <c r="AA444">
        <v>325000</v>
      </c>
      <c r="AB444">
        <v>0</v>
      </c>
      <c r="AD444">
        <v>0</v>
      </c>
      <c r="AE444">
        <f t="shared" si="81"/>
        <v>1316500</v>
      </c>
      <c r="AF444" s="12">
        <f t="shared" si="82"/>
        <v>106800</v>
      </c>
      <c r="AG44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236800</v>
      </c>
      <c r="AH444">
        <f>IFERROR(AG444/(Z444+Table5[[#This Row],[Rider Penalty (Claim, Other Denda to Riders)]]),0)</f>
        <v>0.23883005547150782</v>
      </c>
      <c r="AI444" s="12">
        <f t="shared" si="80"/>
        <v>-130000</v>
      </c>
      <c r="AJ444">
        <f t="shared" si="83"/>
        <v>-0.4</v>
      </c>
      <c r="AV444" s="109"/>
      <c r="AW444" s="109"/>
      <c r="AX444" s="109"/>
    </row>
    <row r="445" spans="1:50" hidden="1">
      <c r="A445" s="41">
        <v>2025</v>
      </c>
      <c r="B445" s="64" t="s">
        <v>320</v>
      </c>
      <c r="C445" s="64" t="s">
        <v>276</v>
      </c>
      <c r="D445" s="64" t="s">
        <v>168</v>
      </c>
      <c r="E445" s="64" t="s">
        <v>24</v>
      </c>
      <c r="F445" s="64" t="s">
        <v>283</v>
      </c>
      <c r="G445" s="41">
        <v>34</v>
      </c>
      <c r="H445" s="41" t="s">
        <v>163</v>
      </c>
      <c r="I445" s="41" t="s">
        <v>279</v>
      </c>
      <c r="J445" s="150" t="s">
        <v>330</v>
      </c>
      <c r="K445">
        <v>2</v>
      </c>
      <c r="L445">
        <v>73</v>
      </c>
      <c r="M445">
        <v>268000</v>
      </c>
      <c r="N445">
        <v>53600</v>
      </c>
      <c r="O445">
        <v>210000</v>
      </c>
      <c r="P445">
        <v>0</v>
      </c>
      <c r="R445">
        <v>0</v>
      </c>
      <c r="T445">
        <f t="shared" si="86"/>
        <v>263600</v>
      </c>
      <c r="U445">
        <v>700000</v>
      </c>
      <c r="V445" s="76">
        <v>0</v>
      </c>
      <c r="W445" s="76">
        <v>0</v>
      </c>
      <c r="X445">
        <v>0</v>
      </c>
      <c r="Y445">
        <f t="shared" si="85"/>
        <v>700000</v>
      </c>
      <c r="Z445" s="12">
        <f>Table5[[#This Row],[Total Selling (Clients Revenue)]]</f>
        <v>268000</v>
      </c>
      <c r="AA445">
        <v>0</v>
      </c>
      <c r="AB445">
        <v>0</v>
      </c>
      <c r="AD445">
        <v>0</v>
      </c>
      <c r="AE445">
        <f t="shared" si="81"/>
        <v>268000</v>
      </c>
      <c r="AF445" s="12">
        <f t="shared" si="82"/>
        <v>-695600</v>
      </c>
      <c r="AG44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-695600</v>
      </c>
      <c r="AH445">
        <f>IFERROR(AG445/(Z445+Table5[[#This Row],[Rider Penalty (Claim, Other Denda to Riders)]]),0)</f>
        <v>-2.5955223880597016</v>
      </c>
      <c r="AI445" s="12">
        <f t="shared" si="80"/>
        <v>0</v>
      </c>
      <c r="AJ445">
        <f t="shared" si="83"/>
        <v>0</v>
      </c>
      <c r="AV445" s="109"/>
      <c r="AW445" s="109"/>
      <c r="AX445" s="109"/>
    </row>
    <row r="446" spans="1:50" hidden="1">
      <c r="A446" s="41">
        <v>2025</v>
      </c>
      <c r="B446" s="41" t="s">
        <v>320</v>
      </c>
      <c r="C446" s="179" t="s">
        <v>277</v>
      </c>
      <c r="D446" s="41" t="s">
        <v>168</v>
      </c>
      <c r="E446" s="41" t="s">
        <v>24</v>
      </c>
      <c r="F446" s="41" t="s">
        <v>24</v>
      </c>
      <c r="G446" s="41">
        <v>34</v>
      </c>
      <c r="H446" s="41" t="s">
        <v>163</v>
      </c>
      <c r="I446" s="41" t="s">
        <v>279</v>
      </c>
      <c r="J446" s="150" t="s">
        <v>330</v>
      </c>
      <c r="K446">
        <v>1</v>
      </c>
      <c r="L446">
        <v>61</v>
      </c>
      <c r="M446">
        <v>240000</v>
      </c>
      <c r="N446">
        <v>48000</v>
      </c>
      <c r="O446">
        <v>60000</v>
      </c>
      <c r="P446">
        <v>0</v>
      </c>
      <c r="R446">
        <v>0</v>
      </c>
      <c r="T446">
        <f t="shared" si="86"/>
        <v>108000</v>
      </c>
      <c r="U446">
        <v>0</v>
      </c>
      <c r="V446" s="76">
        <v>0</v>
      </c>
      <c r="W446" s="76">
        <v>0</v>
      </c>
      <c r="X446">
        <v>0</v>
      </c>
      <c r="Y446">
        <f t="shared" si="85"/>
        <v>0</v>
      </c>
      <c r="Z446" s="12">
        <f>Table5[[#This Row],[Total Selling (Clients Revenue)]]</f>
        <v>240000</v>
      </c>
      <c r="AA446">
        <v>0</v>
      </c>
      <c r="AB446">
        <v>0</v>
      </c>
      <c r="AD446">
        <v>0</v>
      </c>
      <c r="AE446">
        <f t="shared" si="81"/>
        <v>240000</v>
      </c>
      <c r="AF446" s="12">
        <f t="shared" si="82"/>
        <v>132000</v>
      </c>
      <c r="AG44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132000</v>
      </c>
      <c r="AH446">
        <f>IFERROR(AG446/(Z446+Table5[[#This Row],[Rider Penalty (Claim, Other Denda to Riders)]]),0)</f>
        <v>0.55000000000000004</v>
      </c>
      <c r="AI446" s="12">
        <f t="shared" si="80"/>
        <v>0</v>
      </c>
      <c r="AJ446">
        <f t="shared" si="83"/>
        <v>0</v>
      </c>
      <c r="AV446" s="109"/>
      <c r="AW446" s="109"/>
      <c r="AX446" s="109"/>
    </row>
    <row r="447" spans="1:50" hidden="1">
      <c r="A447" s="41">
        <v>2025</v>
      </c>
      <c r="B447" s="117" t="s">
        <v>23</v>
      </c>
      <c r="C447" s="117" t="s">
        <v>174</v>
      </c>
      <c r="D447" s="117" t="s">
        <v>168</v>
      </c>
      <c r="E447" s="117" t="s">
        <v>24</v>
      </c>
      <c r="F447" s="117" t="s">
        <v>24</v>
      </c>
      <c r="G447" s="41">
        <v>35</v>
      </c>
      <c r="H447" s="41" t="s">
        <v>163</v>
      </c>
      <c r="I447" s="41" t="s">
        <v>280</v>
      </c>
      <c r="J447" s="150" t="s">
        <v>329</v>
      </c>
      <c r="K447">
        <v>40</v>
      </c>
      <c r="L447">
        <v>7752</v>
      </c>
      <c r="M447">
        <v>71074000</v>
      </c>
      <c r="N447">
        <v>7468860</v>
      </c>
      <c r="O447">
        <v>10700000</v>
      </c>
      <c r="P447">
        <v>0</v>
      </c>
      <c r="R447" s="16">
        <v>200000</v>
      </c>
      <c r="S447" s="16"/>
      <c r="T447">
        <f t="shared" si="86"/>
        <v>18368860</v>
      </c>
      <c r="U447">
        <v>700000</v>
      </c>
      <c r="V447" s="76">
        <f>214*35000</f>
        <v>7490000</v>
      </c>
      <c r="W447" s="76">
        <v>0</v>
      </c>
      <c r="X447">
        <v>0</v>
      </c>
      <c r="Y447">
        <f t="shared" si="85"/>
        <v>8190000</v>
      </c>
      <c r="Z447" s="12">
        <f>26%*M447</f>
        <v>18479240</v>
      </c>
      <c r="AA447">
        <f>5850000+400000</f>
        <v>6250000</v>
      </c>
      <c r="AB447">
        <v>0</v>
      </c>
      <c r="AD447">
        <v>0</v>
      </c>
      <c r="AE447">
        <f t="shared" si="81"/>
        <v>24729240</v>
      </c>
      <c r="AF447" s="12">
        <f t="shared" si="82"/>
        <v>-1829620</v>
      </c>
      <c r="AG44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-589620</v>
      </c>
      <c r="AH447">
        <f>IFERROR(AG447/(Z447+Table5[[#This Row],[Rider Penalty (Claim, Other Denda to Riders)]]),0)</f>
        <v>-3.1907156354915027E-2</v>
      </c>
      <c r="AI447" s="12">
        <f t="shared" si="80"/>
        <v>-1240000</v>
      </c>
      <c r="AJ447">
        <f t="shared" si="83"/>
        <v>-0.19839999999999999</v>
      </c>
      <c r="AV447" s="109">
        <f>Table5[[#This Row],[Total Selling Comission/Sales (Weekly)]]/Table5[[#This Row],[Total Revenue Sharing % (Weekly)]]*100%</f>
        <v>0.40417571285399184</v>
      </c>
      <c r="AW447" s="109">
        <f>Table5[[#This Row],[Total Daily Incentive (Weekly)]]/Table5[[#This Row],[Total Revenue Sharing % (Weekly)]]*100%</f>
        <v>0.57902814184998952</v>
      </c>
      <c r="AX447" s="109">
        <f>(N447+O447)/Z447*100%</f>
        <v>0.98320385470398131</v>
      </c>
    </row>
    <row r="448" spans="1:50" hidden="1">
      <c r="A448" s="41">
        <v>2025</v>
      </c>
      <c r="B448" s="64" t="s">
        <v>23</v>
      </c>
      <c r="C448" s="64" t="s">
        <v>173</v>
      </c>
      <c r="D448" s="64" t="s">
        <v>168</v>
      </c>
      <c r="E448" s="64" t="s">
        <v>24</v>
      </c>
      <c r="F448" s="153" t="s">
        <v>282</v>
      </c>
      <c r="G448" s="41">
        <v>35</v>
      </c>
      <c r="H448" s="41" t="s">
        <v>163</v>
      </c>
      <c r="I448" s="41" t="s">
        <v>280</v>
      </c>
      <c r="J448" s="150" t="s">
        <v>329</v>
      </c>
      <c r="K448">
        <v>27</v>
      </c>
      <c r="L448">
        <v>4709</v>
      </c>
      <c r="M448">
        <v>42352000</v>
      </c>
      <c r="N448">
        <v>3773780</v>
      </c>
      <c r="O448">
        <v>6950000</v>
      </c>
      <c r="P448">
        <v>0</v>
      </c>
      <c r="R448">
        <v>0</v>
      </c>
      <c r="T448">
        <f t="shared" si="86"/>
        <v>10723780</v>
      </c>
      <c r="U448">
        <v>700000</v>
      </c>
      <c r="V448" s="76">
        <f>139*35000</f>
        <v>4865000</v>
      </c>
      <c r="W448" s="76">
        <v>0</v>
      </c>
      <c r="X448">
        <v>0</v>
      </c>
      <c r="Y448">
        <f t="shared" si="85"/>
        <v>5565000</v>
      </c>
      <c r="Z448" s="12">
        <f>26%*M448</f>
        <v>11011520</v>
      </c>
      <c r="AA448">
        <f>4125000+270000</f>
        <v>4395000</v>
      </c>
      <c r="AB448">
        <v>0</v>
      </c>
      <c r="AD448">
        <v>175000</v>
      </c>
      <c r="AE448">
        <f t="shared" si="81"/>
        <v>15581520</v>
      </c>
      <c r="AF448" s="12">
        <f t="shared" si="82"/>
        <v>-707260</v>
      </c>
      <c r="AG44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-237260</v>
      </c>
      <c r="AH448">
        <f>IFERROR(AG448/(Z448+Table5[[#This Row],[Rider Penalty (Claim, Other Denda to Riders)]]),0)</f>
        <v>-2.1209455666284065E-2</v>
      </c>
      <c r="AI448" s="12">
        <f t="shared" si="80"/>
        <v>-470000</v>
      </c>
      <c r="AJ448">
        <f t="shared" si="83"/>
        <v>-0.10693970420932879</v>
      </c>
      <c r="AV448" s="109">
        <f>Table5[[#This Row],[Total Selling Comission/Sales (Weekly)]]/Table5[[#This Row],[Total Revenue Sharing % (Weekly)]]*100%</f>
        <v>0.34271199616401732</v>
      </c>
      <c r="AW448" s="109">
        <f>Table5[[#This Row],[Total Daily Incentive (Weekly)]]/Table5[[#This Row],[Total Revenue Sharing % (Weekly)]]*100%</f>
        <v>0.63115718810845367</v>
      </c>
      <c r="AX448" s="109">
        <f>(N448+O448)/Z448*100%</f>
        <v>0.97386918427247104</v>
      </c>
    </row>
    <row r="449" spans="1:50" hidden="1">
      <c r="A449" s="41">
        <v>2025</v>
      </c>
      <c r="B449" s="41" t="s">
        <v>177</v>
      </c>
      <c r="C449" s="41" t="s">
        <v>177</v>
      </c>
      <c r="D449" s="41" t="s">
        <v>168</v>
      </c>
      <c r="E449" s="41" t="s">
        <v>24</v>
      </c>
      <c r="F449" s="41" t="s">
        <v>24</v>
      </c>
      <c r="G449" s="41">
        <v>35</v>
      </c>
      <c r="H449" s="41" t="s">
        <v>163</v>
      </c>
      <c r="I449" s="41" t="s">
        <v>280</v>
      </c>
      <c r="J449" s="150" t="s">
        <v>329</v>
      </c>
      <c r="K449">
        <v>2</v>
      </c>
      <c r="L449">
        <v>287</v>
      </c>
      <c r="M449">
        <v>3208000</v>
      </c>
      <c r="N449">
        <v>288400</v>
      </c>
      <c r="O449">
        <v>465000</v>
      </c>
      <c r="P449">
        <v>0</v>
      </c>
      <c r="R449">
        <v>0</v>
      </c>
      <c r="T449">
        <f t="shared" si="86"/>
        <v>753400</v>
      </c>
      <c r="U449">
        <v>0</v>
      </c>
      <c r="V449" s="76">
        <f>13*35000</f>
        <v>455000</v>
      </c>
      <c r="W449" s="76">
        <v>0</v>
      </c>
      <c r="X449">
        <v>0</v>
      </c>
      <c r="Y449">
        <f t="shared" si="85"/>
        <v>455000</v>
      </c>
      <c r="Z449" s="12">
        <f>30%*M449</f>
        <v>962400</v>
      </c>
      <c r="AA449">
        <v>350000</v>
      </c>
      <c r="AB449">
        <v>0</v>
      </c>
      <c r="AD449">
        <v>0</v>
      </c>
      <c r="AE449">
        <f t="shared" si="81"/>
        <v>1312400</v>
      </c>
      <c r="AF449" s="12">
        <f t="shared" si="82"/>
        <v>104000</v>
      </c>
      <c r="AG44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209000</v>
      </c>
      <c r="AH449">
        <f>IFERROR(AG449/(Z449+Table5[[#This Row],[Rider Penalty (Claim, Other Denda to Riders)]]),0)</f>
        <v>0.21716541978387366</v>
      </c>
      <c r="AI449" s="12">
        <f t="shared" si="80"/>
        <v>-105000</v>
      </c>
      <c r="AJ449">
        <f t="shared" si="83"/>
        <v>-0.3</v>
      </c>
      <c r="AV449" s="109"/>
      <c r="AW449" s="109"/>
      <c r="AX449" s="109"/>
    </row>
    <row r="450" spans="1:50" hidden="1">
      <c r="A450" s="41">
        <v>2025</v>
      </c>
      <c r="B450" s="179" t="s">
        <v>320</v>
      </c>
      <c r="C450" s="179" t="s">
        <v>276</v>
      </c>
      <c r="D450" s="179" t="s">
        <v>168</v>
      </c>
      <c r="E450" s="179" t="s">
        <v>24</v>
      </c>
      <c r="F450" s="179" t="s">
        <v>283</v>
      </c>
      <c r="G450" s="41">
        <v>35</v>
      </c>
      <c r="H450" s="41" t="s">
        <v>163</v>
      </c>
      <c r="I450" s="41" t="s">
        <v>280</v>
      </c>
      <c r="J450" s="150" t="s">
        <v>329</v>
      </c>
      <c r="K450">
        <v>2</v>
      </c>
      <c r="L450">
        <v>92</v>
      </c>
      <c r="M450">
        <v>360000</v>
      </c>
      <c r="N450">
        <v>72000</v>
      </c>
      <c r="O450">
        <v>210000</v>
      </c>
      <c r="P450">
        <v>0</v>
      </c>
      <c r="R450">
        <v>0</v>
      </c>
      <c r="T450">
        <f t="shared" si="86"/>
        <v>282000</v>
      </c>
      <c r="U450">
        <v>700000</v>
      </c>
      <c r="V450" s="76">
        <v>0</v>
      </c>
      <c r="W450" s="76">
        <v>0</v>
      </c>
      <c r="X450">
        <v>0</v>
      </c>
      <c r="Y450">
        <f t="shared" si="85"/>
        <v>700000</v>
      </c>
      <c r="Z450" s="12">
        <f>Table5[[#This Row],[Total Selling (Clients Revenue)]]</f>
        <v>360000</v>
      </c>
      <c r="AA450">
        <v>0</v>
      </c>
      <c r="AB450">
        <v>0</v>
      </c>
      <c r="AD450">
        <v>0</v>
      </c>
      <c r="AE450">
        <f t="shared" si="81"/>
        <v>360000</v>
      </c>
      <c r="AF450" s="12">
        <f t="shared" si="82"/>
        <v>-622000</v>
      </c>
      <c r="AG45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-622000</v>
      </c>
      <c r="AH450">
        <f>IFERROR(AG450/(Z450+Table5[[#This Row],[Rider Penalty (Claim, Other Denda to Riders)]]),0)</f>
        <v>-1.7277777777777779</v>
      </c>
      <c r="AI450" s="12">
        <f t="shared" si="80"/>
        <v>0</v>
      </c>
      <c r="AJ450">
        <f t="shared" si="83"/>
        <v>0</v>
      </c>
      <c r="AV450" s="109"/>
      <c r="AW450" s="109"/>
      <c r="AX450" s="109"/>
    </row>
    <row r="451" spans="1:50" hidden="1">
      <c r="A451">
        <v>2025</v>
      </c>
      <c r="B451" t="s">
        <v>23</v>
      </c>
      <c r="C451" t="s">
        <v>23</v>
      </c>
      <c r="D451" t="s">
        <v>168</v>
      </c>
      <c r="E451" t="s">
        <v>28</v>
      </c>
      <c r="F451" t="s">
        <v>25</v>
      </c>
      <c r="G451" s="41">
        <v>35</v>
      </c>
      <c r="H451" s="41" t="s">
        <v>163</v>
      </c>
      <c r="I451" s="41" t="s">
        <v>280</v>
      </c>
      <c r="J451" s="150" t="s">
        <v>329</v>
      </c>
      <c r="K451" s="16">
        <v>251</v>
      </c>
      <c r="L451" s="16">
        <v>75783</v>
      </c>
      <c r="M451" s="16">
        <v>662698000</v>
      </c>
      <c r="N451" s="16">
        <v>76263685</v>
      </c>
      <c r="O451" s="16">
        <v>70025000</v>
      </c>
      <c r="P451" s="16">
        <v>0</v>
      </c>
      <c r="Q451" s="16">
        <v>900000</v>
      </c>
      <c r="R451" s="16">
        <v>5400000</v>
      </c>
      <c r="S451" s="16"/>
      <c r="T451" s="16">
        <f t="shared" si="86"/>
        <v>152588685</v>
      </c>
      <c r="U451" s="16">
        <v>5175000</v>
      </c>
      <c r="V451" s="14">
        <v>61495000</v>
      </c>
      <c r="W451" s="14">
        <v>894993.68064082542</v>
      </c>
      <c r="X451" s="16">
        <v>292006.16666666663</v>
      </c>
      <c r="Y451" s="16">
        <f t="shared" si="85"/>
        <v>67856999.847307503</v>
      </c>
      <c r="Z451" s="16">
        <f>26%*M451</f>
        <v>172301480</v>
      </c>
      <c r="AA451" s="16">
        <v>39325000</v>
      </c>
      <c r="AB451">
        <v>0</v>
      </c>
      <c r="AD451">
        <v>0</v>
      </c>
      <c r="AE451" s="16">
        <f t="shared" si="81"/>
        <v>211626480</v>
      </c>
      <c r="AF451" s="16">
        <f t="shared" si="82"/>
        <v>-8819204.8473075032</v>
      </c>
      <c r="AG45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13350795.152692508</v>
      </c>
      <c r="AH451" s="16">
        <f>IFERROR(AG451/(Z451+Table5[[#This Row],[Rider Penalty (Claim, Other Denda to Riders)]]),0)</f>
        <v>7.7485086910991763E-2</v>
      </c>
      <c r="AI451" s="12">
        <f t="shared" si="80"/>
        <v>-22170000</v>
      </c>
      <c r="AJ451">
        <f t="shared" si="83"/>
        <v>-0.56376350921805463</v>
      </c>
      <c r="AV451" s="109">
        <f>Table5[[#This Row],[Total Selling Comission/Sales (Weekly)]]/Table5[[#This Row],[Total Revenue Sharing % (Weekly)]]*100%</f>
        <v>0.44261770125247907</v>
      </c>
      <c r="AW451" s="109">
        <f>Table5[[#This Row],[Total Daily Incentive (Weekly)]]/Table5[[#This Row],[Total Revenue Sharing % (Weekly)]]*100%</f>
        <v>0.40640974180836986</v>
      </c>
      <c r="AX451" s="109">
        <f>(N451+O451)/Z451*100%</f>
        <v>0.84902744306084887</v>
      </c>
    </row>
    <row r="452" spans="1:50" hidden="1">
      <c r="A452">
        <v>2025</v>
      </c>
      <c r="B452" t="s">
        <v>23</v>
      </c>
      <c r="C452" t="s">
        <v>172</v>
      </c>
      <c r="D452" t="s">
        <v>168</v>
      </c>
      <c r="E452" t="s">
        <v>28</v>
      </c>
      <c r="F452" t="s">
        <v>31</v>
      </c>
      <c r="G452" s="41">
        <v>35</v>
      </c>
      <c r="H452" s="41" t="s">
        <v>163</v>
      </c>
      <c r="I452" s="41" t="s">
        <v>280</v>
      </c>
      <c r="J452" s="150" t="s">
        <v>329</v>
      </c>
      <c r="K452" s="16">
        <v>26</v>
      </c>
      <c r="L452" s="16">
        <v>5821</v>
      </c>
      <c r="M452" s="16">
        <v>50988000</v>
      </c>
      <c r="N452" s="16">
        <v>4765605</v>
      </c>
      <c r="O452" s="16">
        <v>7465000</v>
      </c>
      <c r="P452" s="16">
        <v>0</v>
      </c>
      <c r="Q452" s="16"/>
      <c r="R452" s="16">
        <v>400000</v>
      </c>
      <c r="S452" s="16"/>
      <c r="T452" s="16">
        <f t="shared" si="86"/>
        <v>12630605</v>
      </c>
      <c r="U452" s="16">
        <v>375000</v>
      </c>
      <c r="V452" s="14">
        <v>6370000</v>
      </c>
      <c r="W452" s="14">
        <v>72558.496363559825</v>
      </c>
      <c r="X452" s="16">
        <v>425600</v>
      </c>
      <c r="Y452" s="16">
        <f t="shared" si="85"/>
        <v>7243158.4963635597</v>
      </c>
      <c r="Z452" s="16">
        <f>26%*M452</f>
        <v>13256880</v>
      </c>
      <c r="AA452" s="16">
        <v>3900000</v>
      </c>
      <c r="AB452" s="16">
        <v>0</v>
      </c>
      <c r="AC452" s="16"/>
      <c r="AD452" s="16">
        <v>0</v>
      </c>
      <c r="AE452" s="16">
        <f t="shared" si="81"/>
        <v>17156880</v>
      </c>
      <c r="AF452" s="16">
        <f t="shared" si="82"/>
        <v>-2716883.4963635579</v>
      </c>
      <c r="AG45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-246883.49636355983</v>
      </c>
      <c r="AH452" s="16">
        <f>IFERROR(AG452/(Z452+Table5[[#This Row],[Rider Penalty (Claim, Other Denda to Riders)]]),0)</f>
        <v>-1.8623046777489109E-2</v>
      </c>
      <c r="AI452" s="12">
        <f t="shared" si="80"/>
        <v>-2470000</v>
      </c>
      <c r="AJ452">
        <f t="shared" si="83"/>
        <v>-0.6333333333333333</v>
      </c>
      <c r="AV452" s="109">
        <f>Table5[[#This Row],[Total Selling Comission/Sales (Weekly)]]/Table5[[#This Row],[Total Revenue Sharing % (Weekly)]]*100%</f>
        <v>0.35948164273946809</v>
      </c>
      <c r="AW452" s="109">
        <f>Table5[[#This Row],[Total Daily Incentive (Weekly)]]/Table5[[#This Row],[Total Revenue Sharing % (Weekly)]]*100%</f>
        <v>0.56310383740367265</v>
      </c>
      <c r="AX452" s="109">
        <f>(N452+O452)/Z452*100%</f>
        <v>0.92258548014314079</v>
      </c>
    </row>
    <row r="453" spans="1:50" hidden="1">
      <c r="A453">
        <v>2025</v>
      </c>
      <c r="B453" t="s">
        <v>176</v>
      </c>
      <c r="C453" t="s">
        <v>176</v>
      </c>
      <c r="D453" t="s">
        <v>169</v>
      </c>
      <c r="E453" t="s">
        <v>28</v>
      </c>
      <c r="F453" t="s">
        <v>28</v>
      </c>
      <c r="G453" s="41">
        <v>35</v>
      </c>
      <c r="H453" s="41" t="s">
        <v>163</v>
      </c>
      <c r="I453" s="41" t="s">
        <v>280</v>
      </c>
      <c r="J453" s="150" t="s">
        <v>329</v>
      </c>
      <c r="K453" s="16">
        <v>13</v>
      </c>
      <c r="L453" s="16">
        <v>1408</v>
      </c>
      <c r="M453" s="16">
        <v>13350000</v>
      </c>
      <c r="N453" s="16">
        <v>0</v>
      </c>
      <c r="O453" s="16">
        <v>0</v>
      </c>
      <c r="P453" s="16">
        <v>0</v>
      </c>
      <c r="Q453" s="16"/>
      <c r="R453" s="16">
        <v>0</v>
      </c>
      <c r="S453" s="16"/>
      <c r="T453" s="16">
        <v>0</v>
      </c>
      <c r="U453" s="16">
        <v>0</v>
      </c>
      <c r="V453" s="14">
        <v>0</v>
      </c>
      <c r="W453" s="14">
        <v>14947.822995614701</v>
      </c>
      <c r="X453" s="16">
        <v>0</v>
      </c>
      <c r="Y453" s="16">
        <f t="shared" si="85"/>
        <v>14947.822995614701</v>
      </c>
      <c r="Z453" s="16">
        <f>7%*M453</f>
        <v>934500.00000000012</v>
      </c>
      <c r="AA453" s="16">
        <v>0</v>
      </c>
      <c r="AB453" s="16">
        <v>0</v>
      </c>
      <c r="AC453" s="16"/>
      <c r="AD453" s="16">
        <v>0</v>
      </c>
      <c r="AE453" s="16">
        <f t="shared" si="81"/>
        <v>934500.00000000012</v>
      </c>
      <c r="AF453" s="16">
        <f t="shared" si="82"/>
        <v>919552.17700438539</v>
      </c>
      <c r="AG453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919552.17700438539</v>
      </c>
      <c r="AH453" s="16">
        <f>IFERROR(AG453/(Z453+Table5[[#This Row],[Rider Penalty (Claim, Other Denda to Riders)]]),0)</f>
        <v>0.98400446977462308</v>
      </c>
      <c r="AI453" s="12">
        <f t="shared" si="80"/>
        <v>0</v>
      </c>
      <c r="AJ453">
        <f t="shared" si="83"/>
        <v>0</v>
      </c>
      <c r="AV453" s="109"/>
      <c r="AW453" s="109"/>
      <c r="AX453" s="109"/>
    </row>
    <row r="454" spans="1:50" hidden="1">
      <c r="A454" s="41">
        <v>2024</v>
      </c>
      <c r="B454" s="117" t="s">
        <v>23</v>
      </c>
      <c r="C454" s="117" t="s">
        <v>174</v>
      </c>
      <c r="D454" s="117" t="s">
        <v>168</v>
      </c>
      <c r="E454" s="117" t="s">
        <v>24</v>
      </c>
      <c r="F454" s="117" t="s">
        <v>24</v>
      </c>
      <c r="G454" s="41">
        <v>36</v>
      </c>
      <c r="H454" s="41" t="s">
        <v>164</v>
      </c>
      <c r="I454" s="41" t="s">
        <v>275</v>
      </c>
      <c r="J454" s="150" t="s">
        <v>321</v>
      </c>
      <c r="K454" s="76">
        <v>18</v>
      </c>
      <c r="L454" s="76">
        <v>5036</v>
      </c>
      <c r="M454" s="76">
        <v>46020000</v>
      </c>
      <c r="N454" s="76">
        <v>2125000</v>
      </c>
      <c r="O454" s="61">
        <v>0</v>
      </c>
      <c r="P454" s="61">
        <v>0</v>
      </c>
      <c r="Q454" s="61"/>
      <c r="R454" s="61">
        <v>0</v>
      </c>
      <c r="S454" s="61"/>
      <c r="T454" s="61">
        <f t="shared" ref="T454:T463" si="87">SUM(N454:R454)</f>
        <v>2125000</v>
      </c>
      <c r="U454" s="61"/>
      <c r="V454" s="61">
        <v>2376000</v>
      </c>
      <c r="W454" s="61"/>
      <c r="X454" s="61"/>
      <c r="Y454" s="61">
        <f t="shared" si="85"/>
        <v>2376000</v>
      </c>
      <c r="Z454" s="76">
        <f>21%*Table5[[#This Row],[Total Selling (Clients Revenue)]]</f>
        <v>9664200</v>
      </c>
      <c r="AA454" s="61">
        <v>0</v>
      </c>
      <c r="AB454" s="61">
        <v>0</v>
      </c>
      <c r="AC454" s="61"/>
      <c r="AD454" s="61"/>
      <c r="AE454" s="61">
        <f t="shared" si="81"/>
        <v>9664200</v>
      </c>
      <c r="AF454" s="61">
        <f t="shared" si="82"/>
        <v>5163200</v>
      </c>
      <c r="AG454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7539200</v>
      </c>
      <c r="AH454" s="13">
        <f>IFERROR(AG454/(Z454+Table5[[#This Row],[Rider Penalty (Claim, Other Denda to Riders)]]),0)</f>
        <v>0.7801163055400343</v>
      </c>
      <c r="AI454" s="62">
        <f t="shared" si="80"/>
        <v>-2376000</v>
      </c>
      <c r="AJ454" s="92">
        <f t="shared" si="83"/>
        <v>0</v>
      </c>
      <c r="AV454" s="109">
        <f>Table5[[#This Row],[Total Selling Comission/Sales (Weekly)]]/Table5[[#This Row],[Total Revenue Sharing % (Weekly)]]*100%</f>
        <v>0.21988369445996564</v>
      </c>
      <c r="AW454" s="109">
        <f>Table5[[#This Row],[Total Daily Incentive (Weekly)]]/Table5[[#This Row],[Total Revenue Sharing % (Weekly)]]*100%</f>
        <v>0</v>
      </c>
      <c r="AX454" s="109">
        <f t="shared" ref="AX454:AX463" si="88">(N454+O454)/Z454*100%</f>
        <v>0.21988369445996564</v>
      </c>
    </row>
    <row r="455" spans="1:50" hidden="1">
      <c r="A455" s="41">
        <v>2024</v>
      </c>
      <c r="B455" s="64" t="s">
        <v>23</v>
      </c>
      <c r="C455" s="64" t="s">
        <v>23</v>
      </c>
      <c r="D455" s="64" t="s">
        <v>168</v>
      </c>
      <c r="E455" s="64" t="s">
        <v>28</v>
      </c>
      <c r="F455" s="64" t="s">
        <v>25</v>
      </c>
      <c r="G455" s="41">
        <v>36</v>
      </c>
      <c r="H455" s="41" t="s">
        <v>164</v>
      </c>
      <c r="I455" s="41" t="s">
        <v>275</v>
      </c>
      <c r="J455" s="150" t="s">
        <v>407</v>
      </c>
      <c r="K455" s="76">
        <v>139</v>
      </c>
      <c r="L455" s="76">
        <v>44918</v>
      </c>
      <c r="M455" s="76">
        <v>397842000</v>
      </c>
      <c r="N455" s="76">
        <v>44918000</v>
      </c>
      <c r="O455" s="61">
        <v>32525000</v>
      </c>
      <c r="P455" s="61">
        <v>0</v>
      </c>
      <c r="Q455" s="61"/>
      <c r="R455" s="61">
        <v>0</v>
      </c>
      <c r="S455" s="61"/>
      <c r="T455" s="61">
        <f t="shared" si="87"/>
        <v>77443000</v>
      </c>
      <c r="U455" s="61"/>
      <c r="V455" s="61">
        <v>24408900</v>
      </c>
      <c r="W455" s="61"/>
      <c r="X455" s="61"/>
      <c r="Y455" s="61">
        <f t="shared" si="85"/>
        <v>24408900</v>
      </c>
      <c r="Z455" s="76">
        <f>23%*Table5[[#This Row],[Total Selling (Clients Revenue)]]</f>
        <v>91503660</v>
      </c>
      <c r="AA455" s="61">
        <v>15930000</v>
      </c>
      <c r="AB455" s="61">
        <v>17592000</v>
      </c>
      <c r="AC455" s="61"/>
      <c r="AD455" s="61"/>
      <c r="AE455" s="61">
        <f t="shared" si="81"/>
        <v>125025660</v>
      </c>
      <c r="AF455" s="61">
        <f t="shared" si="82"/>
        <v>23173760</v>
      </c>
      <c r="AG45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14060660</v>
      </c>
      <c r="AH455" s="13">
        <f>IFERROR(AG455/(Z455+Table5[[#This Row],[Rider Penalty (Claim, Other Denda to Riders)]]),0)</f>
        <v>0.15366226880979406</v>
      </c>
      <c r="AI455" s="62">
        <f t="shared" ref="AI455:AI467" si="89">AA455+AB455-V455</f>
        <v>9113100</v>
      </c>
      <c r="AJ455" s="92">
        <f t="shared" si="83"/>
        <v>0.2718543046357616</v>
      </c>
      <c r="AK455" s="88" t="s">
        <v>325</v>
      </c>
      <c r="AV455" s="109">
        <f>Table5[[#This Row],[Total Selling Comission/Sales (Weekly)]]/Table5[[#This Row],[Total Revenue Sharing % (Weekly)]]*100%</f>
        <v>0.49088746832640356</v>
      </c>
      <c r="AW455" s="109">
        <f>Table5[[#This Row],[Total Daily Incentive (Weekly)]]/Table5[[#This Row],[Total Revenue Sharing % (Weekly)]]*100%</f>
        <v>0.35545026286380238</v>
      </c>
      <c r="AX455" s="109">
        <f t="shared" si="88"/>
        <v>0.84633773119020594</v>
      </c>
    </row>
    <row r="456" spans="1:50" hidden="1">
      <c r="A456" s="41">
        <v>2025</v>
      </c>
      <c r="B456" s="41" t="s">
        <v>23</v>
      </c>
      <c r="C456" s="41" t="s">
        <v>174</v>
      </c>
      <c r="D456" s="41" t="s">
        <v>168</v>
      </c>
      <c r="E456" s="41" t="s">
        <v>24</v>
      </c>
      <c r="F456" s="41" t="s">
        <v>24</v>
      </c>
      <c r="G456" s="41">
        <v>36</v>
      </c>
      <c r="H456" s="41" t="s">
        <v>164</v>
      </c>
      <c r="I456" s="41" t="s">
        <v>275</v>
      </c>
      <c r="J456" s="150" t="s">
        <v>321</v>
      </c>
      <c r="K456" s="16">
        <v>43</v>
      </c>
      <c r="L456" s="16">
        <v>7511</v>
      </c>
      <c r="M456" s="16">
        <v>68598000</v>
      </c>
      <c r="N456" s="16">
        <v>6612580</v>
      </c>
      <c r="O456" s="16">
        <v>11700000</v>
      </c>
      <c r="P456" s="16">
        <v>0</v>
      </c>
      <c r="Q456" s="16"/>
      <c r="R456" s="16">
        <v>0</v>
      </c>
      <c r="S456" s="16"/>
      <c r="T456" s="16">
        <f t="shared" si="87"/>
        <v>18312580</v>
      </c>
      <c r="U456" s="16">
        <v>700000</v>
      </c>
      <c r="V456" s="173">
        <f>234*35000</f>
        <v>8190000</v>
      </c>
      <c r="W456" s="173">
        <v>0</v>
      </c>
      <c r="X456" s="16">
        <v>0</v>
      </c>
      <c r="Y456" s="16">
        <f t="shared" si="85"/>
        <v>8890000</v>
      </c>
      <c r="Z456" s="16">
        <f t="shared" ref="Z456:Z463" si="90">26%*M456</f>
        <v>17835480</v>
      </c>
      <c r="AA456" s="16">
        <v>6625000</v>
      </c>
      <c r="AB456" s="16">
        <v>0</v>
      </c>
      <c r="AC456" s="16"/>
      <c r="AD456" s="16">
        <v>0</v>
      </c>
      <c r="AE456" s="16">
        <f t="shared" si="81"/>
        <v>24460480</v>
      </c>
      <c r="AF456" s="12">
        <f t="shared" si="82"/>
        <v>-2742100</v>
      </c>
      <c r="AG45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-1177100</v>
      </c>
      <c r="AH456">
        <f>IFERROR(AG456/(Z456+Table5[[#This Row],[Rider Penalty (Claim, Other Denda to Riders)]]),0)</f>
        <v>-6.5997663085041722E-2</v>
      </c>
      <c r="AI456" s="12">
        <f t="shared" si="89"/>
        <v>-1565000</v>
      </c>
      <c r="AJ456">
        <f t="shared" si="83"/>
        <v>-0.23622641509433961</v>
      </c>
      <c r="AV456" s="109">
        <f>Table5[[#This Row],[Total Selling Comission/Sales (Weekly)]]/Table5[[#This Row],[Total Revenue Sharing % (Weekly)]]*100%</f>
        <v>0.3707542493950261</v>
      </c>
      <c r="AW456" s="109">
        <f>Table5[[#This Row],[Total Daily Incentive (Weekly)]]/Table5[[#This Row],[Total Revenue Sharing % (Weekly)]]*100%</f>
        <v>0.65599580162686955</v>
      </c>
      <c r="AX456" s="109">
        <f t="shared" si="88"/>
        <v>1.0267500510218956</v>
      </c>
    </row>
    <row r="457" spans="1:50" hidden="1">
      <c r="A457" s="41">
        <v>2025</v>
      </c>
      <c r="B457" s="179" t="s">
        <v>23</v>
      </c>
      <c r="C457" s="179" t="s">
        <v>173</v>
      </c>
      <c r="D457" s="179" t="s">
        <v>168</v>
      </c>
      <c r="E457" s="179" t="s">
        <v>24</v>
      </c>
      <c r="F457" s="184" t="s">
        <v>282</v>
      </c>
      <c r="G457" s="41">
        <v>36</v>
      </c>
      <c r="H457" s="41" t="s">
        <v>164</v>
      </c>
      <c r="I457" s="41" t="s">
        <v>275</v>
      </c>
      <c r="J457" s="150" t="s">
        <v>321</v>
      </c>
      <c r="K457">
        <v>27</v>
      </c>
      <c r="L457">
        <v>4847</v>
      </c>
      <c r="M457">
        <v>43568000</v>
      </c>
      <c r="N457">
        <v>4069900</v>
      </c>
      <c r="O457">
        <v>7150000</v>
      </c>
      <c r="P457">
        <v>0</v>
      </c>
      <c r="R457">
        <v>0</v>
      </c>
      <c r="T457">
        <f t="shared" si="87"/>
        <v>11219900</v>
      </c>
      <c r="U457">
        <v>700000</v>
      </c>
      <c r="V457" s="76">
        <f>143*35000</f>
        <v>5005000</v>
      </c>
      <c r="W457" s="76">
        <v>0</v>
      </c>
      <c r="X457">
        <v>0</v>
      </c>
      <c r="Y457">
        <f t="shared" si="85"/>
        <v>5705000</v>
      </c>
      <c r="Z457" s="12">
        <f t="shared" si="90"/>
        <v>11327680</v>
      </c>
      <c r="AA457">
        <v>3950000</v>
      </c>
      <c r="AB457">
        <v>0</v>
      </c>
      <c r="AD457">
        <v>0</v>
      </c>
      <c r="AE457">
        <f t="shared" si="81"/>
        <v>15277680</v>
      </c>
      <c r="AF457" s="12">
        <f t="shared" si="82"/>
        <v>-1647220</v>
      </c>
      <c r="AG45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-592220</v>
      </c>
      <c r="AH457">
        <f>IFERROR(AG457/(Z457+Table5[[#This Row],[Rider Penalty (Claim, Other Denda to Riders)]]),0)</f>
        <v>-5.2280784767931299E-2</v>
      </c>
      <c r="AI457" s="12">
        <f t="shared" si="89"/>
        <v>-1055000</v>
      </c>
      <c r="AJ457">
        <f t="shared" si="83"/>
        <v>-0.26708860759493669</v>
      </c>
      <c r="AV457" s="109">
        <f>Table5[[#This Row],[Total Selling Comission/Sales (Weekly)]]/Table5[[#This Row],[Total Revenue Sharing % (Weekly)]]*100%</f>
        <v>0.3592880448600243</v>
      </c>
      <c r="AW457" s="109">
        <f>Table5[[#This Row],[Total Daily Incentive (Weekly)]]/Table5[[#This Row],[Total Revenue Sharing % (Weekly)]]*100%</f>
        <v>0.63119720896070508</v>
      </c>
      <c r="AX457" s="109">
        <f t="shared" si="88"/>
        <v>0.99048525382072938</v>
      </c>
    </row>
    <row r="458" spans="1:50" hidden="1">
      <c r="A458" s="63">
        <v>2025</v>
      </c>
      <c r="B458" s="64" t="s">
        <v>23</v>
      </c>
      <c r="C458" s="64" t="s">
        <v>23</v>
      </c>
      <c r="D458" s="64" t="s">
        <v>168</v>
      </c>
      <c r="E458" s="64" t="s">
        <v>28</v>
      </c>
      <c r="F458" s="64" t="s">
        <v>25</v>
      </c>
      <c r="G458" s="41">
        <v>36</v>
      </c>
      <c r="H458" s="41" t="s">
        <v>164</v>
      </c>
      <c r="I458" s="41" t="s">
        <v>275</v>
      </c>
      <c r="J458" s="150" t="s">
        <v>321</v>
      </c>
      <c r="K458" s="16">
        <v>244</v>
      </c>
      <c r="L458" s="16">
        <v>82028</v>
      </c>
      <c r="M458" s="16">
        <v>719192000</v>
      </c>
      <c r="N458" s="16">
        <v>87408850</v>
      </c>
      <c r="O458" s="16">
        <f>67220000+600000</f>
        <v>67820000</v>
      </c>
      <c r="P458" s="16">
        <v>0</v>
      </c>
      <c r="Q458" s="16"/>
      <c r="R458" s="16">
        <v>0</v>
      </c>
      <c r="S458" s="16"/>
      <c r="T458" s="16">
        <f t="shared" si="87"/>
        <v>155228850</v>
      </c>
      <c r="U458" s="16">
        <v>2275000</v>
      </c>
      <c r="V458" s="173">
        <v>59780000</v>
      </c>
      <c r="W458" s="173">
        <v>0</v>
      </c>
      <c r="X458" s="16">
        <v>295448.0744444445</v>
      </c>
      <c r="Y458" s="16">
        <f t="shared" si="85"/>
        <v>62350448.074444443</v>
      </c>
      <c r="Z458" s="16">
        <f t="shared" si="90"/>
        <v>186989920</v>
      </c>
      <c r="AA458" s="16">
        <v>36825000</v>
      </c>
      <c r="AB458" s="16">
        <v>0</v>
      </c>
      <c r="AC458" s="16">
        <v>800000</v>
      </c>
      <c r="AD458" s="16">
        <v>0</v>
      </c>
      <c r="AE458">
        <f t="shared" si="81"/>
        <v>224614920</v>
      </c>
      <c r="AF458" s="12">
        <f t="shared" si="82"/>
        <v>7035621.925555557</v>
      </c>
      <c r="AG45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29190621.925555557</v>
      </c>
      <c r="AH458">
        <f>IFERROR(AG458/(Z458+Table5[[#This Row],[Rider Penalty (Claim, Other Denda to Riders)]]),0)</f>
        <v>0.15610799729501759</v>
      </c>
      <c r="AI458" s="12">
        <f t="shared" si="89"/>
        <v>-22955000</v>
      </c>
      <c r="AJ458">
        <f t="shared" si="83"/>
        <v>-0.62335369993211132</v>
      </c>
      <c r="AV458" s="109">
        <f>Table5[[#This Row],[Total Selling Comission/Sales (Weekly)]]/Table5[[#This Row],[Total Revenue Sharing % (Weekly)]]*100%</f>
        <v>0.46745220277114402</v>
      </c>
      <c r="AW458" s="109">
        <f>Table5[[#This Row],[Total Daily Incentive (Weekly)]]/Table5[[#This Row],[Total Revenue Sharing % (Weekly)]]*100%</f>
        <v>0.36269334732054004</v>
      </c>
      <c r="AX458" s="109">
        <f t="shared" si="88"/>
        <v>0.83014555009168411</v>
      </c>
    </row>
    <row r="459" spans="1:50" hidden="1">
      <c r="A459" s="180">
        <v>2025</v>
      </c>
      <c r="B459" s="119" t="s">
        <v>23</v>
      </c>
      <c r="C459" s="119" t="s">
        <v>172</v>
      </c>
      <c r="D459" s="119" t="s">
        <v>168</v>
      </c>
      <c r="E459" s="119" t="s">
        <v>28</v>
      </c>
      <c r="F459" s="119" t="s">
        <v>31</v>
      </c>
      <c r="G459" s="41">
        <v>36</v>
      </c>
      <c r="H459" s="41" t="s">
        <v>164</v>
      </c>
      <c r="I459" s="41" t="s">
        <v>275</v>
      </c>
      <c r="J459" s="150" t="s">
        <v>321</v>
      </c>
      <c r="K459" s="16">
        <v>25</v>
      </c>
      <c r="L459" s="16">
        <v>7086</v>
      </c>
      <c r="M459" s="16">
        <v>62068000</v>
      </c>
      <c r="N459" s="16">
        <v>6854650</v>
      </c>
      <c r="O459" s="16">
        <f>6835000+120000</f>
        <v>6955000</v>
      </c>
      <c r="P459" s="16">
        <v>0</v>
      </c>
      <c r="Q459" s="16"/>
      <c r="R459" s="16">
        <v>0</v>
      </c>
      <c r="S459" s="16"/>
      <c r="T459" s="16">
        <f t="shared" si="87"/>
        <v>13809650</v>
      </c>
      <c r="U459" s="16">
        <v>375000</v>
      </c>
      <c r="V459" s="173">
        <v>6125000</v>
      </c>
      <c r="W459" s="76">
        <v>0</v>
      </c>
      <c r="X459">
        <v>425600</v>
      </c>
      <c r="Y459" s="16">
        <f t="shared" si="85"/>
        <v>6925600</v>
      </c>
      <c r="Z459" s="16">
        <f t="shared" si="90"/>
        <v>16137680</v>
      </c>
      <c r="AA459" s="16">
        <f>200000+3675000</f>
        <v>3875000</v>
      </c>
      <c r="AB459" s="16">
        <v>0</v>
      </c>
      <c r="AC459" s="16">
        <v>120000</v>
      </c>
      <c r="AD459" s="16">
        <v>0</v>
      </c>
      <c r="AE459">
        <f t="shared" si="81"/>
        <v>20132680</v>
      </c>
      <c r="AF459" s="12">
        <f t="shared" si="82"/>
        <v>-602570</v>
      </c>
      <c r="AG45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1527430</v>
      </c>
      <c r="AH459">
        <f>IFERROR(AG459/(Z459+Table5[[#This Row],[Rider Penalty (Claim, Other Denda to Riders)]]),0)</f>
        <v>9.4649912502912437E-2</v>
      </c>
      <c r="AI459" s="12">
        <f t="shared" si="89"/>
        <v>-2250000</v>
      </c>
      <c r="AJ459">
        <f t="shared" si="83"/>
        <v>-0.58064516129032262</v>
      </c>
      <c r="AV459" s="109">
        <f>Table5[[#This Row],[Total Selling Comission/Sales (Weekly)]]/Table5[[#This Row],[Total Revenue Sharing % (Weekly)]]*100%</f>
        <v>0.42476056037794774</v>
      </c>
      <c r="AW459" s="109">
        <f>Table5[[#This Row],[Total Daily Incentive (Weekly)]]/Table5[[#This Row],[Total Revenue Sharing % (Weekly)]]*100%</f>
        <v>0.43097892633885415</v>
      </c>
      <c r="AX459" s="109">
        <f t="shared" si="88"/>
        <v>0.85573948671680189</v>
      </c>
    </row>
    <row r="460" spans="1:50" hidden="1">
      <c r="A460" s="181">
        <v>2025</v>
      </c>
      <c r="B460" s="179" t="s">
        <v>23</v>
      </c>
      <c r="C460" s="179" t="s">
        <v>23</v>
      </c>
      <c r="D460" s="179" t="s">
        <v>168</v>
      </c>
      <c r="E460" s="179" t="s">
        <v>28</v>
      </c>
      <c r="F460" s="179" t="s">
        <v>25</v>
      </c>
      <c r="G460" s="41">
        <v>37</v>
      </c>
      <c r="H460" s="41" t="s">
        <v>164</v>
      </c>
      <c r="I460" s="41" t="s">
        <v>256</v>
      </c>
      <c r="J460" s="151" t="s">
        <v>322</v>
      </c>
      <c r="K460" s="16">
        <v>247</v>
      </c>
      <c r="L460" s="16">
        <v>70564</v>
      </c>
      <c r="M460" s="16">
        <v>618344000</v>
      </c>
      <c r="N460" s="16">
        <v>69946920</v>
      </c>
      <c r="O460" s="16">
        <v>62105000</v>
      </c>
      <c r="P460" s="16">
        <v>0</v>
      </c>
      <c r="Q460" s="16"/>
      <c r="R460" s="16">
        <v>0</v>
      </c>
      <c r="S460" s="16"/>
      <c r="T460" s="16">
        <f t="shared" si="87"/>
        <v>132051920</v>
      </c>
      <c r="U460" s="16">
        <v>2875000</v>
      </c>
      <c r="V460" s="173">
        <v>60515000</v>
      </c>
      <c r="W460" s="173">
        <v>0</v>
      </c>
      <c r="X460" s="16">
        <v>295448.0744444445</v>
      </c>
      <c r="Y460">
        <f t="shared" si="85"/>
        <v>63685448.074444443</v>
      </c>
      <c r="Z460" s="16">
        <f t="shared" si="90"/>
        <v>160769440</v>
      </c>
      <c r="AA460" s="16">
        <v>38750000</v>
      </c>
      <c r="AB460">
        <v>0</v>
      </c>
      <c r="AC460">
        <v>760000</v>
      </c>
      <c r="AE460">
        <f t="shared" si="81"/>
        <v>200279440</v>
      </c>
      <c r="AF460" s="12">
        <f t="shared" si="82"/>
        <v>4542071.925555557</v>
      </c>
      <c r="AG46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25547071.925555557</v>
      </c>
      <c r="AH460">
        <f>IFERROR(AG460/(Z460+Table5[[#This Row],[Rider Penalty (Claim, Other Denda to Riders)]]),0)</f>
        <v>0.15890502526820743</v>
      </c>
      <c r="AI460" s="12">
        <f t="shared" si="89"/>
        <v>-21765000</v>
      </c>
      <c r="AJ460">
        <f t="shared" si="83"/>
        <v>-0.56167741935483873</v>
      </c>
      <c r="AV460" s="109">
        <f>Table5[[#This Row],[Total Selling Comission/Sales (Weekly)]]/Table5[[#This Row],[Total Revenue Sharing % (Weekly)]]*100%</f>
        <v>0.43507596966189593</v>
      </c>
      <c r="AW460" s="109">
        <f>Table5[[#This Row],[Total Daily Incentive (Weekly)]]/Table5[[#This Row],[Total Revenue Sharing % (Weekly)]]*100%</f>
        <v>0.38629854031960303</v>
      </c>
      <c r="AX460" s="109">
        <f t="shared" si="88"/>
        <v>0.82137450998149897</v>
      </c>
    </row>
    <row r="461" spans="1:50" hidden="1">
      <c r="A461" s="180">
        <v>2025</v>
      </c>
      <c r="B461" s="119" t="s">
        <v>23</v>
      </c>
      <c r="C461" s="119" t="s">
        <v>172</v>
      </c>
      <c r="D461" s="119" t="s">
        <v>168</v>
      </c>
      <c r="E461" s="119" t="s">
        <v>28</v>
      </c>
      <c r="F461" s="119" t="s">
        <v>31</v>
      </c>
      <c r="G461" s="41">
        <v>37</v>
      </c>
      <c r="H461" s="41" t="s">
        <v>164</v>
      </c>
      <c r="I461" s="41" t="s">
        <v>256</v>
      </c>
      <c r="J461" s="174" t="s">
        <v>322</v>
      </c>
      <c r="K461" s="16">
        <v>24</v>
      </c>
      <c r="L461" s="16">
        <v>5991</v>
      </c>
      <c r="M461" s="16">
        <v>52524000</v>
      </c>
      <c r="N461" s="16">
        <v>5397020</v>
      </c>
      <c r="O461" s="16">
        <f>5945000+60000</f>
        <v>6005000</v>
      </c>
      <c r="P461" s="16">
        <v>0</v>
      </c>
      <c r="Q461" s="16"/>
      <c r="R461" s="16">
        <v>0</v>
      </c>
      <c r="S461" s="16"/>
      <c r="T461" s="16">
        <f t="shared" si="87"/>
        <v>11402020</v>
      </c>
      <c r="U461" s="16">
        <v>375000</v>
      </c>
      <c r="V461" s="173">
        <v>5880000</v>
      </c>
      <c r="W461" s="173">
        <v>0</v>
      </c>
      <c r="X461" s="16">
        <v>425600</v>
      </c>
      <c r="Y461">
        <f t="shared" si="85"/>
        <v>6680600</v>
      </c>
      <c r="Z461" s="16">
        <f t="shared" si="90"/>
        <v>13656240</v>
      </c>
      <c r="AA461" s="16">
        <v>3800000</v>
      </c>
      <c r="AB461">
        <v>0</v>
      </c>
      <c r="AC461">
        <v>100000</v>
      </c>
      <c r="AE461">
        <f t="shared" si="81"/>
        <v>17556240</v>
      </c>
      <c r="AF461" s="12">
        <f t="shared" si="82"/>
        <v>-526380</v>
      </c>
      <c r="AG46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1453620</v>
      </c>
      <c r="AH461">
        <f>IFERROR(AG461/(Z461+Table5[[#This Row],[Rider Penalty (Claim, Other Denda to Riders)]]),0)</f>
        <v>0.10644364773905556</v>
      </c>
      <c r="AI461" s="12">
        <f t="shared" si="89"/>
        <v>-2080000</v>
      </c>
      <c r="AJ461">
        <f t="shared" si="83"/>
        <v>-0.54736842105263162</v>
      </c>
      <c r="AV461" s="109">
        <f>Table5[[#This Row],[Total Selling Comission/Sales (Weekly)]]/Table5[[#This Row],[Total Revenue Sharing % (Weekly)]]*100%</f>
        <v>0.39520541525339331</v>
      </c>
      <c r="AW461" s="109">
        <f>Table5[[#This Row],[Total Daily Incentive (Weekly)]]/Table5[[#This Row],[Total Revenue Sharing % (Weekly)]]*100%</f>
        <v>0.4397257224536183</v>
      </c>
      <c r="AX461" s="109">
        <f t="shared" si="88"/>
        <v>0.83493113770701155</v>
      </c>
    </row>
    <row r="462" spans="1:50" hidden="1">
      <c r="A462" s="63">
        <v>2025</v>
      </c>
      <c r="B462" s="64" t="s">
        <v>23</v>
      </c>
      <c r="C462" s="64" t="s">
        <v>174</v>
      </c>
      <c r="D462" s="64" t="s">
        <v>168</v>
      </c>
      <c r="E462" s="64" t="s">
        <v>24</v>
      </c>
      <c r="F462" s="64" t="s">
        <v>24</v>
      </c>
      <c r="G462" s="41">
        <v>37</v>
      </c>
      <c r="H462" s="41" t="s">
        <v>164</v>
      </c>
      <c r="I462" s="41" t="s">
        <v>256</v>
      </c>
      <c r="J462" s="174" t="s">
        <v>322</v>
      </c>
      <c r="K462">
        <v>42</v>
      </c>
      <c r="L462">
        <v>7131</v>
      </c>
      <c r="M462">
        <v>75008000</v>
      </c>
      <c r="N462">
        <v>7571160</v>
      </c>
      <c r="O462">
        <v>12000000</v>
      </c>
      <c r="P462">
        <v>0</v>
      </c>
      <c r="R462">
        <v>0</v>
      </c>
      <c r="T462">
        <f t="shared" si="87"/>
        <v>19571160</v>
      </c>
      <c r="U462">
        <v>700000</v>
      </c>
      <c r="V462" s="1">
        <f>240*35000</f>
        <v>8400000</v>
      </c>
      <c r="W462" s="1">
        <v>0</v>
      </c>
      <c r="X462">
        <v>0</v>
      </c>
      <c r="Y462">
        <f t="shared" si="85"/>
        <v>9100000</v>
      </c>
      <c r="Z462" s="12">
        <f t="shared" si="90"/>
        <v>19502080</v>
      </c>
      <c r="AA462">
        <f>268*25000</f>
        <v>6700000</v>
      </c>
      <c r="AB462">
        <v>0</v>
      </c>
      <c r="AC462">
        <v>0</v>
      </c>
      <c r="AD462">
        <v>100000</v>
      </c>
      <c r="AE462">
        <f t="shared" si="81"/>
        <v>26302080</v>
      </c>
      <c r="AF462" s="12">
        <f t="shared" si="82"/>
        <v>-2369080</v>
      </c>
      <c r="AG46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-669080</v>
      </c>
      <c r="AH462">
        <f>IFERROR(AG462/(Z462+Table5[[#This Row],[Rider Penalty (Claim, Other Denda to Riders)]]),0)</f>
        <v>-3.4133112404397897E-2</v>
      </c>
      <c r="AI462" s="12">
        <f t="shared" si="89"/>
        <v>-1700000</v>
      </c>
      <c r="AJ462">
        <f t="shared" si="83"/>
        <v>-0.2537313432835821</v>
      </c>
      <c r="AV462" s="109">
        <f>Table5[[#This Row],[Total Selling Comission/Sales (Weekly)]]/Table5[[#This Row],[Total Revenue Sharing % (Weekly)]]*100%</f>
        <v>0.38822320490942502</v>
      </c>
      <c r="AW462" s="109">
        <f>Table5[[#This Row],[Total Daily Incentive (Weekly)]]/Table5[[#This Row],[Total Revenue Sharing % (Weekly)]]*100%</f>
        <v>0.61531898135993701</v>
      </c>
      <c r="AX462" s="109">
        <f t="shared" si="88"/>
        <v>1.0035421862693621</v>
      </c>
    </row>
    <row r="463" spans="1:50" hidden="1">
      <c r="A463" s="181">
        <v>2025</v>
      </c>
      <c r="B463" s="179" t="s">
        <v>23</v>
      </c>
      <c r="C463" s="179" t="s">
        <v>173</v>
      </c>
      <c r="D463" s="179" t="s">
        <v>168</v>
      </c>
      <c r="E463" s="179" t="s">
        <v>24</v>
      </c>
      <c r="F463" s="179" t="s">
        <v>282</v>
      </c>
      <c r="G463" s="41">
        <v>37</v>
      </c>
      <c r="H463" s="41" t="s">
        <v>164</v>
      </c>
      <c r="I463" s="41" t="s">
        <v>256</v>
      </c>
      <c r="J463" s="174" t="s">
        <v>322</v>
      </c>
      <c r="K463">
        <v>26</v>
      </c>
      <c r="L463">
        <v>4991</v>
      </c>
      <c r="M463">
        <v>43178000</v>
      </c>
      <c r="N463">
        <v>3790960</v>
      </c>
      <c r="O463">
        <v>7500000</v>
      </c>
      <c r="P463">
        <v>0</v>
      </c>
      <c r="R463">
        <v>0</v>
      </c>
      <c r="T463">
        <f t="shared" si="87"/>
        <v>11290960</v>
      </c>
      <c r="U463">
        <v>740000</v>
      </c>
      <c r="V463" s="1">
        <f>150*35000</f>
        <v>5250000</v>
      </c>
      <c r="W463" s="1">
        <v>0</v>
      </c>
      <c r="X463">
        <v>0</v>
      </c>
      <c r="Y463">
        <f t="shared" si="85"/>
        <v>5990000</v>
      </c>
      <c r="Z463" s="12">
        <f t="shared" si="90"/>
        <v>11226280</v>
      </c>
      <c r="AA463">
        <f>166*25000</f>
        <v>4150000</v>
      </c>
      <c r="AB463">
        <v>0</v>
      </c>
      <c r="AC463">
        <v>0</v>
      </c>
      <c r="AD463">
        <v>50000</v>
      </c>
      <c r="AE463">
        <f t="shared" si="81"/>
        <v>15426280</v>
      </c>
      <c r="AF463" s="12">
        <f t="shared" si="82"/>
        <v>-1854680</v>
      </c>
      <c r="AG46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-754680</v>
      </c>
      <c r="AH463">
        <f>IFERROR(AG463/(Z463+Table5[[#This Row],[Rider Penalty (Claim, Other Denda to Riders)]]),0)</f>
        <v>-6.692632676733816E-2</v>
      </c>
      <c r="AI463" s="12">
        <f t="shared" si="89"/>
        <v>-1100000</v>
      </c>
      <c r="AJ463">
        <f t="shared" si="83"/>
        <v>-0.26506024096385544</v>
      </c>
      <c r="AV463" s="109">
        <f>Table5[[#This Row],[Total Selling Comission/Sales (Weekly)]]/Table5[[#This Row],[Total Revenue Sharing % (Weekly)]]*100%</f>
        <v>0.33768621484587952</v>
      </c>
      <c r="AW463" s="109">
        <f>Table5[[#This Row],[Total Daily Incentive (Weekly)]]/Table5[[#This Row],[Total Revenue Sharing % (Weekly)]]*100%</f>
        <v>0.66807526625026281</v>
      </c>
      <c r="AX463" s="109">
        <f t="shared" si="88"/>
        <v>1.0057614810961422</v>
      </c>
    </row>
    <row r="464" spans="1:50" hidden="1">
      <c r="A464" s="181">
        <v>2025</v>
      </c>
      <c r="B464" s="179" t="s">
        <v>176</v>
      </c>
      <c r="C464" s="179" t="s">
        <v>176</v>
      </c>
      <c r="D464" s="179" t="s">
        <v>169</v>
      </c>
      <c r="E464" s="179" t="s">
        <v>28</v>
      </c>
      <c r="F464" s="179" t="s">
        <v>28</v>
      </c>
      <c r="G464" s="41">
        <v>36</v>
      </c>
      <c r="H464" s="41" t="s">
        <v>164</v>
      </c>
      <c r="I464" s="41" t="s">
        <v>275</v>
      </c>
      <c r="J464" s="185" t="s">
        <v>321</v>
      </c>
      <c r="K464" s="16">
        <v>16</v>
      </c>
      <c r="L464" s="16">
        <v>1154</v>
      </c>
      <c r="M464" s="16">
        <v>11041000</v>
      </c>
      <c r="N464" s="16">
        <v>0</v>
      </c>
      <c r="O464" s="16">
        <v>0</v>
      </c>
      <c r="P464" s="16">
        <v>0</v>
      </c>
      <c r="Q464" s="16"/>
      <c r="R464" s="16">
        <v>0</v>
      </c>
      <c r="S464" s="16"/>
      <c r="T464" s="16">
        <v>0</v>
      </c>
      <c r="U464" s="16">
        <v>0</v>
      </c>
      <c r="V464" s="173">
        <v>0</v>
      </c>
      <c r="W464" s="173">
        <v>0</v>
      </c>
      <c r="X464" s="16">
        <v>0</v>
      </c>
      <c r="Y464" s="16">
        <f t="shared" si="85"/>
        <v>0</v>
      </c>
      <c r="Z464" s="16">
        <f>7%*M464</f>
        <v>772870.00000000012</v>
      </c>
      <c r="AA464" s="16">
        <v>0</v>
      </c>
      <c r="AB464" s="16">
        <v>0</v>
      </c>
      <c r="AC464" s="16">
        <v>0</v>
      </c>
      <c r="AD464" s="16">
        <v>0</v>
      </c>
      <c r="AE464">
        <f t="shared" si="81"/>
        <v>772870.00000000012</v>
      </c>
      <c r="AF464" s="12">
        <f t="shared" si="82"/>
        <v>772870.00000000012</v>
      </c>
      <c r="AG46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772870.00000000012</v>
      </c>
      <c r="AH464">
        <f>IFERROR(AG464/(Z464+Table5[[#This Row],[Rider Penalty (Claim, Other Denda to Riders)]]),0)</f>
        <v>1</v>
      </c>
      <c r="AI464" s="12">
        <f t="shared" si="89"/>
        <v>0</v>
      </c>
      <c r="AJ464">
        <f t="shared" si="83"/>
        <v>0</v>
      </c>
      <c r="AV464" s="109"/>
      <c r="AW464" s="109"/>
      <c r="AX464" s="109"/>
    </row>
    <row r="465" spans="1:50" hidden="1">
      <c r="A465" s="181">
        <v>2025</v>
      </c>
      <c r="B465" s="179" t="s">
        <v>176</v>
      </c>
      <c r="C465" s="179" t="s">
        <v>176</v>
      </c>
      <c r="D465" s="179" t="s">
        <v>169</v>
      </c>
      <c r="E465" s="179" t="s">
        <v>28</v>
      </c>
      <c r="F465" s="179" t="s">
        <v>28</v>
      </c>
      <c r="G465" s="41">
        <v>37</v>
      </c>
      <c r="H465" s="41" t="s">
        <v>164</v>
      </c>
      <c r="I465" s="41" t="s">
        <v>256</v>
      </c>
      <c r="J465" s="174" t="s">
        <v>322</v>
      </c>
      <c r="K465" s="16">
        <v>14</v>
      </c>
      <c r="L465" s="16">
        <v>1067</v>
      </c>
      <c r="M465" s="16">
        <v>10313000</v>
      </c>
      <c r="N465" s="16">
        <v>0</v>
      </c>
      <c r="O465" s="16">
        <v>0</v>
      </c>
      <c r="P465" s="16">
        <v>0</v>
      </c>
      <c r="Q465" s="16"/>
      <c r="R465" s="16">
        <v>0</v>
      </c>
      <c r="S465" s="16"/>
      <c r="T465" s="16">
        <v>0</v>
      </c>
      <c r="U465" s="16">
        <v>0</v>
      </c>
      <c r="V465" s="173">
        <v>0</v>
      </c>
      <c r="W465" s="173">
        <v>0</v>
      </c>
      <c r="X465" s="16">
        <v>0</v>
      </c>
      <c r="Y465" s="16">
        <f t="shared" si="85"/>
        <v>0</v>
      </c>
      <c r="Z465" s="16">
        <f>7%*M465</f>
        <v>721910.00000000012</v>
      </c>
      <c r="AA465" s="16"/>
      <c r="AE465">
        <f t="shared" si="81"/>
        <v>721910.00000000012</v>
      </c>
      <c r="AF465" s="12">
        <f t="shared" si="82"/>
        <v>721910.00000000012</v>
      </c>
      <c r="AG46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721910.00000000012</v>
      </c>
      <c r="AH465">
        <f>IFERROR(AG465/(Z465+Table5[[#This Row],[Rider Penalty (Claim, Other Denda to Riders)]]),0)</f>
        <v>1</v>
      </c>
      <c r="AI465" s="12">
        <f t="shared" si="89"/>
        <v>0</v>
      </c>
      <c r="AJ465">
        <f t="shared" si="83"/>
        <v>0</v>
      </c>
      <c r="AV465" s="109"/>
      <c r="AW465" s="109"/>
      <c r="AX465" s="109"/>
    </row>
    <row r="466" spans="1:50" hidden="1">
      <c r="A466" s="181">
        <v>2025</v>
      </c>
      <c r="B466" s="179" t="s">
        <v>177</v>
      </c>
      <c r="C466" s="179" t="s">
        <v>177</v>
      </c>
      <c r="D466" s="179" t="s">
        <v>168</v>
      </c>
      <c r="E466" s="179" t="s">
        <v>24</v>
      </c>
      <c r="F466" s="179" t="s">
        <v>24</v>
      </c>
      <c r="G466" s="41">
        <v>36</v>
      </c>
      <c r="H466" s="41" t="s">
        <v>164</v>
      </c>
      <c r="I466" s="41" t="s">
        <v>275</v>
      </c>
      <c r="J466" s="185" t="s">
        <v>321</v>
      </c>
      <c r="K466">
        <v>3</v>
      </c>
      <c r="L466">
        <v>197</v>
      </c>
      <c r="M466" s="16">
        <v>2691000</v>
      </c>
      <c r="N466">
        <v>187560</v>
      </c>
      <c r="O466">
        <v>330000</v>
      </c>
      <c r="P466">
        <v>0</v>
      </c>
      <c r="R466">
        <v>0</v>
      </c>
      <c r="T466">
        <f>SUM(N466:R466)</f>
        <v>517560</v>
      </c>
      <c r="U466">
        <v>0</v>
      </c>
      <c r="V466" s="76">
        <f>12*35000</f>
        <v>420000</v>
      </c>
      <c r="W466" s="76">
        <v>0</v>
      </c>
      <c r="X466">
        <v>0</v>
      </c>
      <c r="Y466">
        <f t="shared" si="85"/>
        <v>420000</v>
      </c>
      <c r="Z466" s="12">
        <f>30%*M466</f>
        <v>807300</v>
      </c>
      <c r="AA466">
        <v>325000</v>
      </c>
      <c r="AB466">
        <v>0</v>
      </c>
      <c r="AD466">
        <v>0</v>
      </c>
      <c r="AE466">
        <f t="shared" si="81"/>
        <v>1132300</v>
      </c>
      <c r="AF466" s="12">
        <f t="shared" si="82"/>
        <v>194740</v>
      </c>
      <c r="AG46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289740</v>
      </c>
      <c r="AH466">
        <f>IFERROR(AG466/(Z466+Table5[[#This Row],[Rider Penalty (Claim, Other Denda to Riders)]]),0)</f>
        <v>0.35890003716090674</v>
      </c>
      <c r="AI466" s="12">
        <f t="shared" si="89"/>
        <v>-95000</v>
      </c>
      <c r="AJ466">
        <f t="shared" si="83"/>
        <v>-0.29230769230769232</v>
      </c>
      <c r="AV466" s="109"/>
      <c r="AW466" s="109"/>
      <c r="AX466" s="109"/>
    </row>
    <row r="467" spans="1:50" hidden="1">
      <c r="A467" s="181">
        <v>2025</v>
      </c>
      <c r="B467" s="179" t="s">
        <v>177</v>
      </c>
      <c r="C467" s="179" t="s">
        <v>177</v>
      </c>
      <c r="D467" s="179" t="s">
        <v>168</v>
      </c>
      <c r="E467" s="179" t="s">
        <v>24</v>
      </c>
      <c r="F467" s="179" t="s">
        <v>24</v>
      </c>
      <c r="G467" s="41">
        <v>37</v>
      </c>
      <c r="H467" s="41" t="s">
        <v>164</v>
      </c>
      <c r="I467" s="41" t="s">
        <v>256</v>
      </c>
      <c r="J467" s="174" t="s">
        <v>322</v>
      </c>
      <c r="K467">
        <v>2</v>
      </c>
      <c r="L467">
        <v>361</v>
      </c>
      <c r="M467" s="16">
        <v>3983000</v>
      </c>
      <c r="N467" s="16">
        <v>368300</v>
      </c>
      <c r="O467" s="16">
        <v>525000</v>
      </c>
      <c r="P467">
        <v>0</v>
      </c>
      <c r="R467">
        <v>0</v>
      </c>
      <c r="T467">
        <f>SUM(N467:R467)</f>
        <v>893300</v>
      </c>
      <c r="U467">
        <v>0</v>
      </c>
      <c r="V467" s="1">
        <f>14*35000</f>
        <v>490000</v>
      </c>
      <c r="W467" s="1">
        <v>0</v>
      </c>
      <c r="X467">
        <v>0</v>
      </c>
      <c r="Y467">
        <f t="shared" si="85"/>
        <v>490000</v>
      </c>
      <c r="Z467" s="12">
        <f>30%*M467</f>
        <v>1194900</v>
      </c>
      <c r="AA467">
        <f>14*25000</f>
        <v>350000</v>
      </c>
      <c r="AB467">
        <v>0</v>
      </c>
      <c r="AC467">
        <v>0</v>
      </c>
      <c r="AD467">
        <v>0</v>
      </c>
      <c r="AE467">
        <f t="shared" si="81"/>
        <v>1544900</v>
      </c>
      <c r="AF467" s="12">
        <f t="shared" si="82"/>
        <v>161600</v>
      </c>
      <c r="AG46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301600</v>
      </c>
      <c r="AH467">
        <f>IFERROR(AG467/(Z467+Table5[[#This Row],[Rider Penalty (Claim, Other Denda to Riders)]]),0)</f>
        <v>0.25240605908444219</v>
      </c>
      <c r="AI467" s="12">
        <f t="shared" si="89"/>
        <v>-140000</v>
      </c>
      <c r="AJ467">
        <f t="shared" si="83"/>
        <v>-0.4</v>
      </c>
      <c r="AV467" s="109"/>
      <c r="AW467" s="109"/>
      <c r="AX467" s="109"/>
    </row>
    <row r="468" spans="1:50" hidden="1">
      <c r="A468">
        <v>2025</v>
      </c>
      <c r="B468" t="s">
        <v>23</v>
      </c>
      <c r="C468" t="s">
        <v>23</v>
      </c>
      <c r="D468" t="s">
        <v>168</v>
      </c>
      <c r="E468" t="s">
        <v>28</v>
      </c>
      <c r="F468" t="s">
        <v>25</v>
      </c>
      <c r="G468">
        <v>38</v>
      </c>
      <c r="H468" s="117" t="s">
        <v>164</v>
      </c>
      <c r="I468" s="117" t="s">
        <v>278</v>
      </c>
      <c r="J468" s="186" t="s">
        <v>326</v>
      </c>
      <c r="K468">
        <v>239</v>
      </c>
      <c r="L468">
        <v>68817</v>
      </c>
      <c r="M468" s="16">
        <v>601724000</v>
      </c>
      <c r="N468" s="16">
        <v>67790425</v>
      </c>
      <c r="O468" s="16">
        <f>66930000+300000</f>
        <v>67230000</v>
      </c>
      <c r="P468">
        <v>0</v>
      </c>
      <c r="R468">
        <v>0</v>
      </c>
      <c r="T468" s="16">
        <f>SUM(N468:R468)</f>
        <v>135020425</v>
      </c>
      <c r="U468">
        <v>3325000</v>
      </c>
      <c r="V468" s="1">
        <v>58555000</v>
      </c>
      <c r="W468" s="1">
        <v>0</v>
      </c>
      <c r="X468">
        <v>295448</v>
      </c>
      <c r="Y468">
        <f t="shared" ref="Y468" si="91">SUM(U468:X468)</f>
        <v>62175448</v>
      </c>
      <c r="Z468" s="12">
        <f>26%*M468</f>
        <v>156448240</v>
      </c>
      <c r="AA468">
        <f>34600000+2175000</f>
        <v>36775000</v>
      </c>
      <c r="AB468">
        <v>0</v>
      </c>
      <c r="AC468">
        <v>1050000</v>
      </c>
      <c r="AD468">
        <v>0</v>
      </c>
      <c r="AE468">
        <f t="shared" ref="AE468" si="92">SUM(Z468:AD468)</f>
        <v>194273240</v>
      </c>
      <c r="AF468" s="12">
        <f t="shared" si="82"/>
        <v>-2922633</v>
      </c>
      <c r="AG46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17807367</v>
      </c>
      <c r="AH468">
        <f>IFERROR(AG468/(Z468+Table5[[#This Row],[Rider Penalty (Claim, Other Denda to Riders)]]),0)</f>
        <v>0.113822737794941</v>
      </c>
      <c r="AI468" s="12">
        <f t="shared" ref="AI468:AI469" si="93">AA468+AB468-V468</f>
        <v>-21780000</v>
      </c>
      <c r="AJ468">
        <f t="shared" ref="AJ468:AJ469" si="94">IFERROR(AI468/(AA468+AB468),0)</f>
        <v>-0.59225016995241331</v>
      </c>
      <c r="AV468" s="109">
        <f>Table5[[#This Row],[Total Selling Comission/Sales (Weekly)]]/Table5[[#This Row],[Total Revenue Sharing % (Weekly)]]*100%</f>
        <v>0.43330896531658009</v>
      </c>
      <c r="AW468" s="109">
        <f>Table5[[#This Row],[Total Daily Incentive (Weekly)]]/Table5[[#This Row],[Total Revenue Sharing % (Weekly)]]*100%</f>
        <v>0.42972679015117077</v>
      </c>
      <c r="AX468" s="109">
        <f>(N468+O468)/Z468*100%</f>
        <v>0.86303575546775091</v>
      </c>
    </row>
    <row r="469" spans="1:50" hidden="1">
      <c r="A469">
        <v>2025</v>
      </c>
      <c r="B469" t="s">
        <v>23</v>
      </c>
      <c r="C469" t="s">
        <v>172</v>
      </c>
      <c r="D469" t="s">
        <v>168</v>
      </c>
      <c r="E469" t="s">
        <v>28</v>
      </c>
      <c r="F469" t="s">
        <v>31</v>
      </c>
      <c r="G469">
        <v>38</v>
      </c>
      <c r="H469" s="117" t="s">
        <v>164</v>
      </c>
      <c r="I469" s="117" t="s">
        <v>278</v>
      </c>
      <c r="J469" s="186" t="s">
        <v>326</v>
      </c>
      <c r="K469" s="16">
        <v>24</v>
      </c>
      <c r="L469" s="16">
        <v>6410</v>
      </c>
      <c r="M469" s="16">
        <v>56260000</v>
      </c>
      <c r="N469" s="16">
        <v>5833155</v>
      </c>
      <c r="O469" s="16">
        <f>7535000+30000</f>
        <v>7565000</v>
      </c>
      <c r="P469">
        <v>0</v>
      </c>
      <c r="R469">
        <v>0</v>
      </c>
      <c r="T469" s="16">
        <f>SUM(N469:R469)</f>
        <v>13398155</v>
      </c>
      <c r="U469">
        <v>375000</v>
      </c>
      <c r="V469" s="1">
        <v>5880000</v>
      </c>
      <c r="W469" s="1">
        <v>0</v>
      </c>
      <c r="X469">
        <v>425600</v>
      </c>
      <c r="Y469">
        <f>SUM(U469:X469)</f>
        <v>6680600</v>
      </c>
      <c r="Z469" s="12">
        <f>26%*M469</f>
        <v>14627600</v>
      </c>
      <c r="AA469">
        <f>3525000+50000</f>
        <v>3575000</v>
      </c>
      <c r="AB469">
        <v>0</v>
      </c>
      <c r="AC469">
        <v>150000</v>
      </c>
      <c r="AE469" s="12">
        <f>SUM(Z469:AD469)</f>
        <v>18352600</v>
      </c>
      <c r="AF469" s="12">
        <f t="shared" ref="AF469" si="95">AE469-(T469+Y469)</f>
        <v>-1726155</v>
      </c>
      <c r="AG46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428845</v>
      </c>
      <c r="AH469">
        <f>IFERROR(AG469/(Z469+Table5[[#This Row],[Rider Penalty (Claim, Other Denda to Riders)]]),0)</f>
        <v>2.9317523038639284E-2</v>
      </c>
      <c r="AI469" s="12">
        <f t="shared" si="93"/>
        <v>-2305000</v>
      </c>
      <c r="AJ469">
        <f t="shared" si="94"/>
        <v>-0.64475524475524471</v>
      </c>
      <c r="AV469" s="109">
        <f>Table5[[#This Row],[Total Selling Comission/Sales (Weekly)]]/Table5[[#This Row],[Total Revenue Sharing % (Weekly)]]*100%</f>
        <v>0.39877731138395911</v>
      </c>
      <c r="AW469" s="109">
        <f>Table5[[#This Row],[Total Daily Incentive (Weekly)]]/Table5[[#This Row],[Total Revenue Sharing % (Weekly)]]*100%</f>
        <v>0.5171730153955536</v>
      </c>
      <c r="AX469" s="109">
        <f>(N469+O469)/Z469*100%</f>
        <v>0.91595032677951271</v>
      </c>
    </row>
    <row r="470" spans="1:50" hidden="1">
      <c r="A470" s="181">
        <v>2025</v>
      </c>
      <c r="B470" s="179" t="s">
        <v>176</v>
      </c>
      <c r="C470" s="179" t="s">
        <v>176</v>
      </c>
      <c r="D470" s="179" t="s">
        <v>169</v>
      </c>
      <c r="E470" s="179" t="s">
        <v>28</v>
      </c>
      <c r="F470" s="179" t="s">
        <v>28</v>
      </c>
      <c r="G470">
        <v>38</v>
      </c>
      <c r="H470" s="117" t="s">
        <v>164</v>
      </c>
      <c r="I470" s="117" t="s">
        <v>278</v>
      </c>
      <c r="J470" s="186" t="s">
        <v>326</v>
      </c>
      <c r="K470" s="16">
        <v>13</v>
      </c>
      <c r="L470" s="16">
        <v>952</v>
      </c>
      <c r="M470" s="16">
        <v>9238000</v>
      </c>
      <c r="N470" s="16">
        <v>0</v>
      </c>
      <c r="O470" s="16">
        <v>0</v>
      </c>
      <c r="P470">
        <v>0</v>
      </c>
      <c r="R470">
        <v>0</v>
      </c>
      <c r="T470" s="16">
        <v>0</v>
      </c>
      <c r="U470">
        <v>0</v>
      </c>
      <c r="V470" s="76">
        <v>0</v>
      </c>
      <c r="W470" s="76">
        <v>0</v>
      </c>
      <c r="X470">
        <v>0</v>
      </c>
      <c r="Y470">
        <v>0</v>
      </c>
      <c r="Z470" s="12">
        <f>7%*M470</f>
        <v>646660.00000000012</v>
      </c>
      <c r="AA470">
        <v>0</v>
      </c>
      <c r="AB470">
        <v>0</v>
      </c>
      <c r="AC470">
        <v>0</v>
      </c>
      <c r="AD470">
        <v>0</v>
      </c>
      <c r="AE470" s="12">
        <f>SUM(Z470:AD470)</f>
        <v>646660.00000000012</v>
      </c>
      <c r="AF470" s="12">
        <f>AE470-(T470+Y470)</f>
        <v>646660.00000000012</v>
      </c>
      <c r="AG47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646660.00000000012</v>
      </c>
      <c r="AH470">
        <f>IFERROR(AG470/(Z470+Table5[[#This Row],[Rider Penalty (Claim, Other Denda to Riders)]]),0)</f>
        <v>1</v>
      </c>
      <c r="AI470" s="12">
        <f>AA470+AB470-V470</f>
        <v>0</v>
      </c>
      <c r="AJ470">
        <f>IFERROR(AI470/(AA470+AB470),0)</f>
        <v>0</v>
      </c>
      <c r="AV470" s="109"/>
      <c r="AW470" s="109"/>
      <c r="AX470" s="109"/>
    </row>
    <row r="471" spans="1:50" hidden="1">
      <c r="A471" s="41">
        <v>2025</v>
      </c>
      <c r="B471" s="117" t="s">
        <v>23</v>
      </c>
      <c r="C471" s="117" t="s">
        <v>174</v>
      </c>
      <c r="D471" s="117" t="s">
        <v>168</v>
      </c>
      <c r="E471" s="117" t="s">
        <v>24</v>
      </c>
      <c r="F471" s="117" t="s">
        <v>24</v>
      </c>
      <c r="G471">
        <v>38</v>
      </c>
      <c r="H471" s="117" t="s">
        <v>164</v>
      </c>
      <c r="I471" s="117" t="s">
        <v>278</v>
      </c>
      <c r="J471" s="186" t="s">
        <v>326</v>
      </c>
      <c r="K471">
        <v>42</v>
      </c>
      <c r="L471">
        <v>7885</v>
      </c>
      <c r="M471">
        <v>72020000</v>
      </c>
      <c r="N471">
        <v>7000780</v>
      </c>
      <c r="O471">
        <v>11550000</v>
      </c>
      <c r="P471">
        <v>0</v>
      </c>
      <c r="R471">
        <v>0</v>
      </c>
      <c r="T471">
        <f t="shared" ref="T471:T474" si="96">SUM(N471:R471)</f>
        <v>18550780</v>
      </c>
      <c r="U471">
        <v>700000</v>
      </c>
      <c r="V471" s="76">
        <f>231*35000</f>
        <v>8085000</v>
      </c>
      <c r="W471" s="76">
        <v>0</v>
      </c>
      <c r="X471">
        <v>0</v>
      </c>
      <c r="Y471">
        <f t="shared" ref="Y471:Y474" si="97">SUM(U471:X471)</f>
        <v>8785000</v>
      </c>
      <c r="Z471" s="12">
        <f>26%*M471</f>
        <v>18725200</v>
      </c>
      <c r="AA471">
        <f>253*25000</f>
        <v>6325000</v>
      </c>
      <c r="AB471">
        <v>0</v>
      </c>
      <c r="AC471">
        <v>0</v>
      </c>
      <c r="AD471">
        <v>75000</v>
      </c>
      <c r="AE471">
        <f t="shared" ref="AE471:AE474" si="98">SUM(Z471:AD471)</f>
        <v>25125200</v>
      </c>
      <c r="AF471" s="12">
        <f t="shared" ref="AF471:AF474" si="99">AE471-(T471+Y471)</f>
        <v>-2210580</v>
      </c>
      <c r="AG47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-450580</v>
      </c>
      <c r="AH471">
        <f>IFERROR(AG471/(Z471+Table5[[#This Row],[Rider Penalty (Claim, Other Denda to Riders)]]),0)</f>
        <v>-2.3966766310996691E-2</v>
      </c>
      <c r="AI471" s="12">
        <f t="shared" ref="AI471:AI474" si="100">AA471+AB471-V471</f>
        <v>-1760000</v>
      </c>
      <c r="AJ471">
        <f t="shared" ref="AJ471:AJ474" si="101">IFERROR(AI471/(AA471+AB471),0)</f>
        <v>-0.27826086956521739</v>
      </c>
      <c r="AV471" s="109">
        <f>Table5[[#This Row],[Total Selling Comission/Sales (Weekly)]]/Table5[[#This Row],[Total Revenue Sharing % (Weekly)]]*100%</f>
        <v>0.37386943797663041</v>
      </c>
      <c r="AW471" s="109">
        <f>Table5[[#This Row],[Total Daily Incentive (Weekly)]]/Table5[[#This Row],[Total Revenue Sharing % (Weekly)]]*100%</f>
        <v>0.61681584175335913</v>
      </c>
      <c r="AX471" s="109">
        <f>(N471+O471)/Z471*100%</f>
        <v>0.99068527972998954</v>
      </c>
    </row>
    <row r="472" spans="1:50" hidden="1">
      <c r="A472" s="41">
        <v>2025</v>
      </c>
      <c r="B472" s="64" t="s">
        <v>23</v>
      </c>
      <c r="C472" s="64" t="s">
        <v>173</v>
      </c>
      <c r="D472" s="64" t="s">
        <v>168</v>
      </c>
      <c r="E472" s="64" t="s">
        <v>24</v>
      </c>
      <c r="F472" s="153" t="s">
        <v>282</v>
      </c>
      <c r="G472">
        <v>38</v>
      </c>
      <c r="H472" s="117" t="s">
        <v>164</v>
      </c>
      <c r="I472" s="117" t="s">
        <v>278</v>
      </c>
      <c r="J472" s="186" t="s">
        <v>326</v>
      </c>
      <c r="K472">
        <v>29</v>
      </c>
      <c r="L472">
        <v>4521</v>
      </c>
      <c r="M472">
        <v>40670000</v>
      </c>
      <c r="N472">
        <v>3422480</v>
      </c>
      <c r="O472">
        <v>7250000</v>
      </c>
      <c r="P472">
        <v>0</v>
      </c>
      <c r="R472">
        <v>0</v>
      </c>
      <c r="T472">
        <f t="shared" si="96"/>
        <v>10672480</v>
      </c>
      <c r="U472">
        <v>700000</v>
      </c>
      <c r="V472" s="76">
        <f>145*35000</f>
        <v>5075000</v>
      </c>
      <c r="W472" s="76">
        <v>0</v>
      </c>
      <c r="X472">
        <v>0</v>
      </c>
      <c r="Y472">
        <f t="shared" si="97"/>
        <v>5775000</v>
      </c>
      <c r="Z472" s="12">
        <f>26%*M472</f>
        <v>10574200</v>
      </c>
      <c r="AA472">
        <f>167*25000</f>
        <v>4175000</v>
      </c>
      <c r="AB472">
        <v>0</v>
      </c>
      <c r="AC472">
        <v>0</v>
      </c>
      <c r="AD472">
        <v>25000</v>
      </c>
      <c r="AE472">
        <f t="shared" si="98"/>
        <v>14774200</v>
      </c>
      <c r="AF472" s="12">
        <f t="shared" si="99"/>
        <v>-1673280</v>
      </c>
      <c r="AG47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-773280</v>
      </c>
      <c r="AH472">
        <f>IFERROR(AG472/(Z472+Table5[[#This Row],[Rider Penalty (Claim, Other Denda to Riders)]]),0)</f>
        <v>-7.2956449543361765E-2</v>
      </c>
      <c r="AI472" s="12">
        <f t="shared" si="100"/>
        <v>-900000</v>
      </c>
      <c r="AJ472">
        <f t="shared" si="101"/>
        <v>-0.21556886227544911</v>
      </c>
      <c r="AV472" s="109">
        <f>Table5[[#This Row],[Total Selling Comission/Sales (Weekly)]]/Table5[[#This Row],[Total Revenue Sharing % (Weekly)]]*100%</f>
        <v>0.32366325584914224</v>
      </c>
      <c r="AW472" s="109">
        <f>Table5[[#This Row],[Total Daily Incentive (Weekly)]]/Table5[[#This Row],[Total Revenue Sharing % (Weekly)]]*100%</f>
        <v>0.68563106428855136</v>
      </c>
      <c r="AX472" s="109">
        <f>(N472+O472)/Z472*100%</f>
        <v>1.0092943201376936</v>
      </c>
    </row>
    <row r="473" spans="1:50" hidden="1">
      <c r="A473" s="41">
        <v>2025</v>
      </c>
      <c r="B473" s="41" t="s">
        <v>177</v>
      </c>
      <c r="C473" s="41" t="s">
        <v>177</v>
      </c>
      <c r="D473" s="41" t="s">
        <v>168</v>
      </c>
      <c r="E473" s="41" t="s">
        <v>24</v>
      </c>
      <c r="F473" s="41" t="s">
        <v>24</v>
      </c>
      <c r="G473">
        <v>38</v>
      </c>
      <c r="H473" s="117" t="s">
        <v>164</v>
      </c>
      <c r="I473" s="117" t="s">
        <v>278</v>
      </c>
      <c r="J473" s="186" t="s">
        <v>326</v>
      </c>
      <c r="K473">
        <v>2</v>
      </c>
      <c r="L473">
        <v>418</v>
      </c>
      <c r="M473" s="16">
        <v>4774000</v>
      </c>
      <c r="N473" s="16">
        <v>468770</v>
      </c>
      <c r="O473" s="16">
        <v>495000</v>
      </c>
      <c r="P473">
        <v>0</v>
      </c>
      <c r="R473">
        <v>0</v>
      </c>
      <c r="T473">
        <f t="shared" si="96"/>
        <v>963770</v>
      </c>
      <c r="U473">
        <v>0</v>
      </c>
      <c r="V473" s="76">
        <f>13*35000</f>
        <v>455000</v>
      </c>
      <c r="W473" s="76">
        <v>0</v>
      </c>
      <c r="X473">
        <v>0</v>
      </c>
      <c r="Y473">
        <f t="shared" si="97"/>
        <v>455000</v>
      </c>
      <c r="Z473" s="12">
        <f>30%*M473</f>
        <v>1432200</v>
      </c>
      <c r="AA473">
        <f>14*25000</f>
        <v>350000</v>
      </c>
      <c r="AB473">
        <v>0</v>
      </c>
      <c r="AC473">
        <v>0</v>
      </c>
      <c r="AD473">
        <v>0</v>
      </c>
      <c r="AE473">
        <f t="shared" si="98"/>
        <v>1782200</v>
      </c>
      <c r="AF473" s="12">
        <f t="shared" si="99"/>
        <v>363430</v>
      </c>
      <c r="AG47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468430</v>
      </c>
      <c r="AH473">
        <f>IFERROR(AG473/(Z473+Table5[[#This Row],[Rider Penalty (Claim, Other Denda to Riders)]]),0)</f>
        <v>0.3270702415863706</v>
      </c>
      <c r="AI473" s="12">
        <f t="shared" si="100"/>
        <v>-105000</v>
      </c>
      <c r="AJ473">
        <f t="shared" si="101"/>
        <v>-0.3</v>
      </c>
      <c r="AV473" s="109"/>
      <c r="AW473" s="109"/>
      <c r="AX473" s="109"/>
    </row>
    <row r="474" spans="1:50" hidden="1">
      <c r="A474" s="41">
        <v>2025</v>
      </c>
      <c r="B474" s="179" t="s">
        <v>320</v>
      </c>
      <c r="C474" s="179" t="s">
        <v>276</v>
      </c>
      <c r="D474" s="179" t="s">
        <v>168</v>
      </c>
      <c r="E474" s="179" t="s">
        <v>24</v>
      </c>
      <c r="F474" s="179" t="s">
        <v>283</v>
      </c>
      <c r="G474">
        <v>38</v>
      </c>
      <c r="H474" s="117" t="s">
        <v>164</v>
      </c>
      <c r="I474" s="117" t="s">
        <v>278</v>
      </c>
      <c r="J474" s="186" t="s">
        <v>326</v>
      </c>
      <c r="K474">
        <v>4</v>
      </c>
      <c r="L474">
        <v>112</v>
      </c>
      <c r="M474">
        <v>429000</v>
      </c>
      <c r="N474">
        <v>85800</v>
      </c>
      <c r="O474">
        <v>480000</v>
      </c>
      <c r="P474">
        <v>0</v>
      </c>
      <c r="R474">
        <v>0</v>
      </c>
      <c r="T474">
        <f t="shared" si="96"/>
        <v>565800</v>
      </c>
      <c r="U474">
        <v>350000</v>
      </c>
      <c r="V474" s="76">
        <v>0</v>
      </c>
      <c r="W474" s="76">
        <v>0</v>
      </c>
      <c r="X474">
        <v>475000</v>
      </c>
      <c r="Y474">
        <f t="shared" si="97"/>
        <v>825000</v>
      </c>
      <c r="Z474" s="12">
        <f>Table5[[#This Row],[Total Selling (Clients Revenue)]]</f>
        <v>429000</v>
      </c>
      <c r="AA474">
        <v>0</v>
      </c>
      <c r="AB474">
        <v>0</v>
      </c>
      <c r="AC474">
        <v>0</v>
      </c>
      <c r="AD474">
        <v>0</v>
      </c>
      <c r="AE474">
        <f t="shared" si="98"/>
        <v>429000</v>
      </c>
      <c r="AF474" s="12">
        <f t="shared" si="99"/>
        <v>-961800</v>
      </c>
      <c r="AG47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-961800</v>
      </c>
      <c r="AH474">
        <f>IFERROR(AG474/(Z474+Table5[[#This Row],[Rider Penalty (Claim, Other Denda to Riders)]]),0)</f>
        <v>-2.2419580419580418</v>
      </c>
      <c r="AI474" s="12">
        <f t="shared" si="100"/>
        <v>0</v>
      </c>
      <c r="AJ474">
        <f t="shared" si="101"/>
        <v>0</v>
      </c>
      <c r="AV474" s="109"/>
      <c r="AW474" s="109"/>
      <c r="AX474" s="109"/>
    </row>
    <row r="475" spans="1:50" hidden="1">
      <c r="A475" s="41">
        <v>2025</v>
      </c>
      <c r="B475" s="117" t="s">
        <v>23</v>
      </c>
      <c r="C475" s="117" t="s">
        <v>174</v>
      </c>
      <c r="D475" s="117" t="s">
        <v>168</v>
      </c>
      <c r="E475" s="117" t="s">
        <v>24</v>
      </c>
      <c r="F475" s="117" t="s">
        <v>24</v>
      </c>
      <c r="G475">
        <v>39</v>
      </c>
      <c r="H475" s="117" t="s">
        <v>164</v>
      </c>
      <c r="I475" s="117" t="s">
        <v>279</v>
      </c>
      <c r="J475" s="186" t="s">
        <v>323</v>
      </c>
      <c r="K475">
        <v>44</v>
      </c>
      <c r="L475">
        <v>8147</v>
      </c>
      <c r="M475">
        <v>74444000</v>
      </c>
      <c r="N475">
        <v>7548720</v>
      </c>
      <c r="O475">
        <v>8175000</v>
      </c>
      <c r="P475">
        <v>0</v>
      </c>
      <c r="R475" s="16">
        <v>200000</v>
      </c>
      <c r="S475" s="16"/>
      <c r="T475">
        <f>SUM(N475:R475)</f>
        <v>15923720</v>
      </c>
      <c r="U475">
        <v>700000</v>
      </c>
      <c r="V475" s="1">
        <f>229*35000</f>
        <v>8015000</v>
      </c>
      <c r="W475" s="1">
        <v>0</v>
      </c>
      <c r="X475">
        <v>0</v>
      </c>
      <c r="Y475">
        <f>SUM(U475:X475)</f>
        <v>8715000</v>
      </c>
      <c r="Z475" s="12">
        <f>26%*M475</f>
        <v>19355440</v>
      </c>
      <c r="AA475">
        <f>257*25000</f>
        <v>6425000</v>
      </c>
      <c r="AB475">
        <v>0</v>
      </c>
      <c r="AC475">
        <v>0</v>
      </c>
      <c r="AD475">
        <v>125000</v>
      </c>
      <c r="AE475">
        <f>SUM(Z475:AD475)</f>
        <v>25905440</v>
      </c>
      <c r="AF475" s="12">
        <f>AE475-(T475+Y475)</f>
        <v>1266720</v>
      </c>
      <c r="AG47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2856720</v>
      </c>
      <c r="AH475">
        <f>IFERROR(AG475/(Z475+Table5[[#This Row],[Rider Penalty (Claim, Other Denda to Riders)]]),0)</f>
        <v>0.14664555831387793</v>
      </c>
      <c r="AI475" s="12">
        <f>AA475+AB475-V475</f>
        <v>-1590000</v>
      </c>
      <c r="AJ475">
        <f>IFERROR(AI475/(AA475+AB475),0)</f>
        <v>-0.24747081712062258</v>
      </c>
      <c r="AV475" s="109">
        <f>Table5[[#This Row],[Total Selling Comission/Sales (Weekly)]]/Table5[[#This Row],[Total Revenue Sharing % (Weekly)]]*100%</f>
        <v>0.39000508384206195</v>
      </c>
      <c r="AW475" s="109">
        <f>Table5[[#This Row],[Total Daily Incentive (Weekly)]]/Table5[[#This Row],[Total Revenue Sharing % (Weekly)]]*100%</f>
        <v>0.42236187862430408</v>
      </c>
      <c r="AX475" s="109">
        <f>(N475+O475)/Z475*100%</f>
        <v>0.81236696246636608</v>
      </c>
    </row>
    <row r="476" spans="1:50" hidden="1">
      <c r="A476" s="41">
        <v>2025</v>
      </c>
      <c r="B476" s="64" t="s">
        <v>23</v>
      </c>
      <c r="C476" s="64" t="s">
        <v>173</v>
      </c>
      <c r="D476" s="64" t="s">
        <v>168</v>
      </c>
      <c r="E476" s="64" t="s">
        <v>24</v>
      </c>
      <c r="F476" s="153" t="s">
        <v>282</v>
      </c>
      <c r="G476">
        <v>39</v>
      </c>
      <c r="H476" s="117" t="s">
        <v>164</v>
      </c>
      <c r="I476" s="117" t="s">
        <v>279</v>
      </c>
      <c r="J476" s="186" t="s">
        <v>323</v>
      </c>
      <c r="K476">
        <v>26</v>
      </c>
      <c r="L476">
        <v>4456</v>
      </c>
      <c r="M476">
        <v>40072000</v>
      </c>
      <c r="N476">
        <v>3387080</v>
      </c>
      <c r="O476">
        <v>4250000</v>
      </c>
      <c r="P476">
        <v>0</v>
      </c>
      <c r="R476">
        <v>0</v>
      </c>
      <c r="T476">
        <f t="shared" ref="T476:T478" si="102">SUM(N476:R476)</f>
        <v>7637080</v>
      </c>
      <c r="U476">
        <v>700000</v>
      </c>
      <c r="V476" s="1">
        <f>133*35000</f>
        <v>4655000</v>
      </c>
      <c r="W476" s="1">
        <v>0</v>
      </c>
      <c r="X476">
        <v>0</v>
      </c>
      <c r="Y476">
        <f t="shared" ref="Y476:Y478" si="103">SUM(U476:X476)</f>
        <v>5355000</v>
      </c>
      <c r="Z476" s="12">
        <f>26%*M476</f>
        <v>10418720</v>
      </c>
      <c r="AA476">
        <f>160*25000</f>
        <v>4000000</v>
      </c>
      <c r="AB476">
        <v>0</v>
      </c>
      <c r="AC476">
        <v>0</v>
      </c>
      <c r="AD476">
        <v>225000</v>
      </c>
      <c r="AE476">
        <f t="shared" ref="AE476:AE478" si="104">SUM(Z476:AD476)</f>
        <v>14643720</v>
      </c>
      <c r="AF476" s="12">
        <f t="shared" ref="AF476:AF478" si="105">AE476-(T476+Y476)</f>
        <v>1651640</v>
      </c>
      <c r="AG47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2306640</v>
      </c>
      <c r="AH476">
        <f>IFERROR(AG476/(Z476+Table5[[#This Row],[Rider Penalty (Claim, Other Denda to Riders)]]),0)</f>
        <v>0.21671370535865281</v>
      </c>
      <c r="AI476" s="12">
        <f t="shared" ref="AI476:AI478" si="106">AA476+AB476-V476</f>
        <v>-655000</v>
      </c>
      <c r="AJ476">
        <f t="shared" ref="AJ476:AJ478" si="107">IFERROR(AI476/(AA476+AB476),0)</f>
        <v>-0.16375000000000001</v>
      </c>
      <c r="AV476" s="109">
        <f>Table5[[#This Row],[Total Selling Comission/Sales (Weekly)]]/Table5[[#This Row],[Total Revenue Sharing % (Weekly)]]*100%</f>
        <v>0.32509559715588865</v>
      </c>
      <c r="AW476" s="109">
        <f>Table5[[#This Row],[Total Daily Incentive (Weekly)]]/Table5[[#This Row],[Total Revenue Sharing % (Weekly)]]*100%</f>
        <v>0.40791959089024371</v>
      </c>
      <c r="AX476" s="109">
        <f>(N476+O476)/Z476*100%</f>
        <v>0.7330151880461323</v>
      </c>
    </row>
    <row r="477" spans="1:50" hidden="1">
      <c r="A477" s="41">
        <v>2025</v>
      </c>
      <c r="B477" s="41" t="s">
        <v>177</v>
      </c>
      <c r="C477" s="41" t="s">
        <v>177</v>
      </c>
      <c r="D477" s="41" t="s">
        <v>168</v>
      </c>
      <c r="E477" s="41" t="s">
        <v>24</v>
      </c>
      <c r="F477" s="41" t="s">
        <v>24</v>
      </c>
      <c r="G477">
        <v>39</v>
      </c>
      <c r="H477" s="117" t="s">
        <v>164</v>
      </c>
      <c r="I477" s="117" t="s">
        <v>279</v>
      </c>
      <c r="J477" s="186" t="s">
        <v>323</v>
      </c>
      <c r="K477">
        <v>2</v>
      </c>
      <c r="L477">
        <v>327</v>
      </c>
      <c r="M477">
        <v>3663000</v>
      </c>
      <c r="N477" s="16">
        <v>312370</v>
      </c>
      <c r="O477" s="16">
        <v>507500</v>
      </c>
      <c r="P477">
        <v>0</v>
      </c>
      <c r="R477">
        <v>0</v>
      </c>
      <c r="T477">
        <f t="shared" si="102"/>
        <v>819870</v>
      </c>
      <c r="U477">
        <v>0</v>
      </c>
      <c r="V477" s="1">
        <f>14*35000</f>
        <v>490000</v>
      </c>
      <c r="W477" s="1">
        <v>0</v>
      </c>
      <c r="X477">
        <v>0</v>
      </c>
      <c r="Y477">
        <f t="shared" si="103"/>
        <v>490000</v>
      </c>
      <c r="Z477" s="12">
        <f>30%*M477</f>
        <v>1098900</v>
      </c>
      <c r="AA477">
        <f>14*25000</f>
        <v>350000</v>
      </c>
      <c r="AB477">
        <v>0</v>
      </c>
      <c r="AC477">
        <v>0</v>
      </c>
      <c r="AD477">
        <v>0</v>
      </c>
      <c r="AE477">
        <f t="shared" si="104"/>
        <v>1448900</v>
      </c>
      <c r="AF477" s="12">
        <f t="shared" si="105"/>
        <v>139030</v>
      </c>
      <c r="AG47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279030</v>
      </c>
      <c r="AH477">
        <f>IFERROR(AG477/(Z477+Table5[[#This Row],[Rider Penalty (Claim, Other Denda to Riders)]]),0)</f>
        <v>0.25391755391755394</v>
      </c>
      <c r="AI477" s="12">
        <f t="shared" si="106"/>
        <v>-140000</v>
      </c>
      <c r="AJ477">
        <f t="shared" si="107"/>
        <v>-0.4</v>
      </c>
      <c r="AV477" s="109"/>
      <c r="AW477" s="109"/>
      <c r="AX477" s="109"/>
    </row>
    <row r="478" spans="1:50" hidden="1">
      <c r="A478" s="41">
        <v>2025</v>
      </c>
      <c r="B478" s="179" t="s">
        <v>320</v>
      </c>
      <c r="C478" s="179" t="s">
        <v>276</v>
      </c>
      <c r="D478" s="179" t="s">
        <v>168</v>
      </c>
      <c r="E478" s="179" t="s">
        <v>24</v>
      </c>
      <c r="F478" s="179" t="s">
        <v>283</v>
      </c>
      <c r="G478">
        <v>39</v>
      </c>
      <c r="H478" s="117" t="s">
        <v>164</v>
      </c>
      <c r="I478" s="117" t="s">
        <v>279</v>
      </c>
      <c r="J478" s="186" t="s">
        <v>323</v>
      </c>
      <c r="K478">
        <v>5</v>
      </c>
      <c r="L478">
        <v>130</v>
      </c>
      <c r="M478">
        <v>851000</v>
      </c>
      <c r="N478" s="16">
        <v>170200</v>
      </c>
      <c r="O478" s="16">
        <v>780000</v>
      </c>
      <c r="P478">
        <v>0</v>
      </c>
      <c r="R478">
        <v>0</v>
      </c>
      <c r="T478">
        <f t="shared" si="102"/>
        <v>950200</v>
      </c>
      <c r="U478">
        <v>410000</v>
      </c>
      <c r="V478" s="1">
        <v>0</v>
      </c>
      <c r="W478" s="1">
        <v>0</v>
      </c>
      <c r="X478">
        <v>230000</v>
      </c>
      <c r="Y478">
        <f t="shared" si="103"/>
        <v>640000</v>
      </c>
      <c r="Z478" s="12">
        <f>Table5[[#This Row],[Total Selling (Clients Revenue)]]</f>
        <v>851000</v>
      </c>
      <c r="AA478">
        <v>0</v>
      </c>
      <c r="AB478">
        <v>0</v>
      </c>
      <c r="AC478">
        <v>0</v>
      </c>
      <c r="AD478">
        <v>0</v>
      </c>
      <c r="AE478">
        <f t="shared" si="104"/>
        <v>851000</v>
      </c>
      <c r="AF478" s="12">
        <f t="shared" si="105"/>
        <v>-739200</v>
      </c>
      <c r="AG47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-739200</v>
      </c>
      <c r="AH478">
        <f>IFERROR(AG478/(Z478+Table5[[#This Row],[Rider Penalty (Claim, Other Denda to Riders)]]),0)</f>
        <v>-0.86862514688601644</v>
      </c>
      <c r="AI478" s="12">
        <f t="shared" si="106"/>
        <v>0</v>
      </c>
      <c r="AJ478">
        <f t="shared" si="107"/>
        <v>0</v>
      </c>
      <c r="AV478" s="109"/>
      <c r="AW478" s="109"/>
      <c r="AX478" s="109"/>
    </row>
    <row r="479" spans="1:50" hidden="1">
      <c r="A479">
        <v>2025</v>
      </c>
      <c r="B479" t="s">
        <v>23</v>
      </c>
      <c r="C479" t="s">
        <v>23</v>
      </c>
      <c r="D479" t="s">
        <v>168</v>
      </c>
      <c r="E479" t="s">
        <v>28</v>
      </c>
      <c r="F479" t="s">
        <v>25</v>
      </c>
      <c r="G479">
        <v>39</v>
      </c>
      <c r="H479" s="117" t="s">
        <v>164</v>
      </c>
      <c r="I479" s="117" t="s">
        <v>279</v>
      </c>
      <c r="J479" s="186" t="s">
        <v>323</v>
      </c>
      <c r="K479">
        <v>251</v>
      </c>
      <c r="L479" s="16">
        <v>75797</v>
      </c>
      <c r="M479" s="16">
        <v>663928000</v>
      </c>
      <c r="N479" s="16">
        <v>77336230</v>
      </c>
      <c r="O479" s="16">
        <f>68365000+1050000</f>
        <v>69415000</v>
      </c>
      <c r="P479" s="16">
        <v>0</v>
      </c>
      <c r="Q479" s="16">
        <v>1100000</v>
      </c>
      <c r="R479" s="16">
        <f>4000000</f>
        <v>4000000</v>
      </c>
      <c r="S479" s="16"/>
      <c r="T479" s="16">
        <f>SUM(N479:R479)</f>
        <v>151851230</v>
      </c>
      <c r="U479" s="16">
        <v>3425000</v>
      </c>
      <c r="V479" s="14">
        <v>61495000</v>
      </c>
      <c r="W479" s="14">
        <v>0</v>
      </c>
      <c r="X479">
        <v>295448</v>
      </c>
      <c r="Y479" s="16">
        <f t="shared" ref="Y479:Y482" si="108">SUM(U479:X479)</f>
        <v>65215448</v>
      </c>
      <c r="Z479" s="16">
        <f>26%*M479</f>
        <v>172621280</v>
      </c>
      <c r="AA479" s="16">
        <f>35850000+2125000</f>
        <v>37975000</v>
      </c>
      <c r="AB479" s="16">
        <v>0</v>
      </c>
      <c r="AC479" s="16">
        <v>1425000</v>
      </c>
      <c r="AD479">
        <v>0</v>
      </c>
      <c r="AE479" s="16">
        <f>SUM(Z479:AD479)</f>
        <v>212021280</v>
      </c>
      <c r="AF479" s="16">
        <f>AE479-(T479+Y479)</f>
        <v>-5045398</v>
      </c>
      <c r="AG47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17049602</v>
      </c>
      <c r="AH479" s="16">
        <f>IFERROR(AG479/(Z479+Table5[[#This Row],[Rider Penalty (Claim, Other Denda to Riders)]]),0)</f>
        <v>9.8768830818541029E-2</v>
      </c>
      <c r="AI479" s="16">
        <f t="shared" ref="AI479:AI482" si="109">AA479+AB479-V479</f>
        <v>-23520000</v>
      </c>
      <c r="AJ479" s="16">
        <f t="shared" ref="AJ479:AJ482" si="110">IFERROR(AI479/(AA479+AB479),0)</f>
        <v>-0.61935483870967745</v>
      </c>
      <c r="AV479" s="109">
        <f>Table5[[#This Row],[Total Selling Comission/Sales (Weekly)]]/Table5[[#This Row],[Total Revenue Sharing % (Weekly)]]*100%</f>
        <v>0.44801098682618967</v>
      </c>
      <c r="AW479" s="109">
        <f>Table5[[#This Row],[Total Daily Incentive (Weekly)]]/Table5[[#This Row],[Total Revenue Sharing % (Weekly)]]*100%</f>
        <v>0.40212307544006159</v>
      </c>
      <c r="AX479" s="109">
        <f>(N479+O479)/Z479*100%</f>
        <v>0.85013406226625132</v>
      </c>
    </row>
    <row r="480" spans="1:50" hidden="1">
      <c r="A480">
        <v>2025</v>
      </c>
      <c r="B480" t="s">
        <v>23</v>
      </c>
      <c r="C480" t="s">
        <v>172</v>
      </c>
      <c r="D480" t="s">
        <v>168</v>
      </c>
      <c r="E480" t="s">
        <v>28</v>
      </c>
      <c r="F480" t="s">
        <v>31</v>
      </c>
      <c r="G480">
        <v>39</v>
      </c>
      <c r="H480" s="117" t="s">
        <v>164</v>
      </c>
      <c r="I480" s="117" t="s">
        <v>279</v>
      </c>
      <c r="J480" s="186" t="s">
        <v>323</v>
      </c>
      <c r="K480">
        <v>27</v>
      </c>
      <c r="L480" s="16">
        <v>7415</v>
      </c>
      <c r="M480" s="16">
        <v>65040000</v>
      </c>
      <c r="N480" s="16">
        <v>7267175</v>
      </c>
      <c r="O480" s="16">
        <f>7635000+140000</f>
        <v>7775000</v>
      </c>
      <c r="P480" s="16">
        <v>0</v>
      </c>
      <c r="Q480" s="16">
        <v>200000</v>
      </c>
      <c r="R480" s="16">
        <f>200000</f>
        <v>200000</v>
      </c>
      <c r="S480" s="16"/>
      <c r="T480" s="16">
        <f t="shared" ref="T480" si="111">SUM(N480:R480)</f>
        <v>15442175</v>
      </c>
      <c r="U480" s="16">
        <v>475000</v>
      </c>
      <c r="V480" s="14">
        <v>6615000</v>
      </c>
      <c r="W480" s="14">
        <v>0</v>
      </c>
      <c r="X480">
        <v>425600</v>
      </c>
      <c r="Y480" s="16">
        <f t="shared" si="108"/>
        <v>7515600</v>
      </c>
      <c r="Z480" s="16">
        <f>26%*M480</f>
        <v>16910400</v>
      </c>
      <c r="AA480" s="16">
        <f>3825000+250000</f>
        <v>4075000</v>
      </c>
      <c r="AB480" s="16">
        <v>0</v>
      </c>
      <c r="AC480" s="16">
        <v>225000</v>
      </c>
      <c r="AD480">
        <v>0</v>
      </c>
      <c r="AE480" s="16">
        <f t="shared" ref="AE480:AE482" si="112">SUM(Z480:AD480)</f>
        <v>21210400</v>
      </c>
      <c r="AF480" s="16">
        <f t="shared" ref="AF480:AF482" si="113">AE480-(T480+Y480)</f>
        <v>-1747375</v>
      </c>
      <c r="AG48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567625</v>
      </c>
      <c r="AH480" s="16">
        <f>IFERROR(AG480/(Z480+Table5[[#This Row],[Rider Penalty (Claim, Other Denda to Riders)]]),0)</f>
        <v>3.3566621723909548E-2</v>
      </c>
      <c r="AI480" s="16">
        <f t="shared" si="109"/>
        <v>-2540000</v>
      </c>
      <c r="AJ480" s="16">
        <f t="shared" si="110"/>
        <v>-0.62331288343558278</v>
      </c>
      <c r="AV480" s="109">
        <f>Table5[[#This Row],[Total Selling Comission/Sales (Weekly)]]/Table5[[#This Row],[Total Revenue Sharing % (Weekly)]]*100%</f>
        <v>0.42974589601665247</v>
      </c>
      <c r="AW480" s="109">
        <f>Table5[[#This Row],[Total Daily Incentive (Weekly)]]/Table5[[#This Row],[Total Revenue Sharing % (Weekly)]]*100%</f>
        <v>0.45977623237770837</v>
      </c>
      <c r="AX480" s="109">
        <f>(N480+O480)/Z480*100%</f>
        <v>0.88952212839436084</v>
      </c>
    </row>
    <row r="481" spans="1:50" hidden="1">
      <c r="A481">
        <v>2025</v>
      </c>
      <c r="B481" t="s">
        <v>176</v>
      </c>
      <c r="C481" t="s">
        <v>176</v>
      </c>
      <c r="D481" t="s">
        <v>169</v>
      </c>
      <c r="E481" t="s">
        <v>28</v>
      </c>
      <c r="F481" t="s">
        <v>28</v>
      </c>
      <c r="G481">
        <v>39</v>
      </c>
      <c r="H481" s="117" t="s">
        <v>164</v>
      </c>
      <c r="I481" s="117" t="s">
        <v>279</v>
      </c>
      <c r="J481" s="186" t="s">
        <v>323</v>
      </c>
      <c r="K481">
        <v>11</v>
      </c>
      <c r="L481" s="16">
        <v>1103</v>
      </c>
      <c r="M481" s="16">
        <v>10843000</v>
      </c>
      <c r="N481" s="16">
        <v>0</v>
      </c>
      <c r="O481" s="16">
        <v>0</v>
      </c>
      <c r="P481" s="16">
        <v>0</v>
      </c>
      <c r="Q481" s="16"/>
      <c r="R481" s="16">
        <v>0</v>
      </c>
      <c r="S481" s="16"/>
      <c r="T481" s="16">
        <v>0</v>
      </c>
      <c r="U481" s="16">
        <v>0</v>
      </c>
      <c r="V481" s="14">
        <v>0</v>
      </c>
      <c r="W481" s="14">
        <v>0</v>
      </c>
      <c r="X481" s="16">
        <v>0</v>
      </c>
      <c r="Y481" s="16">
        <v>0</v>
      </c>
      <c r="Z481" s="16">
        <f>7%*M481</f>
        <v>759010.00000000012</v>
      </c>
      <c r="AA481" s="16">
        <v>0</v>
      </c>
      <c r="AB481" s="16">
        <v>0</v>
      </c>
      <c r="AC481" s="16">
        <v>0</v>
      </c>
      <c r="AD481">
        <v>0</v>
      </c>
      <c r="AE481" s="16">
        <f t="shared" si="112"/>
        <v>759010.00000000012</v>
      </c>
      <c r="AF481" s="16">
        <f t="shared" si="113"/>
        <v>759010.00000000012</v>
      </c>
      <c r="AG48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759010.00000000012</v>
      </c>
      <c r="AH481" s="16">
        <f>IFERROR(AG481/(Z481+Table5[[#This Row],[Rider Penalty (Claim, Other Denda to Riders)]]),0)</f>
        <v>1</v>
      </c>
      <c r="AI481" s="16">
        <f t="shared" si="109"/>
        <v>0</v>
      </c>
      <c r="AJ481" s="16">
        <f t="shared" si="110"/>
        <v>0</v>
      </c>
      <c r="AV481" s="109"/>
      <c r="AW481" s="109"/>
      <c r="AX481" s="109"/>
    </row>
    <row r="482" spans="1:50" hidden="1">
      <c r="A482">
        <v>2025</v>
      </c>
      <c r="B482" t="s">
        <v>178</v>
      </c>
      <c r="C482" t="s">
        <v>178</v>
      </c>
      <c r="D482" t="s">
        <v>169</v>
      </c>
      <c r="E482" t="s">
        <v>28</v>
      </c>
      <c r="F482" t="s">
        <v>28</v>
      </c>
      <c r="G482">
        <v>39</v>
      </c>
      <c r="H482" s="117" t="s">
        <v>164</v>
      </c>
      <c r="I482" s="117" t="s">
        <v>279</v>
      </c>
      <c r="J482" s="186" t="s">
        <v>323</v>
      </c>
      <c r="K482">
        <v>6</v>
      </c>
      <c r="L482" s="16">
        <v>502</v>
      </c>
      <c r="M482" s="16">
        <v>1594000</v>
      </c>
      <c r="N482" s="16">
        <v>29400</v>
      </c>
      <c r="O482" s="16">
        <f>950000+190000</f>
        <v>1140000</v>
      </c>
      <c r="P482" s="16">
        <v>0</v>
      </c>
      <c r="Q482" s="16"/>
      <c r="R482" s="16">
        <v>0</v>
      </c>
      <c r="S482" s="16"/>
      <c r="T482" s="16">
        <f t="shared" ref="T482" si="114">SUM(N482:R482)</f>
        <v>1169400</v>
      </c>
      <c r="U482" s="16">
        <v>0</v>
      </c>
      <c r="V482" s="14">
        <v>665000</v>
      </c>
      <c r="W482" s="14">
        <v>0</v>
      </c>
      <c r="X482" s="16">
        <v>0</v>
      </c>
      <c r="Y482" s="16">
        <f t="shared" si="108"/>
        <v>665000</v>
      </c>
      <c r="Z482" s="16">
        <f>22%*M482</f>
        <v>350680</v>
      </c>
      <c r="AA482" s="16">
        <v>475000</v>
      </c>
      <c r="AB482" s="16">
        <v>632700</v>
      </c>
      <c r="AC482" s="16">
        <v>0</v>
      </c>
      <c r="AD482" s="16">
        <v>0</v>
      </c>
      <c r="AE482" s="16">
        <f t="shared" si="112"/>
        <v>1458380</v>
      </c>
      <c r="AF482" s="16">
        <f t="shared" si="113"/>
        <v>-376020</v>
      </c>
      <c r="AG48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-818720</v>
      </c>
      <c r="AH482" s="16">
        <f>IFERROR(AG482/(Z482+Table5[[#This Row],[Rider Penalty (Claim, Other Denda to Riders)]]),0)</f>
        <v>-2.3346640812136421</v>
      </c>
      <c r="AI482" s="16">
        <f t="shared" si="109"/>
        <v>442700</v>
      </c>
      <c r="AJ482" s="16">
        <f t="shared" si="110"/>
        <v>0.39965694682675817</v>
      </c>
      <c r="AV482" s="109"/>
      <c r="AW482" s="109"/>
      <c r="AX482" s="109"/>
    </row>
    <row r="483" spans="1:50" hidden="1">
      <c r="A483">
        <v>2025</v>
      </c>
      <c r="B483" t="s">
        <v>23</v>
      </c>
      <c r="C483" t="s">
        <v>23</v>
      </c>
      <c r="D483" t="s">
        <v>168</v>
      </c>
      <c r="E483" t="s">
        <v>28</v>
      </c>
      <c r="F483" t="s">
        <v>25</v>
      </c>
      <c r="G483">
        <v>40</v>
      </c>
      <c r="H483" t="s">
        <v>164</v>
      </c>
      <c r="I483" t="s">
        <v>280</v>
      </c>
      <c r="J483" s="174" t="s">
        <v>408</v>
      </c>
      <c r="K483" s="16">
        <f>246-22</f>
        <v>224</v>
      </c>
      <c r="L483" s="16">
        <v>15789</v>
      </c>
      <c r="M483" s="16">
        <v>137866000</v>
      </c>
      <c r="N483" s="16">
        <f>2/7*73102530</f>
        <v>20886437.142857142</v>
      </c>
      <c r="O483" s="16">
        <f>2/7*66050000</f>
        <v>18871428.571428571</v>
      </c>
      <c r="P483" s="16">
        <v>0</v>
      </c>
      <c r="Q483" s="16"/>
      <c r="R483" s="16">
        <v>0</v>
      </c>
      <c r="S483" s="16"/>
      <c r="T483" s="16">
        <f t="shared" ref="T483" si="115">SUM(N483:R483)</f>
        <v>39757865.714285716</v>
      </c>
      <c r="U483" s="16">
        <v>1250000</v>
      </c>
      <c r="V483" s="14">
        <f>2/7*60270000</f>
        <v>17220000</v>
      </c>
      <c r="W483" s="14">
        <v>0</v>
      </c>
      <c r="X483" s="16">
        <v>83901.288888888899</v>
      </c>
      <c r="Y483" s="16">
        <f t="shared" ref="Y483:Y489" si="116">SUM(U483:X483)</f>
        <v>18553901.28888889</v>
      </c>
      <c r="Z483" s="16">
        <f>26%*M483</f>
        <v>35845160</v>
      </c>
      <c r="AA483" s="14">
        <f>2/7*39400000</f>
        <v>11257142.857142856</v>
      </c>
      <c r="AB483" s="16">
        <v>0</v>
      </c>
      <c r="AC483" s="16">
        <f>2/7*1675000</f>
        <v>478571.42857142852</v>
      </c>
      <c r="AD483" s="16">
        <v>0</v>
      </c>
      <c r="AE483" s="16">
        <f t="shared" ref="AE483:AE489" si="117">SUM(Z483:AD483)</f>
        <v>47580874.285714284</v>
      </c>
      <c r="AF483" s="12">
        <f t="shared" ref="AF483:AF489" si="118">AE483-(T483+Y483)</f>
        <v>-10730892.717460319</v>
      </c>
      <c r="AG48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-5246607.0031746048</v>
      </c>
      <c r="AH483">
        <f>IFERROR(AG483/(Z483+Table5[[#This Row],[Rider Penalty (Claim, Other Denda to Riders)]]),0)</f>
        <v>-0.1463686311673488</v>
      </c>
      <c r="AI483" s="12">
        <f t="shared" ref="AI483:AI489" si="119">AA483+AB483-V483</f>
        <v>-5962857.1428571437</v>
      </c>
      <c r="AJ483">
        <f t="shared" ref="AJ483:AJ489" si="120">IFERROR(AI483/(AA483+AB483),0)</f>
        <v>-0.52969543147208131</v>
      </c>
      <c r="AV483" s="109">
        <f>Table5[[#This Row],[Total Selling Comission/Sales (Weekly)]]/Table5[[#This Row],[Total Revenue Sharing % (Weekly)]]*100%</f>
        <v>0.58268500246217736</v>
      </c>
      <c r="AW483" s="109">
        <f>Table5[[#This Row],[Total Daily Incentive (Weekly)]]/Table5[[#This Row],[Total Revenue Sharing % (Weekly)]]*100%</f>
        <v>0.52647075843512958</v>
      </c>
      <c r="AX483" s="109">
        <f>(N483+O483)/Z483*100%</f>
        <v>1.1091557608973071</v>
      </c>
    </row>
    <row r="484" spans="1:50" hidden="1">
      <c r="A484">
        <v>2025</v>
      </c>
      <c r="B484" t="s">
        <v>23</v>
      </c>
      <c r="C484" t="s">
        <v>23</v>
      </c>
      <c r="D484" t="s">
        <v>168</v>
      </c>
      <c r="E484" t="s">
        <v>28</v>
      </c>
      <c r="F484" t="s">
        <v>25</v>
      </c>
      <c r="G484">
        <v>40</v>
      </c>
      <c r="H484" t="s">
        <v>165</v>
      </c>
      <c r="I484" t="s">
        <v>275</v>
      </c>
      <c r="J484" s="174" t="s">
        <v>409</v>
      </c>
      <c r="K484" s="16">
        <f>246-3</f>
        <v>243</v>
      </c>
      <c r="L484" s="16">
        <v>57342</v>
      </c>
      <c r="M484" s="16">
        <v>503430000</v>
      </c>
      <c r="N484" s="16">
        <f>5/7*73102530</f>
        <v>52216092.857142858</v>
      </c>
      <c r="O484" s="16">
        <f>5/7*66050000</f>
        <v>47178571.428571433</v>
      </c>
      <c r="P484" s="16">
        <v>0</v>
      </c>
      <c r="Q484" s="16"/>
      <c r="R484" s="16">
        <v>0</v>
      </c>
      <c r="S484" s="16"/>
      <c r="T484" s="16">
        <f>SUM(N484:R484)</f>
        <v>99394664.285714298</v>
      </c>
      <c r="U484" s="16">
        <v>2075000</v>
      </c>
      <c r="V484" s="14">
        <f>5/7*60270000</f>
        <v>43050000</v>
      </c>
      <c r="W484" s="14">
        <v>625000</v>
      </c>
      <c r="X484" s="16">
        <v>202986.9892473119</v>
      </c>
      <c r="Y484" s="16">
        <f>SUM(U484:X484)</f>
        <v>45952986.989247315</v>
      </c>
      <c r="Z484" s="16">
        <f>26%*M484</f>
        <v>130891800</v>
      </c>
      <c r="AA484" s="14">
        <f>5/7*39400000</f>
        <v>28142857.142857142</v>
      </c>
      <c r="AB484" s="16">
        <v>0</v>
      </c>
      <c r="AC484" s="16">
        <f>5/7*1675000</f>
        <v>1196428.5714285714</v>
      </c>
      <c r="AD484" s="16">
        <v>0</v>
      </c>
      <c r="AE484" s="16">
        <f>SUM(Z484:AD484)</f>
        <v>160231085.7142857</v>
      </c>
      <c r="AF484" s="12">
        <f>AE484-(T484+Y484)</f>
        <v>14883434.439324081</v>
      </c>
      <c r="AG48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28594148.725038391</v>
      </c>
      <c r="AH484">
        <f>IFERROR(AG484/(Z484+Table5[[#This Row],[Rider Penalty (Claim, Other Denda to Riders)]]),0)</f>
        <v>0.21845637942971516</v>
      </c>
      <c r="AI484" s="12">
        <f>AA484+AB484-V484</f>
        <v>-14907142.857142858</v>
      </c>
      <c r="AJ484">
        <f>IFERROR(AI484/(AA484+AB484),0)</f>
        <v>-0.52969543147208131</v>
      </c>
      <c r="AV484" s="109">
        <f>Table5[[#This Row],[Total Selling Comission/Sales (Weekly)]]/Table5[[#This Row],[Total Revenue Sharing % (Weekly)]]*100%</f>
        <v>0.39892562297365347</v>
      </c>
      <c r="AW484" s="109">
        <f>Table5[[#This Row],[Total Daily Incentive (Weekly)]]/Table5[[#This Row],[Total Revenue Sharing % (Weekly)]]*100%</f>
        <v>0.36043947312644053</v>
      </c>
      <c r="AX484" s="109">
        <f>(N484+O484)/Z484*100%</f>
        <v>0.75936509610009406</v>
      </c>
    </row>
    <row r="485" spans="1:50" hidden="1">
      <c r="A485">
        <v>2025</v>
      </c>
      <c r="B485" t="s">
        <v>23</v>
      </c>
      <c r="C485" t="s">
        <v>172</v>
      </c>
      <c r="D485" t="s">
        <v>168</v>
      </c>
      <c r="E485" t="s">
        <v>28</v>
      </c>
      <c r="F485" t="s">
        <v>31</v>
      </c>
      <c r="G485">
        <v>40</v>
      </c>
      <c r="H485" t="s">
        <v>164</v>
      </c>
      <c r="I485" t="s">
        <v>280</v>
      </c>
      <c r="J485" s="174" t="s">
        <v>408</v>
      </c>
      <c r="K485" s="16">
        <v>24</v>
      </c>
      <c r="L485" s="16">
        <v>1592</v>
      </c>
      <c r="M485" s="16">
        <v>13950000</v>
      </c>
      <c r="N485" s="16">
        <f>2/7*5930090</f>
        <v>1694311.4285714284</v>
      </c>
      <c r="O485" s="16">
        <f>2/7*6405000</f>
        <v>1830000</v>
      </c>
      <c r="P485" s="16">
        <v>0</v>
      </c>
      <c r="Q485" s="16"/>
      <c r="R485" s="16">
        <v>0</v>
      </c>
      <c r="S485" s="16"/>
      <c r="T485" s="16">
        <f>SUM(N485:R485)</f>
        <v>3524311.4285714282</v>
      </c>
      <c r="U485" s="16">
        <v>150000</v>
      </c>
      <c r="V485" s="14">
        <f>2/7*5880000</f>
        <v>1680000</v>
      </c>
      <c r="W485" s="14">
        <v>0</v>
      </c>
      <c r="X485" s="16">
        <v>121600</v>
      </c>
      <c r="Y485" s="16">
        <f t="shared" si="116"/>
        <v>1951600</v>
      </c>
      <c r="Z485" s="16">
        <f>26%*M485</f>
        <v>3627000</v>
      </c>
      <c r="AA485" s="16">
        <f>2/7*3775000</f>
        <v>1078571.4285714284</v>
      </c>
      <c r="AB485" s="16">
        <v>0</v>
      </c>
      <c r="AC485" s="16">
        <f>225000*2/7</f>
        <v>64285.714285714283</v>
      </c>
      <c r="AD485" s="16">
        <v>0</v>
      </c>
      <c r="AE485" s="16">
        <f t="shared" si="117"/>
        <v>4769857.1428571427</v>
      </c>
      <c r="AF485" s="12">
        <f t="shared" si="118"/>
        <v>-706054.28571428545</v>
      </c>
      <c r="AG48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-168911.42857142817</v>
      </c>
      <c r="AH485">
        <f>IFERROR(AG485/(Z485+Table5[[#This Row],[Rider Penalty (Claim, Other Denda to Riders)]]),0)</f>
        <v>-4.6570562054432912E-2</v>
      </c>
      <c r="AI485" s="12">
        <f t="shared" si="119"/>
        <v>-601428.57142857159</v>
      </c>
      <c r="AJ485">
        <f t="shared" si="120"/>
        <v>-0.55761589403973533</v>
      </c>
      <c r="AV485" s="109">
        <f>Table5[[#This Row],[Total Selling Comission/Sales (Weekly)]]/Table5[[#This Row],[Total Revenue Sharing % (Weekly)]]*100%</f>
        <v>0.46713852455787935</v>
      </c>
      <c r="AW485" s="109">
        <f>Table5[[#This Row],[Total Daily Incentive (Weekly)]]/Table5[[#This Row],[Total Revenue Sharing % (Weekly)]]*100%</f>
        <v>0.50454921422663357</v>
      </c>
      <c r="AX485" s="109">
        <f>(N485+O485)/Z485*100%</f>
        <v>0.97168773878451287</v>
      </c>
    </row>
    <row r="486" spans="1:50" hidden="1">
      <c r="A486">
        <v>2025</v>
      </c>
      <c r="B486" t="s">
        <v>23</v>
      </c>
      <c r="C486" t="s">
        <v>172</v>
      </c>
      <c r="D486" t="s">
        <v>168</v>
      </c>
      <c r="E486" t="s">
        <v>28</v>
      </c>
      <c r="F486" t="s">
        <v>31</v>
      </c>
      <c r="G486">
        <v>40</v>
      </c>
      <c r="H486" t="s">
        <v>165</v>
      </c>
      <c r="I486" t="s">
        <v>275</v>
      </c>
      <c r="J486" s="174" t="s">
        <v>409</v>
      </c>
      <c r="K486" s="16">
        <v>23</v>
      </c>
      <c r="L486" s="16">
        <v>4844</v>
      </c>
      <c r="M486" s="16">
        <v>42314000</v>
      </c>
      <c r="N486" s="16">
        <f>5/7*5930090</f>
        <v>4235778.5714285718</v>
      </c>
      <c r="O486" s="16">
        <f>5/7*6405000</f>
        <v>4575000</v>
      </c>
      <c r="P486" s="16">
        <v>0</v>
      </c>
      <c r="Q486" s="16"/>
      <c r="R486" s="16">
        <v>0</v>
      </c>
      <c r="S486" s="16"/>
      <c r="T486" s="16">
        <f>SUM(N486:R486)</f>
        <v>8810778.5714285709</v>
      </c>
      <c r="U486" s="16">
        <v>225000</v>
      </c>
      <c r="V486" s="14">
        <f>5/7*5880000</f>
        <v>4200000</v>
      </c>
      <c r="W486" s="14">
        <v>125000</v>
      </c>
      <c r="X486" s="16">
        <v>294193.54838709679</v>
      </c>
      <c r="Y486" s="16">
        <f>SUM(U486:X486)</f>
        <v>4844193.5483870972</v>
      </c>
      <c r="Z486" s="16">
        <f>26%*M486</f>
        <v>11001640</v>
      </c>
      <c r="AA486" s="16">
        <f>5/7*3775000</f>
        <v>2696428.5714285714</v>
      </c>
      <c r="AB486" s="16">
        <v>0</v>
      </c>
      <c r="AC486" s="16">
        <f>225000*5/7</f>
        <v>160714.28571428571</v>
      </c>
      <c r="AD486" s="16">
        <v>0</v>
      </c>
      <c r="AE486" s="16">
        <f>SUM(Z486:AD486)</f>
        <v>13858782.857142856</v>
      </c>
      <c r="AF486" s="12">
        <f>AE486-(T486+Y486)</f>
        <v>203810.73732718825</v>
      </c>
      <c r="AG48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1546667.8801843324</v>
      </c>
      <c r="AH486">
        <f>IFERROR(AG486/(Z486+Table5[[#This Row],[Rider Penalty (Claim, Other Denda to Riders)]]),0)</f>
        <v>0.14058521094894327</v>
      </c>
      <c r="AI486" s="12">
        <f>AA486+AB486-V486</f>
        <v>-1503571.4285714286</v>
      </c>
      <c r="AJ486">
        <f>IFERROR(AI486/(AA486+AB486),0)</f>
        <v>-0.5576158940397351</v>
      </c>
      <c r="AV486" s="109">
        <f>Table5[[#This Row],[Total Selling Comission/Sales (Weekly)]]/Table5[[#This Row],[Total Revenue Sharing % (Weekly)]]*100%</f>
        <v>0.38501337722635642</v>
      </c>
      <c r="AW486" s="109">
        <f>Table5[[#This Row],[Total Daily Incentive (Weekly)]]/Table5[[#This Row],[Total Revenue Sharing % (Weekly)]]*100%</f>
        <v>0.41584709188811853</v>
      </c>
      <c r="AX486" s="109">
        <f>(N486+O486)/Z486*100%</f>
        <v>0.80086046911447484</v>
      </c>
    </row>
    <row r="487" spans="1:50" hidden="1">
      <c r="A487">
        <v>2025</v>
      </c>
      <c r="B487" t="s">
        <v>176</v>
      </c>
      <c r="C487" t="s">
        <v>176</v>
      </c>
      <c r="D487" t="s">
        <v>169</v>
      </c>
      <c r="E487" t="s">
        <v>28</v>
      </c>
      <c r="F487" t="s">
        <v>28</v>
      </c>
      <c r="G487">
        <v>40</v>
      </c>
      <c r="H487" t="s">
        <v>164</v>
      </c>
      <c r="I487" t="s">
        <v>280</v>
      </c>
      <c r="J487" s="174" t="s">
        <v>408</v>
      </c>
      <c r="K487" s="16">
        <v>11</v>
      </c>
      <c r="L487" s="16">
        <v>335</v>
      </c>
      <c r="M487" s="16">
        <v>3253000</v>
      </c>
      <c r="N487" s="16">
        <v>0</v>
      </c>
      <c r="O487" s="16">
        <v>0</v>
      </c>
      <c r="P487" s="16">
        <v>0</v>
      </c>
      <c r="Q487" s="16"/>
      <c r="R487" s="16">
        <v>0</v>
      </c>
      <c r="S487" s="16"/>
      <c r="T487" s="16">
        <v>0</v>
      </c>
      <c r="U487" s="16">
        <v>0</v>
      </c>
      <c r="V487" s="14">
        <v>0</v>
      </c>
      <c r="W487" s="14">
        <v>0</v>
      </c>
      <c r="X487" s="16">
        <v>0</v>
      </c>
      <c r="Y487" s="16">
        <v>0</v>
      </c>
      <c r="Z487" s="16">
        <f>7%*M487</f>
        <v>227710.00000000003</v>
      </c>
      <c r="AA487" s="16">
        <v>0</v>
      </c>
      <c r="AB487" s="16">
        <v>0</v>
      </c>
      <c r="AC487" s="16">
        <v>0</v>
      </c>
      <c r="AD487" s="16">
        <v>0</v>
      </c>
      <c r="AE487" s="16">
        <f t="shared" si="117"/>
        <v>227710.00000000003</v>
      </c>
      <c r="AF487" s="12">
        <f t="shared" si="118"/>
        <v>227710.00000000003</v>
      </c>
      <c r="AG48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227710.00000000003</v>
      </c>
      <c r="AH487">
        <f>IFERROR(AG487/(Z487+Table5[[#This Row],[Rider Penalty (Claim, Other Denda to Riders)]]),0)</f>
        <v>1</v>
      </c>
      <c r="AI487" s="12">
        <f t="shared" si="119"/>
        <v>0</v>
      </c>
      <c r="AJ487">
        <f t="shared" si="120"/>
        <v>0</v>
      </c>
      <c r="AV487" s="109"/>
      <c r="AW487" s="109"/>
      <c r="AX487" s="109"/>
    </row>
    <row r="488" spans="1:50" hidden="1">
      <c r="A488">
        <v>2025</v>
      </c>
      <c r="B488" t="s">
        <v>176</v>
      </c>
      <c r="C488" t="s">
        <v>176</v>
      </c>
      <c r="D488" t="s">
        <v>169</v>
      </c>
      <c r="E488" t="s">
        <v>28</v>
      </c>
      <c r="F488" t="s">
        <v>28</v>
      </c>
      <c r="G488">
        <v>40</v>
      </c>
      <c r="H488" t="s">
        <v>165</v>
      </c>
      <c r="I488" t="s">
        <v>275</v>
      </c>
      <c r="J488" s="174" t="s">
        <v>409</v>
      </c>
      <c r="K488" s="16">
        <v>13</v>
      </c>
      <c r="L488" s="16">
        <v>876</v>
      </c>
      <c r="M488" s="16">
        <v>8614000</v>
      </c>
      <c r="N488" s="16">
        <v>0</v>
      </c>
      <c r="O488" s="16">
        <v>0</v>
      </c>
      <c r="P488" s="16">
        <v>0</v>
      </c>
      <c r="Q488" s="16"/>
      <c r="R488" s="16">
        <v>0</v>
      </c>
      <c r="S488" s="16"/>
      <c r="T488" s="16">
        <f>SUM(N488:R488)</f>
        <v>0</v>
      </c>
      <c r="U488" s="16">
        <v>0</v>
      </c>
      <c r="V488" s="14">
        <v>0</v>
      </c>
      <c r="W488" s="14">
        <v>0</v>
      </c>
      <c r="X488" s="16">
        <v>0</v>
      </c>
      <c r="Y488" s="16">
        <f>SUM(U488:X488)</f>
        <v>0</v>
      </c>
      <c r="Z488" s="16">
        <f>7%*M488</f>
        <v>602980</v>
      </c>
      <c r="AA488" s="16">
        <v>0</v>
      </c>
      <c r="AB488" s="16">
        <v>0</v>
      </c>
      <c r="AC488" s="16">
        <v>0</v>
      </c>
      <c r="AD488" s="16">
        <v>0</v>
      </c>
      <c r="AE488" s="16">
        <f>SUM(Z488:AD488)</f>
        <v>602980</v>
      </c>
      <c r="AF488" s="12">
        <f>AE488-(T488+Y488)</f>
        <v>602980</v>
      </c>
      <c r="AG48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602980</v>
      </c>
      <c r="AH488">
        <f>IFERROR(AG488/(Z488+Table5[[#This Row],[Rider Penalty (Claim, Other Denda to Riders)]]),0)</f>
        <v>1</v>
      </c>
      <c r="AI488" s="12">
        <f>AA488+AB488-V488</f>
        <v>0</v>
      </c>
      <c r="AJ488">
        <f>IFERROR(AI488/(AA488+AB488),0)</f>
        <v>0</v>
      </c>
      <c r="AV488" s="109"/>
      <c r="AW488" s="109"/>
      <c r="AX488" s="109"/>
    </row>
    <row r="489" spans="1:50" hidden="1">
      <c r="A489">
        <v>2025</v>
      </c>
      <c r="B489" t="s">
        <v>178</v>
      </c>
      <c r="C489" t="s">
        <v>178</v>
      </c>
      <c r="D489" t="s">
        <v>169</v>
      </c>
      <c r="E489" t="s">
        <v>28</v>
      </c>
      <c r="F489" t="s">
        <v>28</v>
      </c>
      <c r="G489">
        <v>40</v>
      </c>
      <c r="H489" t="s">
        <v>164</v>
      </c>
      <c r="I489" t="s">
        <v>280</v>
      </c>
      <c r="J489" s="174" t="s">
        <v>408</v>
      </c>
      <c r="K489" s="16">
        <v>3</v>
      </c>
      <c r="L489" s="16">
        <v>105</v>
      </c>
      <c r="M489" s="16">
        <v>328002</v>
      </c>
      <c r="N489" s="16">
        <v>0</v>
      </c>
      <c r="O489" s="16">
        <f>2/7*700000</f>
        <v>200000</v>
      </c>
      <c r="P489" s="16">
        <v>0</v>
      </c>
      <c r="Q489" s="16"/>
      <c r="R489" s="16">
        <v>0</v>
      </c>
      <c r="S489" s="16"/>
      <c r="T489" s="16">
        <f>SUM(N489:R489)</f>
        <v>200000</v>
      </c>
      <c r="U489" s="16">
        <v>0</v>
      </c>
      <c r="V489" s="14">
        <f>2/7*735000</f>
        <v>210000</v>
      </c>
      <c r="W489" s="14">
        <v>0</v>
      </c>
      <c r="X489" s="16">
        <v>0</v>
      </c>
      <c r="Y489" s="16">
        <f t="shared" si="116"/>
        <v>210000</v>
      </c>
      <c r="Z489" s="16">
        <f>22%*M489</f>
        <v>72160.44</v>
      </c>
      <c r="AA489" s="14">
        <f>2/7*450000</f>
        <v>128571.42857142857</v>
      </c>
      <c r="AB489" s="16">
        <f>2/7*466200</f>
        <v>133200</v>
      </c>
      <c r="AC489" s="16">
        <v>0</v>
      </c>
      <c r="AD489" s="16">
        <v>0</v>
      </c>
      <c r="AE489" s="16">
        <f t="shared" si="117"/>
        <v>333931.86857142858</v>
      </c>
      <c r="AF489" s="12">
        <f t="shared" si="118"/>
        <v>-76068.131428571418</v>
      </c>
      <c r="AG48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-127839.56</v>
      </c>
      <c r="AH489">
        <f>IFERROR(AG489/(Z489+Table5[[#This Row],[Rider Penalty (Claim, Other Denda to Riders)]]),0)</f>
        <v>-1.7716017252666418</v>
      </c>
      <c r="AI489" s="12">
        <f t="shared" si="119"/>
        <v>51771.42857142858</v>
      </c>
      <c r="AJ489">
        <f t="shared" si="120"/>
        <v>0.19777341191879505</v>
      </c>
      <c r="AV489" s="109"/>
      <c r="AW489" s="109"/>
      <c r="AX489" s="109"/>
    </row>
    <row r="490" spans="1:50" hidden="1">
      <c r="A490">
        <v>2025</v>
      </c>
      <c r="B490" t="s">
        <v>178</v>
      </c>
      <c r="C490" t="s">
        <v>178</v>
      </c>
      <c r="D490" t="s">
        <v>169</v>
      </c>
      <c r="E490" t="s">
        <v>28</v>
      </c>
      <c r="F490" t="s">
        <v>28</v>
      </c>
      <c r="G490">
        <v>40</v>
      </c>
      <c r="H490" t="s">
        <v>165</v>
      </c>
      <c r="I490" t="s">
        <v>275</v>
      </c>
      <c r="J490" s="174" t="s">
        <v>409</v>
      </c>
      <c r="K490" s="16">
        <v>3</v>
      </c>
      <c r="L490" s="16">
        <v>451</v>
      </c>
      <c r="M490" s="16">
        <v>1434000</v>
      </c>
      <c r="N490" s="16">
        <v>0</v>
      </c>
      <c r="O490" s="16">
        <f>5/7*700000</f>
        <v>500000</v>
      </c>
      <c r="P490" s="16">
        <v>0</v>
      </c>
      <c r="Q490" s="16"/>
      <c r="R490" s="16">
        <v>0</v>
      </c>
      <c r="S490" s="16"/>
      <c r="T490" s="16">
        <f>SUM(N490:R490)</f>
        <v>500000</v>
      </c>
      <c r="U490" s="16">
        <v>0</v>
      </c>
      <c r="V490" s="14">
        <f>5/7*735000</f>
        <v>525000</v>
      </c>
      <c r="W490" s="14">
        <v>0</v>
      </c>
      <c r="X490" s="16">
        <v>0</v>
      </c>
      <c r="Y490" s="16">
        <f>SUM(U490:X490)</f>
        <v>525000</v>
      </c>
      <c r="Z490" s="16">
        <f>22%*M490</f>
        <v>315480</v>
      </c>
      <c r="AA490" s="14">
        <f>5/7*450000</f>
        <v>321428.57142857142</v>
      </c>
      <c r="AB490" s="16">
        <f>5/7*466200</f>
        <v>333000</v>
      </c>
      <c r="AC490" s="16">
        <v>0</v>
      </c>
      <c r="AD490" s="16">
        <v>0</v>
      </c>
      <c r="AE490" s="16">
        <f>SUM(Z490:AD490)</f>
        <v>969908.57142857136</v>
      </c>
      <c r="AF490" s="12">
        <f>AE490-(T490+Y490)</f>
        <v>-55091.428571428638</v>
      </c>
      <c r="AG49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-184520</v>
      </c>
      <c r="AH490">
        <f>IFERROR(AG490/(Z490+Table5[[#This Row],[Rider Penalty (Claim, Other Denda to Riders)]]),0)</f>
        <v>-0.5848865221250158</v>
      </c>
      <c r="AI490" s="12">
        <f>AA490+AB490-V490</f>
        <v>129428.57142857136</v>
      </c>
      <c r="AJ490">
        <f>IFERROR(AI490/(AA490+AB490),0)</f>
        <v>0.19777341191879494</v>
      </c>
      <c r="AV490" s="109"/>
      <c r="AW490" s="109"/>
      <c r="AX490" s="109"/>
    </row>
    <row r="491" spans="1:50" hidden="1">
      <c r="A491" s="41">
        <v>2025</v>
      </c>
      <c r="B491" s="117" t="s">
        <v>23</v>
      </c>
      <c r="C491" s="117" t="s">
        <v>174</v>
      </c>
      <c r="D491" s="117" t="s">
        <v>168</v>
      </c>
      <c r="E491" s="117" t="s">
        <v>24</v>
      </c>
      <c r="F491" s="117" t="s">
        <v>24</v>
      </c>
      <c r="G491">
        <v>40</v>
      </c>
      <c r="H491" t="s">
        <v>164</v>
      </c>
      <c r="I491" t="s">
        <v>280</v>
      </c>
      <c r="J491" s="174" t="s">
        <v>408</v>
      </c>
      <c r="K491">
        <v>44</v>
      </c>
      <c r="L491">
        <v>1985</v>
      </c>
      <c r="M491">
        <v>21910000</v>
      </c>
      <c r="N491">
        <v>1135450</v>
      </c>
      <c r="O491">
        <v>2600000</v>
      </c>
      <c r="P491">
        <v>0</v>
      </c>
      <c r="R491">
        <v>0</v>
      </c>
      <c r="T491">
        <f t="shared" ref="T491:T494" si="121">SUM(N491:R491)</f>
        <v>3735450</v>
      </c>
      <c r="U491">
        <v>200000</v>
      </c>
      <c r="V491" s="76">
        <f>72*35000</f>
        <v>2520000</v>
      </c>
      <c r="W491" s="76">
        <v>0</v>
      </c>
      <c r="X491">
        <v>0</v>
      </c>
      <c r="Y491">
        <f t="shared" ref="Y491:Y494" si="122">SUM(U491:X491)</f>
        <v>2720000</v>
      </c>
      <c r="Z491" s="12">
        <f>26%*M491</f>
        <v>5696600</v>
      </c>
      <c r="AA491">
        <f>72*25000</f>
        <v>1800000</v>
      </c>
      <c r="AB491">
        <v>0</v>
      </c>
      <c r="AC491">
        <v>0</v>
      </c>
      <c r="AD491">
        <v>25000</v>
      </c>
      <c r="AE491">
        <f t="shared" ref="AE491:AE494" si="123">SUM(Z491:AD491)</f>
        <v>7521600</v>
      </c>
      <c r="AF491" s="12">
        <f t="shared" ref="AF491:AF494" si="124">AE491-(T491+Y491)</f>
        <v>1066150</v>
      </c>
      <c r="AG49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1786150</v>
      </c>
      <c r="AH491">
        <f>IFERROR(AG491/(Z491+Table5[[#This Row],[Rider Penalty (Claim, Other Denda to Riders)]]),0)</f>
        <v>0.31217666387024606</v>
      </c>
      <c r="AI491" s="12">
        <f t="shared" ref="AI491:AI494" si="125">AA491+AB491-V491</f>
        <v>-720000</v>
      </c>
      <c r="AJ491">
        <f t="shared" ref="AJ491:AJ494" si="126">IFERROR(AI491/(AA491+AB491),0)</f>
        <v>-0.4</v>
      </c>
      <c r="AV491" s="109">
        <f>Table5[[#This Row],[Total Selling Comission/Sales (Weekly)]]/Table5[[#This Row],[Total Revenue Sharing % (Weekly)]]*100%</f>
        <v>0.1993206474037145</v>
      </c>
      <c r="AW491" s="109">
        <f>Table5[[#This Row],[Total Daily Incentive (Weekly)]]/Table5[[#This Row],[Total Revenue Sharing % (Weekly)]]*100%</f>
        <v>0.45641259698767683</v>
      </c>
      <c r="AX491" s="109">
        <f>(N491+O491)/Z491*100%</f>
        <v>0.65573324439139136</v>
      </c>
    </row>
    <row r="492" spans="1:50" hidden="1">
      <c r="A492" s="41">
        <v>2025</v>
      </c>
      <c r="B492" s="64" t="s">
        <v>23</v>
      </c>
      <c r="C492" s="64" t="s">
        <v>173</v>
      </c>
      <c r="D492" s="64" t="s">
        <v>168</v>
      </c>
      <c r="E492" s="64" t="s">
        <v>24</v>
      </c>
      <c r="F492" s="153" t="s">
        <v>282</v>
      </c>
      <c r="G492">
        <v>40</v>
      </c>
      <c r="H492" t="s">
        <v>164</v>
      </c>
      <c r="I492" t="s">
        <v>280</v>
      </c>
      <c r="J492" s="174" t="s">
        <v>408</v>
      </c>
      <c r="K492">
        <v>18</v>
      </c>
      <c r="L492">
        <v>1152</v>
      </c>
      <c r="M492">
        <v>8956000</v>
      </c>
      <c r="N492">
        <v>447800</v>
      </c>
      <c r="O492">
        <v>925000</v>
      </c>
      <c r="P492">
        <v>0</v>
      </c>
      <c r="R492">
        <v>0</v>
      </c>
      <c r="T492">
        <f t="shared" si="121"/>
        <v>1372800</v>
      </c>
      <c r="U492">
        <v>200000</v>
      </c>
      <c r="V492" s="76">
        <f>28*35000</f>
        <v>980000</v>
      </c>
      <c r="W492" s="76">
        <v>0</v>
      </c>
      <c r="X492">
        <v>0</v>
      </c>
      <c r="Y492">
        <f t="shared" si="122"/>
        <v>1180000</v>
      </c>
      <c r="Z492" s="12">
        <f>26%*M492</f>
        <v>2328560</v>
      </c>
      <c r="AA492">
        <f>28*25000</f>
        <v>700000</v>
      </c>
      <c r="AB492">
        <v>0</v>
      </c>
      <c r="AC492">
        <v>0</v>
      </c>
      <c r="AD492">
        <v>125000</v>
      </c>
      <c r="AE492">
        <f t="shared" si="123"/>
        <v>3153560</v>
      </c>
      <c r="AF492" s="12">
        <f t="shared" si="124"/>
        <v>600760</v>
      </c>
      <c r="AG49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880760</v>
      </c>
      <c r="AH492">
        <f>IFERROR(AG492/(Z492+Table5[[#This Row],[Rider Penalty (Claim, Other Denda to Riders)]]),0)</f>
        <v>0.35897226886646344</v>
      </c>
      <c r="AI492" s="12">
        <f t="shared" si="125"/>
        <v>-280000</v>
      </c>
      <c r="AJ492">
        <f t="shared" si="126"/>
        <v>-0.4</v>
      </c>
      <c r="AV492" s="109">
        <f>Table5[[#This Row],[Total Selling Comission/Sales (Weekly)]]/Table5[[#This Row],[Total Revenue Sharing % (Weekly)]]*100%</f>
        <v>0.19230769230769232</v>
      </c>
      <c r="AW492" s="109">
        <f>Table5[[#This Row],[Total Daily Incentive (Weekly)]]/Table5[[#This Row],[Total Revenue Sharing % (Weekly)]]*100%</f>
        <v>0.39724121345380836</v>
      </c>
      <c r="AX492" s="109">
        <f>(N492+O492)/Z492*100%</f>
        <v>0.58954890576150065</v>
      </c>
    </row>
    <row r="493" spans="1:50" hidden="1">
      <c r="A493" s="41">
        <v>2025</v>
      </c>
      <c r="B493" s="41" t="s">
        <v>177</v>
      </c>
      <c r="C493" s="41" t="s">
        <v>177</v>
      </c>
      <c r="D493" s="41" t="s">
        <v>168</v>
      </c>
      <c r="E493" s="41" t="s">
        <v>24</v>
      </c>
      <c r="F493" s="41" t="s">
        <v>24</v>
      </c>
      <c r="G493">
        <v>40</v>
      </c>
      <c r="H493" t="s">
        <v>164</v>
      </c>
      <c r="I493" t="s">
        <v>280</v>
      </c>
      <c r="J493" s="174" t="s">
        <v>408</v>
      </c>
      <c r="K493">
        <v>2</v>
      </c>
      <c r="L493">
        <v>59</v>
      </c>
      <c r="M493">
        <v>639000</v>
      </c>
      <c r="N493">
        <v>30000</v>
      </c>
      <c r="O493">
        <v>75000</v>
      </c>
      <c r="P493">
        <v>0</v>
      </c>
      <c r="R493">
        <v>0</v>
      </c>
      <c r="T493">
        <f t="shared" si="121"/>
        <v>105000</v>
      </c>
      <c r="U493">
        <v>0</v>
      </c>
      <c r="V493" s="76">
        <f>3*35000</f>
        <v>105000</v>
      </c>
      <c r="W493" s="76">
        <v>0</v>
      </c>
      <c r="X493">
        <v>0</v>
      </c>
      <c r="Y493">
        <f t="shared" si="122"/>
        <v>105000</v>
      </c>
      <c r="Z493" s="12">
        <f>30%*M493</f>
        <v>191700</v>
      </c>
      <c r="AA493">
        <f>3*25000</f>
        <v>75000</v>
      </c>
      <c r="AB493">
        <v>0</v>
      </c>
      <c r="AC493">
        <v>0</v>
      </c>
      <c r="AD493">
        <v>0</v>
      </c>
      <c r="AE493">
        <f t="shared" si="123"/>
        <v>266700</v>
      </c>
      <c r="AF493" s="12">
        <f t="shared" si="124"/>
        <v>56700</v>
      </c>
      <c r="AG49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86700</v>
      </c>
      <c r="AH493">
        <f>IFERROR(AG493/(Z493+Table5[[#This Row],[Rider Penalty (Claim, Other Denda to Riders)]]),0)</f>
        <v>0.45226917057902971</v>
      </c>
      <c r="AI493" s="12">
        <f t="shared" si="125"/>
        <v>-30000</v>
      </c>
      <c r="AJ493">
        <f t="shared" si="126"/>
        <v>-0.4</v>
      </c>
      <c r="AV493" s="109"/>
      <c r="AW493" s="109"/>
      <c r="AX493" s="109"/>
    </row>
    <row r="494" spans="1:50" hidden="1">
      <c r="A494" s="41">
        <v>2025</v>
      </c>
      <c r="B494" s="179" t="s">
        <v>320</v>
      </c>
      <c r="C494" s="179" t="s">
        <v>276</v>
      </c>
      <c r="D494" s="179" t="s">
        <v>168</v>
      </c>
      <c r="E494" s="179" t="s">
        <v>24</v>
      </c>
      <c r="F494" s="179" t="s">
        <v>283</v>
      </c>
      <c r="G494">
        <v>40</v>
      </c>
      <c r="H494" t="s">
        <v>164</v>
      </c>
      <c r="I494" t="s">
        <v>280</v>
      </c>
      <c r="J494" s="174" t="s">
        <v>408</v>
      </c>
      <c r="K494">
        <v>3</v>
      </c>
      <c r="L494">
        <v>44</v>
      </c>
      <c r="M494">
        <v>144000</v>
      </c>
      <c r="N494">
        <v>28800</v>
      </c>
      <c r="O494">
        <v>90000</v>
      </c>
      <c r="P494">
        <v>0</v>
      </c>
      <c r="R494">
        <v>0</v>
      </c>
      <c r="T494">
        <f t="shared" si="121"/>
        <v>118800</v>
      </c>
      <c r="U494">
        <v>100000</v>
      </c>
      <c r="V494" s="76">
        <v>0</v>
      </c>
      <c r="W494" s="76">
        <v>0</v>
      </c>
      <c r="X494">
        <v>0</v>
      </c>
      <c r="Y494">
        <f t="shared" si="122"/>
        <v>100000</v>
      </c>
      <c r="Z494" s="12">
        <f>Table5[[#This Row],[Total Selling (Clients Revenue)]]</f>
        <v>144000</v>
      </c>
      <c r="AA494">
        <v>0</v>
      </c>
      <c r="AB494">
        <v>0</v>
      </c>
      <c r="AC494">
        <v>0</v>
      </c>
      <c r="AD494">
        <v>0</v>
      </c>
      <c r="AE494">
        <f t="shared" si="123"/>
        <v>144000</v>
      </c>
      <c r="AF494" s="12">
        <f t="shared" si="124"/>
        <v>-74800</v>
      </c>
      <c r="AG49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-74800</v>
      </c>
      <c r="AH494">
        <f>IFERROR(AG494/(Z494+Table5[[#This Row],[Rider Penalty (Claim, Other Denda to Riders)]]),0)</f>
        <v>-0.51944444444444449</v>
      </c>
      <c r="AI494" s="12">
        <f t="shared" si="125"/>
        <v>0</v>
      </c>
      <c r="AJ494">
        <f t="shared" si="126"/>
        <v>0</v>
      </c>
      <c r="AV494" s="109"/>
      <c r="AW494" s="109"/>
      <c r="AX494" s="109"/>
    </row>
    <row r="495" spans="1:50" hidden="1">
      <c r="A495" s="41">
        <v>2025</v>
      </c>
      <c r="B495" s="117" t="s">
        <v>23</v>
      </c>
      <c r="C495" s="117" t="s">
        <v>174</v>
      </c>
      <c r="D495" s="117" t="s">
        <v>168</v>
      </c>
      <c r="E495" s="117" t="s">
        <v>24</v>
      </c>
      <c r="F495" s="117" t="s">
        <v>24</v>
      </c>
      <c r="G495">
        <v>40</v>
      </c>
      <c r="H495" s="117" t="s">
        <v>165</v>
      </c>
      <c r="I495" s="117" t="s">
        <v>275</v>
      </c>
      <c r="J495" s="186" t="s">
        <v>409</v>
      </c>
      <c r="K495">
        <v>44</v>
      </c>
      <c r="L495">
        <v>5928</v>
      </c>
      <c r="M495">
        <v>50488000</v>
      </c>
      <c r="N495">
        <v>3944900</v>
      </c>
      <c r="O495">
        <v>5675000</v>
      </c>
      <c r="P495">
        <v>0</v>
      </c>
      <c r="R495">
        <v>0</v>
      </c>
      <c r="T495">
        <f t="shared" ref="T495:T497" si="127">SUM(N495:R495)</f>
        <v>9619900</v>
      </c>
      <c r="U495">
        <v>500000</v>
      </c>
      <c r="V495" s="76">
        <f>152*35000</f>
        <v>5320000</v>
      </c>
      <c r="W495" s="76">
        <v>0</v>
      </c>
      <c r="X495">
        <v>0</v>
      </c>
      <c r="Y495">
        <f t="shared" ref="Y495:Y497" si="128">SUM(U495:X495)</f>
        <v>5820000</v>
      </c>
      <c r="Z495" s="12">
        <f>26%*M495</f>
        <v>13126880</v>
      </c>
      <c r="AA495">
        <f>173*25000</f>
        <v>4325000</v>
      </c>
      <c r="AB495">
        <v>0</v>
      </c>
      <c r="AC495">
        <v>0</v>
      </c>
      <c r="AD495">
        <v>0</v>
      </c>
      <c r="AE495">
        <f t="shared" ref="AE495:AE497" si="129">SUM(Z495:AD495)</f>
        <v>17451880</v>
      </c>
      <c r="AF495" s="12">
        <f t="shared" ref="AF495:AF497" si="130">AE495-(T495+Y495)</f>
        <v>2011980</v>
      </c>
      <c r="AG49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3006980</v>
      </c>
      <c r="AH495">
        <f>IFERROR(AG495/(Z495+Table5[[#This Row],[Rider Penalty (Claim, Other Denda to Riders)]]),0)</f>
        <v>0.22907042648367321</v>
      </c>
      <c r="AI495" s="12">
        <f t="shared" ref="AI495:AI497" si="131">AA495+AB495-V495</f>
        <v>-995000</v>
      </c>
      <c r="AJ495">
        <f t="shared" ref="AJ495:AJ497" si="132">IFERROR(AI495/(AA495+AB495),0)</f>
        <v>-0.23005780346820809</v>
      </c>
      <c r="AV495" s="109">
        <f>Table5[[#This Row],[Total Selling Comission/Sales (Weekly)]]/Table5[[#This Row],[Total Revenue Sharing % (Weekly)]]*100%</f>
        <v>0.30052076350206597</v>
      </c>
      <c r="AW495" s="109">
        <f>Table5[[#This Row],[Total Daily Incentive (Weekly)]]/Table5[[#This Row],[Total Revenue Sharing % (Weekly)]]*100%</f>
        <v>0.43231902782687126</v>
      </c>
      <c r="AX495" s="109">
        <f>(N495+O495)/Z495*100%</f>
        <v>0.73283979132893728</v>
      </c>
    </row>
    <row r="496" spans="1:50" hidden="1">
      <c r="A496" s="41">
        <v>2025</v>
      </c>
      <c r="B496" s="64" t="s">
        <v>23</v>
      </c>
      <c r="C496" s="64" t="s">
        <v>173</v>
      </c>
      <c r="D496" s="64" t="s">
        <v>168</v>
      </c>
      <c r="E496" s="64" t="s">
        <v>24</v>
      </c>
      <c r="F496" s="153" t="s">
        <v>282</v>
      </c>
      <c r="G496">
        <v>40</v>
      </c>
      <c r="H496" s="117" t="s">
        <v>165</v>
      </c>
      <c r="I496" s="117" t="s">
        <v>275</v>
      </c>
      <c r="J496" s="186" t="s">
        <v>409</v>
      </c>
      <c r="K496">
        <v>21</v>
      </c>
      <c r="L496">
        <v>2386</v>
      </c>
      <c r="M496">
        <v>22644000</v>
      </c>
      <c r="N496">
        <v>1709180</v>
      </c>
      <c r="O496">
        <v>2550000</v>
      </c>
      <c r="P496">
        <v>0</v>
      </c>
      <c r="R496">
        <v>0</v>
      </c>
      <c r="T496">
        <f t="shared" si="127"/>
        <v>4259180</v>
      </c>
      <c r="U496">
        <v>500000</v>
      </c>
      <c r="V496" s="76">
        <f>77*35000</f>
        <v>2695000</v>
      </c>
      <c r="W496" s="76">
        <v>0</v>
      </c>
      <c r="X496">
        <v>0</v>
      </c>
      <c r="Y496">
        <f t="shared" si="128"/>
        <v>3195000</v>
      </c>
      <c r="Z496" s="12">
        <f>26%*M496</f>
        <v>5887440</v>
      </c>
      <c r="AA496">
        <f>87*25000</f>
        <v>2175000</v>
      </c>
      <c r="AB496">
        <v>0</v>
      </c>
      <c r="AC496">
        <v>0</v>
      </c>
      <c r="AD496">
        <v>0</v>
      </c>
      <c r="AE496">
        <f t="shared" si="129"/>
        <v>8062440</v>
      </c>
      <c r="AF496" s="12">
        <f t="shared" si="130"/>
        <v>608260</v>
      </c>
      <c r="AG49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1128260</v>
      </c>
      <c r="AH496">
        <f>IFERROR(AG496/(Z496+Table5[[#This Row],[Rider Penalty (Claim, Other Denda to Riders)]]),0)</f>
        <v>0.19163847105023576</v>
      </c>
      <c r="AI496" s="12">
        <f t="shared" si="131"/>
        <v>-520000</v>
      </c>
      <c r="AJ496">
        <f t="shared" si="132"/>
        <v>-0.23908045977011494</v>
      </c>
      <c r="AV496" s="109">
        <f>Table5[[#This Row],[Total Selling Comission/Sales (Weekly)]]/Table5[[#This Row],[Total Revenue Sharing % (Weekly)]]*100%</f>
        <v>0.29030954030954031</v>
      </c>
      <c r="AW496" s="109">
        <f>Table5[[#This Row],[Total Daily Incentive (Weekly)]]/Table5[[#This Row],[Total Revenue Sharing % (Weekly)]]*100%</f>
        <v>0.43312543312543311</v>
      </c>
      <c r="AX496" s="109">
        <f>(N496+O496)/Z496*100%</f>
        <v>0.72343497343497343</v>
      </c>
    </row>
    <row r="497" spans="1:50" hidden="1">
      <c r="A497" s="41">
        <v>2025</v>
      </c>
      <c r="B497" s="41" t="s">
        <v>177</v>
      </c>
      <c r="C497" s="41" t="s">
        <v>177</v>
      </c>
      <c r="D497" s="41" t="s">
        <v>168</v>
      </c>
      <c r="E497" s="41" t="s">
        <v>24</v>
      </c>
      <c r="F497" s="41" t="s">
        <v>24</v>
      </c>
      <c r="G497">
        <v>40</v>
      </c>
      <c r="H497" s="117" t="s">
        <v>165</v>
      </c>
      <c r="I497" s="117" t="s">
        <v>275</v>
      </c>
      <c r="J497" s="186" t="s">
        <v>409</v>
      </c>
      <c r="K497">
        <v>4</v>
      </c>
      <c r="L497">
        <v>303</v>
      </c>
      <c r="M497">
        <v>3276000</v>
      </c>
      <c r="N497">
        <v>163800</v>
      </c>
      <c r="O497">
        <v>375000</v>
      </c>
      <c r="P497">
        <v>0</v>
      </c>
      <c r="R497">
        <v>0</v>
      </c>
      <c r="T497">
        <f t="shared" si="127"/>
        <v>538800</v>
      </c>
      <c r="U497">
        <v>0</v>
      </c>
      <c r="V497" s="76">
        <f>15*25000</f>
        <v>375000</v>
      </c>
      <c r="W497" s="76">
        <v>0</v>
      </c>
      <c r="X497">
        <v>0</v>
      </c>
      <c r="Y497">
        <f t="shared" si="128"/>
        <v>375000</v>
      </c>
      <c r="Z497" s="12">
        <f>30%*M497</f>
        <v>982800</v>
      </c>
      <c r="AA497">
        <f>17*25000</f>
        <v>425000</v>
      </c>
      <c r="AB497">
        <v>0</v>
      </c>
      <c r="AC497">
        <v>0</v>
      </c>
      <c r="AD497">
        <v>0</v>
      </c>
      <c r="AE497">
        <f t="shared" si="129"/>
        <v>1407800</v>
      </c>
      <c r="AF497" s="12">
        <f t="shared" si="130"/>
        <v>494000</v>
      </c>
      <c r="AG49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444000</v>
      </c>
      <c r="AH497">
        <f>IFERROR(AG497/(Z497+Table5[[#This Row],[Rider Penalty (Claim, Other Denda to Riders)]]),0)</f>
        <v>0.45177045177045178</v>
      </c>
      <c r="AI497" s="12">
        <f t="shared" si="131"/>
        <v>50000</v>
      </c>
      <c r="AJ497">
        <f t="shared" si="132"/>
        <v>0.11764705882352941</v>
      </c>
      <c r="AV497" s="109"/>
      <c r="AW497" s="109"/>
      <c r="AX497" s="109"/>
    </row>
    <row r="498" spans="1:50" hidden="1">
      <c r="A498">
        <v>2025</v>
      </c>
      <c r="B498" s="179" t="s">
        <v>23</v>
      </c>
      <c r="C498" s="64" t="s">
        <v>23</v>
      </c>
      <c r="D498" t="s">
        <v>168</v>
      </c>
      <c r="E498" t="s">
        <v>28</v>
      </c>
      <c r="F498" t="s">
        <v>28</v>
      </c>
      <c r="G498">
        <v>41</v>
      </c>
      <c r="H498" t="s">
        <v>165</v>
      </c>
      <c r="I498" t="s">
        <v>256</v>
      </c>
      <c r="J498" s="174" t="s">
        <v>317</v>
      </c>
      <c r="K498">
        <v>252</v>
      </c>
      <c r="L498">
        <v>76453</v>
      </c>
      <c r="M498">
        <v>671586000</v>
      </c>
      <c r="N498">
        <v>78013080</v>
      </c>
      <c r="O498">
        <v>68520000</v>
      </c>
      <c r="P498">
        <v>0</v>
      </c>
      <c r="R498">
        <v>0</v>
      </c>
      <c r="T498">
        <f t="shared" ref="T498:T499" si="133">SUM(N498:R498)</f>
        <v>146533080</v>
      </c>
      <c r="U498">
        <v>3925000</v>
      </c>
      <c r="V498" s="189">
        <v>61740000</v>
      </c>
      <c r="W498" s="189">
        <v>0</v>
      </c>
      <c r="X498" s="188">
        <v>284181.78494623699</v>
      </c>
      <c r="Y498" s="188">
        <f>SUM(U498:X498)</f>
        <v>65949181.78494624</v>
      </c>
      <c r="Z498">
        <f>26%*M498</f>
        <v>174612360</v>
      </c>
      <c r="AA498">
        <v>38875000</v>
      </c>
      <c r="AB498">
        <v>0</v>
      </c>
      <c r="AC498">
        <v>550000</v>
      </c>
      <c r="AD498">
        <v>0</v>
      </c>
      <c r="AE498">
        <f t="shared" ref="AE498:AE499" si="134">SUM(Z498:AD498)</f>
        <v>214037360</v>
      </c>
      <c r="AF498" s="16">
        <f t="shared" ref="AF498:AF499" si="135">AE498-(T498+Y498)</f>
        <v>1555098.215053767</v>
      </c>
      <c r="AG49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23870098.215053763</v>
      </c>
      <c r="AH498" s="16">
        <f>IFERROR(AG498/(Z498+Table5[[#This Row],[Rider Penalty (Claim, Other Denda to Riders)]]),0)</f>
        <v>0.13670337091288248</v>
      </c>
      <c r="AI498" s="16">
        <f t="shared" ref="AI498:AI499" si="136">AA498+AB498-V498</f>
        <v>-22865000</v>
      </c>
      <c r="AJ498" s="16">
        <f t="shared" ref="AJ498:AJ499" si="137">IFERROR(AI498/(AA498+AB498),0)</f>
        <v>-0.58816720257234723</v>
      </c>
      <c r="AK498" s="16"/>
      <c r="AV498" s="109">
        <f>Table5[[#This Row],[Total Selling Comission/Sales (Weekly)]]/Table5[[#This Row],[Total Revenue Sharing % (Weekly)]]*100%</f>
        <v>0.44677868164659135</v>
      </c>
      <c r="AW498" s="109">
        <f>Table5[[#This Row],[Total Daily Incentive (Weekly)]]/Table5[[#This Row],[Total Revenue Sharing % (Weekly)]]*100%</f>
        <v>0.39241208354322682</v>
      </c>
      <c r="AX498" s="109">
        <f>(N498+O498)/Z498*100%</f>
        <v>0.83919076518981817</v>
      </c>
    </row>
    <row r="499" spans="1:50" hidden="1">
      <c r="A499">
        <v>2025</v>
      </c>
      <c r="B499" s="179" t="s">
        <v>23</v>
      </c>
      <c r="C499" s="64" t="s">
        <v>172</v>
      </c>
      <c r="D499" t="s">
        <v>168</v>
      </c>
      <c r="E499" t="s">
        <v>28</v>
      </c>
      <c r="F499" t="s">
        <v>28</v>
      </c>
      <c r="G499">
        <v>41</v>
      </c>
      <c r="H499" t="s">
        <v>165</v>
      </c>
      <c r="I499" t="s">
        <v>256</v>
      </c>
      <c r="J499" s="174" t="s">
        <v>317</v>
      </c>
      <c r="K499">
        <v>21</v>
      </c>
      <c r="L499">
        <v>6591</v>
      </c>
      <c r="M499">
        <v>57774000</v>
      </c>
      <c r="N499">
        <v>6485355</v>
      </c>
      <c r="O499">
        <v>6435000</v>
      </c>
      <c r="P499">
        <v>0</v>
      </c>
      <c r="R499">
        <v>0</v>
      </c>
      <c r="T499">
        <f t="shared" si="133"/>
        <v>12920355</v>
      </c>
      <c r="U499">
        <v>375000</v>
      </c>
      <c r="V499" s="189">
        <v>5145000</v>
      </c>
      <c r="W499" s="189"/>
      <c r="X499" s="188">
        <v>411870.96774193551</v>
      </c>
      <c r="Y499" s="188">
        <f>SUM(U499:X499)</f>
        <v>5931870.9677419355</v>
      </c>
      <c r="Z499">
        <f>26%*M499</f>
        <v>15021240</v>
      </c>
      <c r="AA499">
        <v>3200000</v>
      </c>
      <c r="AB499">
        <v>0</v>
      </c>
      <c r="AC499">
        <v>0</v>
      </c>
      <c r="AD499">
        <v>0</v>
      </c>
      <c r="AE499">
        <f t="shared" si="134"/>
        <v>18221240</v>
      </c>
      <c r="AF499" s="16">
        <f t="shared" si="135"/>
        <v>-630985.96774193645</v>
      </c>
      <c r="AG49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1314014.0322580645</v>
      </c>
      <c r="AH499" s="16">
        <f>IFERROR(AG499/(Z499+Table5[[#This Row],[Rider Penalty (Claim, Other Denda to Riders)]]),0)</f>
        <v>8.7477067955645776E-2</v>
      </c>
      <c r="AI499" s="16">
        <f t="shared" si="136"/>
        <v>-1945000</v>
      </c>
      <c r="AJ499" s="16">
        <f t="shared" si="137"/>
        <v>-0.60781249999999998</v>
      </c>
      <c r="AK499" s="16"/>
      <c r="AV499" s="109">
        <f>Table5[[#This Row],[Total Selling Comission/Sales (Weekly)]]/Table5[[#This Row],[Total Revenue Sharing % (Weekly)]]*100%</f>
        <v>0.43174564816220234</v>
      </c>
      <c r="AW499" s="109">
        <f>Table5[[#This Row],[Total Daily Incentive (Weekly)]]/Table5[[#This Row],[Total Revenue Sharing % (Weekly)]]*100%</f>
        <v>0.42839339495274692</v>
      </c>
      <c r="AX499" s="109">
        <f>(N499+O499)/Z499*100%</f>
        <v>0.86013904311494926</v>
      </c>
    </row>
    <row r="500" spans="1:50" hidden="1">
      <c r="A500">
        <v>2025</v>
      </c>
      <c r="B500" t="s">
        <v>176</v>
      </c>
      <c r="C500" t="s">
        <v>176</v>
      </c>
      <c r="D500" t="s">
        <v>169</v>
      </c>
      <c r="E500" t="s">
        <v>28</v>
      </c>
      <c r="F500" t="s">
        <v>28</v>
      </c>
      <c r="G500">
        <v>41</v>
      </c>
      <c r="H500" t="s">
        <v>165</v>
      </c>
      <c r="I500" t="s">
        <v>256</v>
      </c>
      <c r="J500" s="174" t="s">
        <v>317</v>
      </c>
      <c r="K500">
        <v>16</v>
      </c>
      <c r="L500">
        <v>1137</v>
      </c>
      <c r="M500">
        <v>10712000</v>
      </c>
      <c r="N500">
        <v>0</v>
      </c>
      <c r="O500">
        <v>0</v>
      </c>
      <c r="P500">
        <v>0</v>
      </c>
      <c r="R500">
        <v>0</v>
      </c>
      <c r="T500">
        <f t="shared" ref="T500:T505" si="138">SUM(N500:R500)</f>
        <v>0</v>
      </c>
      <c r="U500">
        <v>0</v>
      </c>
      <c r="V500" s="189">
        <v>0</v>
      </c>
      <c r="W500" s="189">
        <v>0</v>
      </c>
      <c r="X500">
        <v>0</v>
      </c>
      <c r="Y500">
        <v>0</v>
      </c>
      <c r="Z500">
        <f>7%*M500</f>
        <v>749840.00000000012</v>
      </c>
      <c r="AA500">
        <v>0</v>
      </c>
      <c r="AB500">
        <v>0</v>
      </c>
      <c r="AC500">
        <v>0</v>
      </c>
      <c r="AD500">
        <v>0</v>
      </c>
      <c r="AE500">
        <f t="shared" ref="AE500:AE501" si="139">SUM(Z500:AD500)</f>
        <v>749840.00000000012</v>
      </c>
      <c r="AF500" s="16">
        <f t="shared" ref="AF500:AF501" si="140">AE500-(T500+Y500)</f>
        <v>749840.00000000012</v>
      </c>
      <c r="AG50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749840.00000000012</v>
      </c>
      <c r="AH500" s="16">
        <f>IFERROR(AG500/(Z500+Table5[[#This Row],[Rider Penalty (Claim, Other Denda to Riders)]]),0)</f>
        <v>1</v>
      </c>
      <c r="AI500" s="16">
        <f t="shared" ref="AI500:AI501" si="141">AA500+AB500-V500</f>
        <v>0</v>
      </c>
      <c r="AJ500" s="16">
        <f t="shared" ref="AJ500:AJ501" si="142">IFERROR(AI500/(AA500+AB500),0)</f>
        <v>0</v>
      </c>
      <c r="AK500" s="16"/>
      <c r="AV500" s="109"/>
      <c r="AW500" s="109"/>
      <c r="AX500" s="109"/>
    </row>
    <row r="501" spans="1:50" hidden="1">
      <c r="A501">
        <v>2025</v>
      </c>
      <c r="B501" t="s">
        <v>178</v>
      </c>
      <c r="C501" t="s">
        <v>178</v>
      </c>
      <c r="D501" t="s">
        <v>169</v>
      </c>
      <c r="E501" t="s">
        <v>28</v>
      </c>
      <c r="F501" t="s">
        <v>28</v>
      </c>
      <c r="G501">
        <v>41</v>
      </c>
      <c r="H501" t="s">
        <v>165</v>
      </c>
      <c r="I501" t="s">
        <v>256</v>
      </c>
      <c r="J501" s="174" t="s">
        <v>317</v>
      </c>
      <c r="K501">
        <v>4</v>
      </c>
      <c r="L501">
        <v>514</v>
      </c>
      <c r="M501">
        <v>2118002</v>
      </c>
      <c r="N501">
        <v>0</v>
      </c>
      <c r="O501">
        <v>750000</v>
      </c>
      <c r="P501">
        <v>0</v>
      </c>
      <c r="R501">
        <v>0</v>
      </c>
      <c r="T501">
        <f t="shared" si="138"/>
        <v>750000</v>
      </c>
      <c r="U501">
        <v>0</v>
      </c>
      <c r="V501" s="189">
        <v>980000</v>
      </c>
      <c r="W501" s="189">
        <v>0</v>
      </c>
      <c r="X501">
        <v>0</v>
      </c>
      <c r="Y501">
        <f t="shared" ref="Y501" si="143">SUM(U501:X501)</f>
        <v>980000</v>
      </c>
      <c r="Z501" s="188">
        <f>22%*M501</f>
        <v>465960.44</v>
      </c>
      <c r="AA501">
        <v>475000</v>
      </c>
      <c r="AB501">
        <v>499500</v>
      </c>
      <c r="AC501">
        <v>0</v>
      </c>
      <c r="AD501">
        <v>0</v>
      </c>
      <c r="AE501">
        <f t="shared" si="139"/>
        <v>1440460.44</v>
      </c>
      <c r="AF501" s="16">
        <f t="shared" si="140"/>
        <v>-289539.56000000006</v>
      </c>
      <c r="AG50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-284039.56</v>
      </c>
      <c r="AH501" s="16">
        <f>IFERROR(AG501/(Z501+Table5[[#This Row],[Rider Penalty (Claim, Other Denda to Riders)]]),0)</f>
        <v>-0.60957870157389327</v>
      </c>
      <c r="AI501" s="16">
        <f t="shared" si="141"/>
        <v>-5500</v>
      </c>
      <c r="AJ501" s="16">
        <f t="shared" si="142"/>
        <v>-5.643919958953309E-3</v>
      </c>
      <c r="AK501" s="16"/>
      <c r="AV501" s="109"/>
      <c r="AW501" s="109"/>
      <c r="AX501" s="109"/>
    </row>
    <row r="502" spans="1:50" hidden="1">
      <c r="A502">
        <v>2025</v>
      </c>
      <c r="B502" t="s">
        <v>23</v>
      </c>
      <c r="C502" t="s">
        <v>174</v>
      </c>
      <c r="D502" t="s">
        <v>168</v>
      </c>
      <c r="E502" t="s">
        <v>24</v>
      </c>
      <c r="F502" t="s">
        <v>24</v>
      </c>
      <c r="G502">
        <v>41</v>
      </c>
      <c r="H502" t="s">
        <v>165</v>
      </c>
      <c r="I502" t="s">
        <v>256</v>
      </c>
      <c r="J502" s="174" t="s">
        <v>317</v>
      </c>
      <c r="K502">
        <v>37</v>
      </c>
      <c r="L502">
        <v>7162</v>
      </c>
      <c r="M502">
        <v>65736000</v>
      </c>
      <c r="N502">
        <v>6509200</v>
      </c>
      <c r="O502">
        <v>7050000</v>
      </c>
      <c r="P502">
        <v>0</v>
      </c>
      <c r="R502">
        <v>0</v>
      </c>
      <c r="T502" s="16">
        <f t="shared" si="138"/>
        <v>13559200</v>
      </c>
      <c r="U502">
        <v>700000</v>
      </c>
      <c r="V502" s="1">
        <f>192*35000</f>
        <v>6720000</v>
      </c>
      <c r="W502" s="1">
        <v>0</v>
      </c>
      <c r="X502">
        <v>0</v>
      </c>
      <c r="Y502">
        <f>SUM(U502:X502)</f>
        <v>7420000</v>
      </c>
      <c r="Z502" s="12">
        <f>26%*M502</f>
        <v>17091360</v>
      </c>
      <c r="AA502">
        <f>212*25000</f>
        <v>5300000</v>
      </c>
      <c r="AB502">
        <v>0</v>
      </c>
      <c r="AC502">
        <v>0</v>
      </c>
      <c r="AD502">
        <v>75000</v>
      </c>
      <c r="AE502">
        <f>SUM(Z502:AD502)</f>
        <v>22466360</v>
      </c>
      <c r="AF502" s="12">
        <f>AE502-(T502+Y502)</f>
        <v>1487160</v>
      </c>
      <c r="AG50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2907160</v>
      </c>
      <c r="AH502">
        <f>IFERROR(AG502/(Z502+Table5[[#This Row],[Rider Penalty (Claim, Other Denda to Riders)]]),0)</f>
        <v>0.1693521515335808</v>
      </c>
      <c r="AI502" s="12">
        <f>AA502+AB502-V502</f>
        <v>-1420000</v>
      </c>
      <c r="AJ502">
        <f>IFERROR(AI502/(AA502+AB502),0)</f>
        <v>-0.26792452830188679</v>
      </c>
      <c r="AV502" s="109">
        <f>Table5[[#This Row],[Total Selling Comission/Sales (Weekly)]]/Table5[[#This Row],[Total Revenue Sharing % (Weekly)]]*100%</f>
        <v>0.38084739891968805</v>
      </c>
      <c r="AW502" s="109">
        <f>Table5[[#This Row],[Total Daily Incentive (Weekly)]]/Table5[[#This Row],[Total Revenue Sharing % (Weekly)]]*100%</f>
        <v>0.41248911730839444</v>
      </c>
      <c r="AX502" s="109">
        <f>(N502+O502)/Z502*100%</f>
        <v>0.79333651622808254</v>
      </c>
    </row>
    <row r="503" spans="1:50" hidden="1">
      <c r="A503">
        <v>2025</v>
      </c>
      <c r="B503" t="s">
        <v>23</v>
      </c>
      <c r="C503" t="s">
        <v>173</v>
      </c>
      <c r="D503" t="s">
        <v>168</v>
      </c>
      <c r="E503" t="s">
        <v>24</v>
      </c>
      <c r="F503" t="s">
        <v>282</v>
      </c>
      <c r="G503">
        <v>41</v>
      </c>
      <c r="H503" t="s">
        <v>165</v>
      </c>
      <c r="I503" t="s">
        <v>256</v>
      </c>
      <c r="J503" s="174" t="s">
        <v>317</v>
      </c>
      <c r="K503">
        <v>19</v>
      </c>
      <c r="L503">
        <v>2939</v>
      </c>
      <c r="M503">
        <v>26608000</v>
      </c>
      <c r="N503">
        <v>2403180</v>
      </c>
      <c r="O503">
        <v>3200000</v>
      </c>
      <c r="P503">
        <v>0</v>
      </c>
      <c r="R503">
        <v>0</v>
      </c>
      <c r="T503" s="16">
        <f t="shared" si="138"/>
        <v>5603180</v>
      </c>
      <c r="U503">
        <v>700000</v>
      </c>
      <c r="V503" s="1">
        <f>83*35000</f>
        <v>2905000</v>
      </c>
      <c r="W503" s="1">
        <v>0</v>
      </c>
      <c r="X503">
        <v>0</v>
      </c>
      <c r="Y503">
        <f t="shared" ref="Y503:Y504" si="144">SUM(U503:X503)</f>
        <v>3605000</v>
      </c>
      <c r="Z503" s="12">
        <f>26%*M503</f>
        <v>6918080</v>
      </c>
      <c r="AA503">
        <f>96*25000</f>
        <v>2400000</v>
      </c>
      <c r="AB503">
        <v>0</v>
      </c>
      <c r="AC503">
        <v>0</v>
      </c>
      <c r="AD503">
        <v>0</v>
      </c>
      <c r="AE503">
        <f t="shared" ref="AE503:AE504" si="145">SUM(Z503:AD503)</f>
        <v>9318080</v>
      </c>
      <c r="AF503" s="12">
        <f t="shared" ref="AF503:AF504" si="146">AE503-(T503+Y503)</f>
        <v>109900</v>
      </c>
      <c r="AG50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614900</v>
      </c>
      <c r="AH503">
        <f>IFERROR(AG503/(Z503+Table5[[#This Row],[Rider Penalty (Claim, Other Denda to Riders)]]),0)</f>
        <v>8.8883042693926634E-2</v>
      </c>
      <c r="AI503" s="12">
        <f t="shared" ref="AI503:AI504" si="147">AA503+AB503-V503</f>
        <v>-505000</v>
      </c>
      <c r="AJ503">
        <f t="shared" ref="AJ503:AJ504" si="148">IFERROR(AI503/(AA503+AB503),0)</f>
        <v>-0.21041666666666667</v>
      </c>
      <c r="AV503" s="109">
        <f>Table5[[#This Row],[Total Selling Comission/Sales (Weekly)]]/Table5[[#This Row],[Total Revenue Sharing % (Weekly)]]*100%</f>
        <v>0.3473767288033674</v>
      </c>
      <c r="AW503" s="109">
        <f>Table5[[#This Row],[Total Daily Incentive (Weekly)]]/Table5[[#This Row],[Total Revenue Sharing % (Weekly)]]*100%</f>
        <v>0.46255608492529721</v>
      </c>
      <c r="AX503" s="109">
        <f>(N503+O503)/Z503*100%</f>
        <v>0.80993281372866455</v>
      </c>
    </row>
    <row r="504" spans="1:50" hidden="1">
      <c r="A504">
        <v>2025</v>
      </c>
      <c r="B504" t="s">
        <v>23</v>
      </c>
      <c r="C504" t="s">
        <v>205</v>
      </c>
      <c r="D504" t="s">
        <v>168</v>
      </c>
      <c r="E504" t="s">
        <v>24</v>
      </c>
      <c r="F504" t="s">
        <v>24</v>
      </c>
      <c r="G504">
        <v>41</v>
      </c>
      <c r="H504" t="s">
        <v>165</v>
      </c>
      <c r="I504" t="s">
        <v>256</v>
      </c>
      <c r="J504" s="174" t="s">
        <v>317</v>
      </c>
      <c r="K504">
        <v>1</v>
      </c>
      <c r="L504">
        <v>99</v>
      </c>
      <c r="M504">
        <v>200000</v>
      </c>
      <c r="N504">
        <v>0</v>
      </c>
      <c r="O504">
        <v>0</v>
      </c>
      <c r="P504">
        <v>0</v>
      </c>
      <c r="R504">
        <v>0</v>
      </c>
      <c r="T504" s="16">
        <f t="shared" si="138"/>
        <v>0</v>
      </c>
      <c r="U504">
        <v>0</v>
      </c>
      <c r="V504" s="1">
        <v>0</v>
      </c>
      <c r="W504" s="1">
        <v>0</v>
      </c>
      <c r="X504">
        <v>0</v>
      </c>
      <c r="Y504">
        <f t="shared" si="144"/>
        <v>0</v>
      </c>
      <c r="Z504" s="12">
        <f>7%*M504</f>
        <v>14000.000000000002</v>
      </c>
      <c r="AA504">
        <v>0</v>
      </c>
      <c r="AB504">
        <v>0</v>
      </c>
      <c r="AC504">
        <v>0</v>
      </c>
      <c r="AD504">
        <v>0</v>
      </c>
      <c r="AE504">
        <f t="shared" si="145"/>
        <v>14000.000000000002</v>
      </c>
      <c r="AF504" s="12">
        <f t="shared" si="146"/>
        <v>14000.000000000002</v>
      </c>
      <c r="AG50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14000.000000000002</v>
      </c>
      <c r="AH504">
        <f>IFERROR(AG504/(Z504+Table5[[#This Row],[Rider Penalty (Claim, Other Denda to Riders)]]),0)</f>
        <v>1</v>
      </c>
      <c r="AI504" s="12">
        <f t="shared" si="147"/>
        <v>0</v>
      </c>
      <c r="AJ504">
        <f t="shared" si="148"/>
        <v>0</v>
      </c>
      <c r="AV504" s="109">
        <f>Table5[[#This Row],[Total Selling Comission/Sales (Weekly)]]/Table5[[#This Row],[Total Revenue Sharing % (Weekly)]]*100%</f>
        <v>0</v>
      </c>
      <c r="AW504" s="109">
        <f>Table5[[#This Row],[Total Daily Incentive (Weekly)]]/Table5[[#This Row],[Total Revenue Sharing % (Weekly)]]*100%</f>
        <v>0</v>
      </c>
      <c r="AX504" s="109">
        <f>(N504+O504)/Z504*100%</f>
        <v>0</v>
      </c>
    </row>
    <row r="505" spans="1:50" hidden="1">
      <c r="A505">
        <v>2025</v>
      </c>
      <c r="B505" t="s">
        <v>177</v>
      </c>
      <c r="C505" t="s">
        <v>177</v>
      </c>
      <c r="D505" t="s">
        <v>168</v>
      </c>
      <c r="E505" t="s">
        <v>24</v>
      </c>
      <c r="F505" t="s">
        <v>24</v>
      </c>
      <c r="G505">
        <v>41</v>
      </c>
      <c r="H505" t="s">
        <v>165</v>
      </c>
      <c r="I505" t="s">
        <v>256</v>
      </c>
      <c r="J505" s="174" t="s">
        <v>317</v>
      </c>
      <c r="K505">
        <v>5</v>
      </c>
      <c r="L505">
        <v>547</v>
      </c>
      <c r="M505">
        <v>5917000</v>
      </c>
      <c r="N505">
        <v>387010</v>
      </c>
      <c r="O505">
        <v>872500</v>
      </c>
      <c r="P505">
        <v>0</v>
      </c>
      <c r="R505">
        <v>0</v>
      </c>
      <c r="T505" s="16">
        <f t="shared" si="138"/>
        <v>1259510</v>
      </c>
      <c r="U505">
        <v>0</v>
      </c>
      <c r="V505" s="1">
        <f>30*35000</f>
        <v>1050000</v>
      </c>
      <c r="W505" s="1">
        <v>0</v>
      </c>
      <c r="X505">
        <v>0</v>
      </c>
      <c r="Y505">
        <f>SUM(U505:X505)</f>
        <v>1050000</v>
      </c>
      <c r="Z505" s="12">
        <f>30%*M505</f>
        <v>1775100</v>
      </c>
      <c r="AA505">
        <f>32*25000</f>
        <v>800000</v>
      </c>
      <c r="AB505">
        <v>0</v>
      </c>
      <c r="AC505">
        <v>0</v>
      </c>
      <c r="AD505">
        <v>25000</v>
      </c>
      <c r="AE505">
        <f>SUM(Z505:AD505)</f>
        <v>2600100</v>
      </c>
      <c r="AF505" s="12">
        <f>AE505-(T505+Y505)</f>
        <v>290590</v>
      </c>
      <c r="AG50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540590</v>
      </c>
      <c r="AH505">
        <f>IFERROR(AG505/(Z505+Table5[[#This Row],[Rider Penalty (Claim, Other Denda to Riders)]]),0)</f>
        <v>0.30031109382812066</v>
      </c>
      <c r="AI505" s="12">
        <f>AA505+AB505-V505</f>
        <v>-250000</v>
      </c>
      <c r="AJ505">
        <f>IFERROR(AI505/(AA505+AB505),0)</f>
        <v>-0.3125</v>
      </c>
      <c r="AV505" s="109"/>
      <c r="AW505" s="109"/>
      <c r="AX505" s="109"/>
    </row>
    <row r="506" spans="1:50" hidden="1">
      <c r="A506">
        <v>2025</v>
      </c>
      <c r="B506" t="s">
        <v>23</v>
      </c>
      <c r="C506" t="s">
        <v>174</v>
      </c>
      <c r="D506" t="s">
        <v>168</v>
      </c>
      <c r="E506" t="s">
        <v>24</v>
      </c>
      <c r="F506" t="s">
        <v>24</v>
      </c>
      <c r="G506">
        <v>42</v>
      </c>
      <c r="H506" t="s">
        <v>165</v>
      </c>
      <c r="I506" t="s">
        <v>278</v>
      </c>
      <c r="J506" s="174" t="s">
        <v>316</v>
      </c>
      <c r="K506">
        <v>31</v>
      </c>
      <c r="L506">
        <v>5935</v>
      </c>
      <c r="M506">
        <v>54558000</v>
      </c>
      <c r="N506">
        <v>5179760</v>
      </c>
      <c r="O506">
        <v>5825000</v>
      </c>
      <c r="P506">
        <v>0</v>
      </c>
      <c r="R506">
        <v>0</v>
      </c>
      <c r="T506">
        <f t="shared" ref="T506:T509" si="149">SUM(N506:R506)</f>
        <v>11004760</v>
      </c>
      <c r="U506">
        <f>700000+((500000/2)/2)</f>
        <v>825000</v>
      </c>
      <c r="V506" s="1">
        <f>158*35000</f>
        <v>5530000</v>
      </c>
      <c r="W506" s="1">
        <v>0</v>
      </c>
      <c r="X506">
        <v>0</v>
      </c>
      <c r="Y506">
        <f t="shared" ref="Y506:Y509" si="150">SUM(U506:X506)</f>
        <v>6355000</v>
      </c>
      <c r="Z506" s="12">
        <f>26%*M506</f>
        <v>14185080</v>
      </c>
      <c r="AA506">
        <f>181*25000</f>
        <v>4525000</v>
      </c>
      <c r="AB506">
        <v>0</v>
      </c>
      <c r="AC506">
        <v>0</v>
      </c>
      <c r="AD506">
        <v>0</v>
      </c>
      <c r="AE506">
        <f t="shared" ref="AE506:AE509" si="151">SUM(Z506:AD506)</f>
        <v>18710080</v>
      </c>
      <c r="AF506" s="12">
        <f t="shared" ref="AF506:AF509" si="152">AE506-(T506+Y506)</f>
        <v>1350320</v>
      </c>
      <c r="AG50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2355320</v>
      </c>
      <c r="AH506">
        <f>IFERROR(AG506/(Z506+Table5[[#This Row],[Rider Penalty (Claim, Other Denda to Riders)]]),0)</f>
        <v>0.16604206673490737</v>
      </c>
      <c r="AI506" s="12">
        <f t="shared" ref="AI506:AI509" si="153">AA506+AB506-V506</f>
        <v>-1005000</v>
      </c>
      <c r="AJ506">
        <f t="shared" ref="AJ506:AJ509" si="154">IFERROR(AI506/(AA506+AB506),0)</f>
        <v>-0.22209944751381216</v>
      </c>
      <c r="AV506" s="109">
        <f>Table5[[#This Row],[Total Selling Comission/Sales (Weekly)]]/Table5[[#This Row],[Total Revenue Sharing % (Weekly)]]*100%</f>
        <v>0.36515550141416192</v>
      </c>
      <c r="AW506" s="109">
        <f>Table5[[#This Row],[Total Daily Incentive (Weekly)]]/Table5[[#This Row],[Total Revenue Sharing % (Weekly)]]*100%</f>
        <v>0.41064273165889792</v>
      </c>
      <c r="AX506" s="109">
        <f>(N506+O506)/Z506*100%</f>
        <v>0.77579823307305984</v>
      </c>
    </row>
    <row r="507" spans="1:50" hidden="1">
      <c r="A507">
        <v>2025</v>
      </c>
      <c r="B507" t="s">
        <v>23</v>
      </c>
      <c r="C507" t="s">
        <v>173</v>
      </c>
      <c r="D507" t="s">
        <v>168</v>
      </c>
      <c r="E507" t="s">
        <v>24</v>
      </c>
      <c r="F507" t="s">
        <v>24</v>
      </c>
      <c r="G507">
        <v>42</v>
      </c>
      <c r="H507" t="s">
        <v>165</v>
      </c>
      <c r="I507" t="s">
        <v>278</v>
      </c>
      <c r="J507" s="174" t="s">
        <v>316</v>
      </c>
      <c r="K507">
        <v>16</v>
      </c>
      <c r="L507">
        <v>2771</v>
      </c>
      <c r="M507">
        <v>24884000</v>
      </c>
      <c r="N507">
        <v>2264580</v>
      </c>
      <c r="O507">
        <v>3025000</v>
      </c>
      <c r="P507">
        <v>0</v>
      </c>
      <c r="R507">
        <v>0</v>
      </c>
      <c r="T507">
        <f t="shared" si="149"/>
        <v>5289580</v>
      </c>
      <c r="U507">
        <v>700000</v>
      </c>
      <c r="V507" s="1">
        <f>83*35000</f>
        <v>2905000</v>
      </c>
      <c r="W507" s="1">
        <v>0</v>
      </c>
      <c r="X507">
        <v>0</v>
      </c>
      <c r="Y507">
        <f t="shared" si="150"/>
        <v>3605000</v>
      </c>
      <c r="Z507" s="12">
        <f>26%*M507</f>
        <v>6469840</v>
      </c>
      <c r="AA507">
        <f>92*25000</f>
        <v>2300000</v>
      </c>
      <c r="AB507">
        <v>0</v>
      </c>
      <c r="AC507">
        <v>0</v>
      </c>
      <c r="AD507">
        <v>0</v>
      </c>
      <c r="AE507">
        <f t="shared" si="151"/>
        <v>8769840</v>
      </c>
      <c r="AF507" s="12">
        <f t="shared" si="152"/>
        <v>-124740</v>
      </c>
      <c r="AG50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480260</v>
      </c>
      <c r="AH507">
        <f>IFERROR(AG507/(Z507+Table5[[#This Row],[Rider Penalty (Claim, Other Denda to Riders)]]),0)</f>
        <v>7.4230583754776008E-2</v>
      </c>
      <c r="AI507" s="12">
        <f t="shared" si="153"/>
        <v>-605000</v>
      </c>
      <c r="AJ507">
        <f t="shared" si="154"/>
        <v>-0.26304347826086955</v>
      </c>
      <c r="AV507" s="109">
        <f>Table5[[#This Row],[Total Selling Comission/Sales (Weekly)]]/Table5[[#This Row],[Total Revenue Sharing % (Weekly)]]*100%</f>
        <v>0.3500210206125654</v>
      </c>
      <c r="AW507" s="109">
        <f>Table5[[#This Row],[Total Daily Incentive (Weekly)]]/Table5[[#This Row],[Total Revenue Sharing % (Weekly)]]*100%</f>
        <v>0.46755406625202478</v>
      </c>
      <c r="AX507" s="109">
        <f>(N507+O507)/Z507*100%</f>
        <v>0.81757508686459013</v>
      </c>
    </row>
    <row r="508" spans="1:50" hidden="1">
      <c r="A508">
        <v>2025</v>
      </c>
      <c r="B508" t="s">
        <v>23</v>
      </c>
      <c r="C508" t="s">
        <v>205</v>
      </c>
      <c r="D508" t="s">
        <v>168</v>
      </c>
      <c r="E508" t="s">
        <v>24</v>
      </c>
      <c r="F508" t="s">
        <v>24</v>
      </c>
      <c r="G508">
        <v>42</v>
      </c>
      <c r="H508" t="s">
        <v>165</v>
      </c>
      <c r="I508" t="s">
        <v>278</v>
      </c>
      <c r="J508" s="174" t="s">
        <v>316</v>
      </c>
      <c r="K508">
        <v>1</v>
      </c>
      <c r="L508">
        <v>206</v>
      </c>
      <c r="M508">
        <v>396300</v>
      </c>
      <c r="N508">
        <v>0</v>
      </c>
      <c r="O508">
        <v>0</v>
      </c>
      <c r="P508">
        <v>0</v>
      </c>
      <c r="R508">
        <v>0</v>
      </c>
      <c r="T508">
        <v>0</v>
      </c>
      <c r="U508">
        <f>250000/2</f>
        <v>125000</v>
      </c>
      <c r="V508" s="1">
        <v>0</v>
      </c>
      <c r="W508" s="1">
        <v>0</v>
      </c>
      <c r="X508">
        <v>0</v>
      </c>
      <c r="Y508">
        <f t="shared" si="150"/>
        <v>125000</v>
      </c>
      <c r="Z508" s="12">
        <f>7%*M508</f>
        <v>27741.000000000004</v>
      </c>
      <c r="AA508">
        <v>0</v>
      </c>
      <c r="AB508">
        <v>0</v>
      </c>
      <c r="AC508">
        <v>0</v>
      </c>
      <c r="AD508">
        <v>0</v>
      </c>
      <c r="AE508">
        <f t="shared" si="151"/>
        <v>27741.000000000004</v>
      </c>
      <c r="AF508" s="12">
        <f t="shared" si="152"/>
        <v>-97259</v>
      </c>
      <c r="AG50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-97259</v>
      </c>
      <c r="AH508">
        <f>IFERROR(AG508/(Z508+Table5[[#This Row],[Rider Penalty (Claim, Other Denda to Riders)]]),0)</f>
        <v>-3.5059658988500773</v>
      </c>
      <c r="AI508" s="12">
        <f t="shared" si="153"/>
        <v>0</v>
      </c>
      <c r="AJ508">
        <f t="shared" si="154"/>
        <v>0</v>
      </c>
      <c r="AV508" s="109">
        <f>Table5[[#This Row],[Total Selling Comission/Sales (Weekly)]]/Table5[[#This Row],[Total Revenue Sharing % (Weekly)]]*100%</f>
        <v>0</v>
      </c>
      <c r="AW508" s="109">
        <f>Table5[[#This Row],[Total Daily Incentive (Weekly)]]/Table5[[#This Row],[Total Revenue Sharing % (Weekly)]]*100%</f>
        <v>0</v>
      </c>
      <c r="AX508" s="109">
        <f>(N508+O508)/Z508*100%</f>
        <v>0</v>
      </c>
    </row>
    <row r="509" spans="1:50" hidden="1">
      <c r="A509">
        <v>2025</v>
      </c>
      <c r="B509" t="s">
        <v>177</v>
      </c>
      <c r="C509" t="s">
        <v>177</v>
      </c>
      <c r="D509" t="s">
        <v>168</v>
      </c>
      <c r="E509" t="s">
        <v>24</v>
      </c>
      <c r="F509" t="s">
        <v>24</v>
      </c>
      <c r="G509">
        <v>42</v>
      </c>
      <c r="H509" t="s">
        <v>165</v>
      </c>
      <c r="I509" t="s">
        <v>278</v>
      </c>
      <c r="J509" s="174" t="s">
        <v>316</v>
      </c>
      <c r="K509">
        <v>5</v>
      </c>
      <c r="L509">
        <v>408</v>
      </c>
      <c r="M509">
        <v>4209000</v>
      </c>
      <c r="N509" s="16">
        <v>210450</v>
      </c>
      <c r="O509">
        <v>650000</v>
      </c>
      <c r="P509">
        <v>0</v>
      </c>
      <c r="R509">
        <v>0</v>
      </c>
      <c r="T509">
        <f t="shared" si="149"/>
        <v>860450</v>
      </c>
      <c r="U509">
        <v>250000</v>
      </c>
      <c r="V509" s="1">
        <f>26*35000</f>
        <v>910000</v>
      </c>
      <c r="W509" s="1">
        <v>0</v>
      </c>
      <c r="X509">
        <v>0</v>
      </c>
      <c r="Y509">
        <f t="shared" si="150"/>
        <v>1160000</v>
      </c>
      <c r="Z509" s="12">
        <f>30%*M509</f>
        <v>1262700</v>
      </c>
      <c r="AA509">
        <f>28*25000</f>
        <v>700000</v>
      </c>
      <c r="AB509">
        <v>0</v>
      </c>
      <c r="AC509">
        <v>0</v>
      </c>
      <c r="AD509">
        <v>0</v>
      </c>
      <c r="AE509">
        <f t="shared" si="151"/>
        <v>1962700</v>
      </c>
      <c r="AF509" s="12">
        <f t="shared" si="152"/>
        <v>-57750</v>
      </c>
      <c r="AG50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152250</v>
      </c>
      <c r="AH509">
        <f>IFERROR(AG509/(Z509+Table5[[#This Row],[Rider Penalty (Claim, Other Denda to Riders)]]),0)</f>
        <v>0.12057495842242813</v>
      </c>
      <c r="AI509" s="12">
        <f t="shared" si="153"/>
        <v>-210000</v>
      </c>
      <c r="AJ509">
        <f t="shared" si="154"/>
        <v>-0.3</v>
      </c>
      <c r="AV509" s="109"/>
      <c r="AW509" s="109"/>
      <c r="AX509" s="109"/>
    </row>
    <row r="510" spans="1:50" hidden="1">
      <c r="A510">
        <v>2025</v>
      </c>
      <c r="B510" s="179" t="s">
        <v>23</v>
      </c>
      <c r="C510" s="64" t="s">
        <v>23</v>
      </c>
      <c r="D510" t="s">
        <v>168</v>
      </c>
      <c r="E510" t="s">
        <v>28</v>
      </c>
      <c r="F510" t="s">
        <v>28</v>
      </c>
      <c r="G510">
        <v>42</v>
      </c>
      <c r="H510" t="s">
        <v>165</v>
      </c>
      <c r="I510" t="s">
        <v>278</v>
      </c>
      <c r="J510" s="174" t="s">
        <v>316</v>
      </c>
      <c r="K510" s="16">
        <v>243</v>
      </c>
      <c r="L510" s="16">
        <v>72075</v>
      </c>
      <c r="M510" s="16">
        <v>633136000</v>
      </c>
      <c r="N510" s="16">
        <v>72228470</v>
      </c>
      <c r="O510" s="16">
        <v>65775000</v>
      </c>
      <c r="P510" s="16">
        <v>0</v>
      </c>
      <c r="Q510" s="16"/>
      <c r="R510" s="16">
        <v>0</v>
      </c>
      <c r="S510" s="16"/>
      <c r="T510" s="16">
        <f t="shared" ref="T510:T512" si="155">SUM(N510:R510)</f>
        <v>138003470</v>
      </c>
      <c r="U510" s="16">
        <v>2875000</v>
      </c>
      <c r="V510" s="173">
        <v>59535000</v>
      </c>
      <c r="W510" s="173">
        <v>0</v>
      </c>
      <c r="X510" s="16">
        <v>284181.78494623664</v>
      </c>
      <c r="Y510" s="16">
        <f>SUM(U510:X510)</f>
        <v>62694181.784946233</v>
      </c>
      <c r="Z510" s="16">
        <f>26%*M510</f>
        <v>164615360</v>
      </c>
      <c r="AA510" s="16">
        <v>38175000</v>
      </c>
      <c r="AB510" s="16">
        <v>0</v>
      </c>
      <c r="AC510" s="16">
        <v>1925000</v>
      </c>
      <c r="AD510" s="16">
        <v>0</v>
      </c>
      <c r="AE510" s="16">
        <f t="shared" ref="AE510:AE513" si="156">SUM(Z510:AD510)</f>
        <v>204715360</v>
      </c>
      <c r="AF510" s="12">
        <f t="shared" ref="AF510:AF513" si="157">AE510-(T510+Y510)</f>
        <v>4017708.215053767</v>
      </c>
      <c r="AG51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23452708.215053763</v>
      </c>
      <c r="AH510">
        <f>IFERROR(AG510/(Z510+Table5[[#This Row],[Rider Penalty (Claim, Other Denda to Riders)]]),0)</f>
        <v>0.14246974410561544</v>
      </c>
      <c r="AI510" s="12">
        <f t="shared" ref="AI510:AI513" si="158">AA510+AB510-V510</f>
        <v>-21360000</v>
      </c>
      <c r="AJ510">
        <f t="shared" ref="AJ510:AJ513" si="159">IFERROR(AI510/(AA510+AB510),0)</f>
        <v>-0.55952848722986248</v>
      </c>
      <c r="AV510" s="109">
        <f>Table5[[#This Row],[Total Selling Comission/Sales (Weekly)]]/Table5[[#This Row],[Total Revenue Sharing % (Weekly)]]*100%</f>
        <v>0.43877114504989084</v>
      </c>
      <c r="AW510" s="109">
        <f>Table5[[#This Row],[Total Daily Incentive (Weekly)]]/Table5[[#This Row],[Total Revenue Sharing % (Weekly)]]*100%</f>
        <v>0.39956781675780439</v>
      </c>
      <c r="AX510" s="109">
        <f>(N510+O510)/Z510*100%</f>
        <v>0.83833896180769518</v>
      </c>
    </row>
    <row r="511" spans="1:50" hidden="1">
      <c r="A511">
        <v>2025</v>
      </c>
      <c r="B511" s="179" t="s">
        <v>23</v>
      </c>
      <c r="C511" s="64" t="s">
        <v>172</v>
      </c>
      <c r="D511" t="s">
        <v>168</v>
      </c>
      <c r="E511" t="s">
        <v>28</v>
      </c>
      <c r="F511" t="s">
        <v>28</v>
      </c>
      <c r="G511">
        <v>42</v>
      </c>
      <c r="H511" t="s">
        <v>165</v>
      </c>
      <c r="I511" t="s">
        <v>278</v>
      </c>
      <c r="J511" s="174" t="s">
        <v>316</v>
      </c>
      <c r="K511" s="16">
        <v>22</v>
      </c>
      <c r="L511" s="16">
        <v>6907</v>
      </c>
      <c r="M511" s="16">
        <v>60574000</v>
      </c>
      <c r="N511" s="16">
        <v>6929930</v>
      </c>
      <c r="O511" s="16">
        <v>6160000</v>
      </c>
      <c r="P511" s="16">
        <v>0</v>
      </c>
      <c r="Q511" s="16"/>
      <c r="R511" s="16">
        <v>0</v>
      </c>
      <c r="S511" s="16"/>
      <c r="T511" s="16">
        <f t="shared" si="155"/>
        <v>13089930</v>
      </c>
      <c r="U511" s="16">
        <v>375000</v>
      </c>
      <c r="V511" s="173">
        <v>5390000</v>
      </c>
      <c r="W511" s="173">
        <v>0</v>
      </c>
      <c r="X511" s="16">
        <v>286021.50537634408</v>
      </c>
      <c r="Y511" s="16">
        <f t="shared" ref="Y511:Y513" si="160">SUM(U511:X511)</f>
        <v>6051021.5053763445</v>
      </c>
      <c r="Z511" s="16">
        <f>26%*M511</f>
        <v>15749240</v>
      </c>
      <c r="AA511" s="16">
        <v>3500000</v>
      </c>
      <c r="AB511" s="16">
        <v>0</v>
      </c>
      <c r="AC511" s="16">
        <v>200000</v>
      </c>
      <c r="AD511" s="16">
        <v>0</v>
      </c>
      <c r="AE511" s="16">
        <f t="shared" si="156"/>
        <v>19449240</v>
      </c>
      <c r="AF511" s="12">
        <f t="shared" si="157"/>
        <v>308288.49462365359</v>
      </c>
      <c r="AG51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1998288.4946236559</v>
      </c>
      <c r="AH511">
        <f>IFERROR(AG511/(Z511+Table5[[#This Row],[Rider Penalty (Claim, Other Denda to Riders)]]),0)</f>
        <v>0.12688158251595988</v>
      </c>
      <c r="AI511" s="12">
        <f t="shared" si="158"/>
        <v>-1890000</v>
      </c>
      <c r="AJ511">
        <f t="shared" si="159"/>
        <v>-0.54</v>
      </c>
      <c r="AV511" s="109">
        <f>Table5[[#This Row],[Total Selling Comission/Sales (Weekly)]]/Table5[[#This Row],[Total Revenue Sharing % (Weekly)]]*100%</f>
        <v>0.44001678811168032</v>
      </c>
      <c r="AW511" s="109">
        <f>Table5[[#This Row],[Total Daily Incentive (Weekly)]]/Table5[[#This Row],[Total Revenue Sharing % (Weekly)]]*100%</f>
        <v>0.39112998468497528</v>
      </c>
      <c r="AX511" s="109">
        <f>(N511+O511)/Z511*100%</f>
        <v>0.83114677279665561</v>
      </c>
    </row>
    <row r="512" spans="1:50" hidden="1">
      <c r="A512">
        <v>2025</v>
      </c>
      <c r="B512" t="s">
        <v>176</v>
      </c>
      <c r="C512" t="s">
        <v>176</v>
      </c>
      <c r="D512" t="s">
        <v>169</v>
      </c>
      <c r="E512" t="s">
        <v>28</v>
      </c>
      <c r="F512" t="s">
        <v>28</v>
      </c>
      <c r="G512">
        <v>42</v>
      </c>
      <c r="H512" t="s">
        <v>165</v>
      </c>
      <c r="I512" t="s">
        <v>278</v>
      </c>
      <c r="J512" s="174" t="s">
        <v>316</v>
      </c>
      <c r="K512" s="16">
        <v>12</v>
      </c>
      <c r="L512" s="16">
        <v>1137</v>
      </c>
      <c r="M512" s="16">
        <v>10731000</v>
      </c>
      <c r="N512" s="16">
        <v>0</v>
      </c>
      <c r="O512" s="16">
        <v>0</v>
      </c>
      <c r="P512" s="16">
        <v>0</v>
      </c>
      <c r="Q512" s="16"/>
      <c r="R512" s="16">
        <v>0</v>
      </c>
      <c r="S512" s="16"/>
      <c r="T512" s="16">
        <f t="shared" si="155"/>
        <v>0</v>
      </c>
      <c r="U512" s="16">
        <v>0</v>
      </c>
      <c r="V512" s="173">
        <v>0</v>
      </c>
      <c r="W512" s="173">
        <v>0</v>
      </c>
      <c r="X512" s="16">
        <v>0</v>
      </c>
      <c r="Y512" s="16">
        <v>0</v>
      </c>
      <c r="Z512" s="16">
        <f>7%*M512</f>
        <v>751170.00000000012</v>
      </c>
      <c r="AA512" s="16">
        <v>0</v>
      </c>
      <c r="AB512" s="16">
        <v>0</v>
      </c>
      <c r="AC512" s="16">
        <v>0</v>
      </c>
      <c r="AD512" s="16">
        <v>0</v>
      </c>
      <c r="AE512" s="16">
        <f t="shared" si="156"/>
        <v>751170.00000000012</v>
      </c>
      <c r="AF512" s="12">
        <f t="shared" si="157"/>
        <v>751170.00000000012</v>
      </c>
      <c r="AG5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751170.00000000012</v>
      </c>
      <c r="AH512">
        <f>IFERROR(AG512/(Z512+Table5[[#This Row],[Rider Penalty (Claim, Other Denda to Riders)]]),0)</f>
        <v>1</v>
      </c>
      <c r="AI512" s="12">
        <f t="shared" si="158"/>
        <v>0</v>
      </c>
      <c r="AJ512">
        <f t="shared" si="159"/>
        <v>0</v>
      </c>
      <c r="AV512" s="109"/>
      <c r="AW512" s="109"/>
      <c r="AX512" s="109"/>
    </row>
    <row r="513" spans="1:50" hidden="1">
      <c r="A513">
        <v>2025</v>
      </c>
      <c r="B513" t="s">
        <v>178</v>
      </c>
      <c r="C513" t="s">
        <v>178</v>
      </c>
      <c r="D513" t="s">
        <v>169</v>
      </c>
      <c r="E513" t="s">
        <v>28</v>
      </c>
      <c r="F513" t="s">
        <v>28</v>
      </c>
      <c r="G513">
        <v>42</v>
      </c>
      <c r="H513" t="s">
        <v>165</v>
      </c>
      <c r="I513" t="s">
        <v>278</v>
      </c>
      <c r="J513" s="174" t="s">
        <v>316</v>
      </c>
      <c r="K513" s="16">
        <v>4</v>
      </c>
      <c r="L513" s="16">
        <v>783</v>
      </c>
      <c r="M513" s="16">
        <v>3210000</v>
      </c>
      <c r="N513" s="16">
        <v>109300</v>
      </c>
      <c r="O513" s="16">
        <v>1000000</v>
      </c>
      <c r="P513" s="16">
        <v>0</v>
      </c>
      <c r="Q513" s="16"/>
      <c r="R513" s="16">
        <v>0</v>
      </c>
      <c r="S513" s="16"/>
      <c r="T513" s="16">
        <f>SUM(N513:R513)</f>
        <v>1109300</v>
      </c>
      <c r="U513" s="16">
        <v>0</v>
      </c>
      <c r="V513" s="173">
        <v>980000</v>
      </c>
      <c r="W513" s="173">
        <v>0</v>
      </c>
      <c r="X513" s="16">
        <v>0</v>
      </c>
      <c r="Y513" s="16">
        <f t="shared" si="160"/>
        <v>980000</v>
      </c>
      <c r="Z513" s="16">
        <f>22%*M513</f>
        <v>706200</v>
      </c>
      <c r="AA513" s="16">
        <v>600000</v>
      </c>
      <c r="AB513" s="16">
        <v>666000</v>
      </c>
      <c r="AC513" s="16">
        <v>0</v>
      </c>
      <c r="AD513" s="16">
        <v>0</v>
      </c>
      <c r="AE513" s="16">
        <f t="shared" si="156"/>
        <v>1972200</v>
      </c>
      <c r="AF513" s="12">
        <f t="shared" si="157"/>
        <v>-117100</v>
      </c>
      <c r="AG51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-403100</v>
      </c>
      <c r="AH513">
        <f>IFERROR(AG513/(Z513+Table5[[#This Row],[Rider Penalty (Claim, Other Denda to Riders)]]),0)</f>
        <v>-0.57080147267063153</v>
      </c>
      <c r="AI513" s="12">
        <f t="shared" si="158"/>
        <v>286000</v>
      </c>
      <c r="AJ513">
        <f t="shared" si="159"/>
        <v>0.2259083728278041</v>
      </c>
      <c r="AV513" s="109"/>
      <c r="AW513" s="109"/>
      <c r="AX513" s="109"/>
    </row>
    <row r="514" spans="1:50" hidden="1">
      <c r="A514">
        <v>2025</v>
      </c>
      <c r="B514" t="s">
        <v>23</v>
      </c>
      <c r="C514" t="s">
        <v>174</v>
      </c>
      <c r="D514" t="s">
        <v>168</v>
      </c>
      <c r="E514" t="s">
        <v>24</v>
      </c>
      <c r="F514" t="s">
        <v>24</v>
      </c>
      <c r="G514">
        <v>43</v>
      </c>
      <c r="H514" t="s">
        <v>165</v>
      </c>
      <c r="I514" t="s">
        <v>279</v>
      </c>
      <c r="J514" s="174" t="s">
        <v>313</v>
      </c>
      <c r="K514">
        <v>32</v>
      </c>
      <c r="L514">
        <v>4904</v>
      </c>
      <c r="M514">
        <v>45036000</v>
      </c>
      <c r="N514">
        <v>4286860</v>
      </c>
      <c r="O514">
        <v>5325000</v>
      </c>
      <c r="P514">
        <v>0</v>
      </c>
      <c r="R514">
        <v>0</v>
      </c>
      <c r="T514">
        <f t="shared" ref="T514:T517" si="161">SUM(N514:R514)</f>
        <v>9611860</v>
      </c>
      <c r="U514">
        <f>700000+((700000/2)/2)</f>
        <v>875000</v>
      </c>
      <c r="V514" s="1">
        <f>150*35000</f>
        <v>5250000</v>
      </c>
      <c r="W514" s="1">
        <v>0</v>
      </c>
      <c r="X514">
        <v>0</v>
      </c>
      <c r="Y514">
        <f t="shared" ref="Y514:Y517" si="162">SUM(U514:X514)</f>
        <v>6125000</v>
      </c>
      <c r="Z514" s="12">
        <f>26%*M514</f>
        <v>11709360</v>
      </c>
      <c r="AA514">
        <f>170*25000</f>
        <v>4250000</v>
      </c>
      <c r="AB514">
        <v>0</v>
      </c>
      <c r="AC514">
        <v>0</v>
      </c>
      <c r="AD514">
        <v>0</v>
      </c>
      <c r="AE514">
        <f t="shared" ref="AE514:AE517" si="163">SUM(Z514:AD514)</f>
        <v>15959360</v>
      </c>
      <c r="AF514" s="12">
        <f t="shared" ref="AF514:AF517" si="164">AE514-(T514+Y514)</f>
        <v>222500</v>
      </c>
      <c r="AG51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1222500</v>
      </c>
      <c r="AH514">
        <f>IFERROR(AG514/(Z514+Table5[[#This Row],[Rider Penalty (Claim, Other Denda to Riders)]]),0)</f>
        <v>0.10440365656192994</v>
      </c>
      <c r="AI514" s="12">
        <f t="shared" ref="AI514:AI517" si="165">AA514+AB514-V514</f>
        <v>-1000000</v>
      </c>
      <c r="AJ514">
        <f t="shared" ref="AJ514:AJ517" si="166">IFERROR(AI514/(AA514+AB514),0)</f>
        <v>-0.23529411764705882</v>
      </c>
      <c r="AV514" s="109">
        <f>Table5[[#This Row],[Total Selling Comission/Sales (Weekly)]]/Table5[[#This Row],[Total Revenue Sharing % (Weekly)]]*100%</f>
        <v>0.36610540627327198</v>
      </c>
      <c r="AW514" s="109">
        <f>Table5[[#This Row],[Total Daily Incentive (Weekly)]]/Table5[[#This Row],[Total Revenue Sharing % (Weekly)]]*100%</f>
        <v>0.4547643936133145</v>
      </c>
      <c r="AX514" s="109">
        <f>(N514+O514)/Z514*100%</f>
        <v>0.82086979988658648</v>
      </c>
    </row>
    <row r="515" spans="1:50" hidden="1">
      <c r="A515">
        <v>2025</v>
      </c>
      <c r="B515" t="s">
        <v>23</v>
      </c>
      <c r="C515" t="s">
        <v>173</v>
      </c>
      <c r="D515" t="s">
        <v>168</v>
      </c>
      <c r="E515" t="s">
        <v>24</v>
      </c>
      <c r="F515" t="s">
        <v>282</v>
      </c>
      <c r="G515">
        <v>43</v>
      </c>
      <c r="H515" t="s">
        <v>165</v>
      </c>
      <c r="I515" t="s">
        <v>279</v>
      </c>
      <c r="J515" s="174" t="s">
        <v>313</v>
      </c>
      <c r="K515">
        <v>18</v>
      </c>
      <c r="L515">
        <v>2424</v>
      </c>
      <c r="M515">
        <v>21458000</v>
      </c>
      <c r="N515">
        <v>1793280</v>
      </c>
      <c r="O515">
        <v>2700000</v>
      </c>
      <c r="P515">
        <v>0</v>
      </c>
      <c r="R515">
        <v>0</v>
      </c>
      <c r="T515">
        <f t="shared" si="161"/>
        <v>4493280</v>
      </c>
      <c r="U515">
        <v>700000</v>
      </c>
      <c r="V515" s="1">
        <f>83*35000</f>
        <v>2905000</v>
      </c>
      <c r="W515" s="1">
        <v>0</v>
      </c>
      <c r="X515">
        <v>0</v>
      </c>
      <c r="Y515">
        <f t="shared" si="162"/>
        <v>3605000</v>
      </c>
      <c r="Z515" s="12">
        <f>26%*M515</f>
        <v>5579080</v>
      </c>
      <c r="AA515">
        <f>93*25000</f>
        <v>2325000</v>
      </c>
      <c r="AB515">
        <v>0</v>
      </c>
      <c r="AC515">
        <v>0</v>
      </c>
      <c r="AD515">
        <v>0</v>
      </c>
      <c r="AE515">
        <f t="shared" si="163"/>
        <v>7904080</v>
      </c>
      <c r="AF515" s="12">
        <f t="shared" si="164"/>
        <v>-194200</v>
      </c>
      <c r="AG51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385800</v>
      </c>
      <c r="AH515">
        <f>IFERROR(AG515/(Z515+Table5[[#This Row],[Rider Penalty (Claim, Other Denda to Riders)]]),0)</f>
        <v>6.9151186217082383E-2</v>
      </c>
      <c r="AI515" s="12">
        <f t="shared" si="165"/>
        <v>-580000</v>
      </c>
      <c r="AJ515">
        <f t="shared" si="166"/>
        <v>-0.24946236559139784</v>
      </c>
      <c r="AV515" s="109">
        <f>Table5[[#This Row],[Total Selling Comission/Sales (Weekly)]]/Table5[[#This Row],[Total Revenue Sharing % (Weekly)]]*100%</f>
        <v>0.32142933960437919</v>
      </c>
      <c r="AW515" s="109">
        <f>Table5[[#This Row],[Total Daily Incentive (Weekly)]]/Table5[[#This Row],[Total Revenue Sharing % (Weekly)]]*100%</f>
        <v>0.48395075890648637</v>
      </c>
      <c r="AX515" s="109">
        <f>(N515+O515)/Z515*100%</f>
        <v>0.80538009851086556</v>
      </c>
    </row>
    <row r="516" spans="1:50" hidden="1">
      <c r="A516">
        <v>2025</v>
      </c>
      <c r="B516" t="s">
        <v>23</v>
      </c>
      <c r="C516" t="s">
        <v>205</v>
      </c>
      <c r="D516" t="s">
        <v>168</v>
      </c>
      <c r="E516" t="s">
        <v>24</v>
      </c>
      <c r="F516" t="s">
        <v>24</v>
      </c>
      <c r="G516">
        <v>43</v>
      </c>
      <c r="H516" t="s">
        <v>165</v>
      </c>
      <c r="I516" t="s">
        <v>279</v>
      </c>
      <c r="J516" s="174" t="s">
        <v>313</v>
      </c>
      <c r="K516">
        <v>1</v>
      </c>
      <c r="L516">
        <v>223</v>
      </c>
      <c r="M516">
        <v>403900</v>
      </c>
      <c r="N516">
        <v>0</v>
      </c>
      <c r="O516">
        <v>0</v>
      </c>
      <c r="P516">
        <v>0</v>
      </c>
      <c r="R516">
        <v>0</v>
      </c>
      <c r="T516">
        <v>0</v>
      </c>
      <c r="U516">
        <f>(700000/2)/2</f>
        <v>175000</v>
      </c>
      <c r="V516" s="1">
        <v>0</v>
      </c>
      <c r="W516" s="1">
        <v>0</v>
      </c>
      <c r="X516">
        <v>0</v>
      </c>
      <c r="Y516">
        <f t="shared" si="162"/>
        <v>175000</v>
      </c>
      <c r="Z516" s="12">
        <f>7%*M516</f>
        <v>28273.000000000004</v>
      </c>
      <c r="AA516">
        <v>0</v>
      </c>
      <c r="AB516">
        <v>0</v>
      </c>
      <c r="AC516">
        <v>0</v>
      </c>
      <c r="AD516">
        <v>0</v>
      </c>
      <c r="AE516">
        <f t="shared" si="163"/>
        <v>28273.000000000004</v>
      </c>
      <c r="AF516" s="12">
        <f t="shared" si="164"/>
        <v>-146727</v>
      </c>
      <c r="AG5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-146727</v>
      </c>
      <c r="AH516">
        <f>IFERROR(AG516/(Z516+Table5[[#This Row],[Rider Penalty (Claim, Other Denda to Riders)]]),0)</f>
        <v>-5.1896509036890315</v>
      </c>
      <c r="AI516" s="12">
        <f t="shared" si="165"/>
        <v>0</v>
      </c>
      <c r="AJ516">
        <f t="shared" si="166"/>
        <v>0</v>
      </c>
      <c r="AV516" s="109">
        <f>Table5[[#This Row],[Total Selling Comission/Sales (Weekly)]]/Table5[[#This Row],[Total Revenue Sharing % (Weekly)]]*100%</f>
        <v>0</v>
      </c>
      <c r="AW516" s="109">
        <f>Table5[[#This Row],[Total Daily Incentive (Weekly)]]/Table5[[#This Row],[Total Revenue Sharing % (Weekly)]]*100%</f>
        <v>0</v>
      </c>
      <c r="AX516" s="109">
        <f>(N516+O516)/Z516*100%</f>
        <v>0</v>
      </c>
    </row>
    <row r="517" spans="1:50" hidden="1">
      <c r="A517">
        <v>2025</v>
      </c>
      <c r="B517" t="s">
        <v>177</v>
      </c>
      <c r="C517" t="s">
        <v>177</v>
      </c>
      <c r="D517" t="s">
        <v>168</v>
      </c>
      <c r="E517" t="s">
        <v>24</v>
      </c>
      <c r="F517" t="s">
        <v>24</v>
      </c>
      <c r="G517">
        <v>43</v>
      </c>
      <c r="H517" t="s">
        <v>165</v>
      </c>
      <c r="I517" t="s">
        <v>279</v>
      </c>
      <c r="J517" s="174" t="s">
        <v>313</v>
      </c>
      <c r="K517">
        <v>5</v>
      </c>
      <c r="L517">
        <v>225</v>
      </c>
      <c r="M517">
        <v>2411000</v>
      </c>
      <c r="N517">
        <v>120550</v>
      </c>
      <c r="O517">
        <v>475000</v>
      </c>
      <c r="P517">
        <v>0</v>
      </c>
      <c r="R517">
        <v>0</v>
      </c>
      <c r="T517">
        <f t="shared" si="161"/>
        <v>595550</v>
      </c>
      <c r="U517">
        <f>700000/2</f>
        <v>350000</v>
      </c>
      <c r="V517" s="1">
        <f>19*35000</f>
        <v>665000</v>
      </c>
      <c r="W517" s="1">
        <v>0</v>
      </c>
      <c r="X517">
        <v>0</v>
      </c>
      <c r="Y517">
        <f t="shared" si="162"/>
        <v>1015000</v>
      </c>
      <c r="Z517" s="12">
        <f>30%*M517</f>
        <v>723300</v>
      </c>
      <c r="AA517">
        <f>19*25000</f>
        <v>475000</v>
      </c>
      <c r="AB517">
        <v>0</v>
      </c>
      <c r="AC517">
        <v>0</v>
      </c>
      <c r="AD517">
        <v>0</v>
      </c>
      <c r="AE517">
        <f t="shared" si="163"/>
        <v>1198300</v>
      </c>
      <c r="AF517" s="12">
        <f t="shared" si="164"/>
        <v>-412250</v>
      </c>
      <c r="AG51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-222250</v>
      </c>
      <c r="AH517">
        <f>IFERROR(AG517/(Z517+Table5[[#This Row],[Rider Penalty (Claim, Other Denda to Riders)]]),0)</f>
        <v>-0.3072722245264759</v>
      </c>
      <c r="AI517" s="12">
        <f t="shared" si="165"/>
        <v>-190000</v>
      </c>
      <c r="AJ517">
        <f t="shared" si="166"/>
        <v>-0.4</v>
      </c>
      <c r="AV517" s="109"/>
      <c r="AW517" s="109"/>
      <c r="AX517" s="109"/>
    </row>
    <row r="518" spans="1:50" hidden="1">
      <c r="A518">
        <v>2025</v>
      </c>
      <c r="B518" s="179" t="s">
        <v>23</v>
      </c>
      <c r="C518" s="64" t="s">
        <v>23</v>
      </c>
      <c r="D518" t="s">
        <v>168</v>
      </c>
      <c r="E518" t="s">
        <v>28</v>
      </c>
      <c r="F518" t="s">
        <v>28</v>
      </c>
      <c r="G518">
        <v>43</v>
      </c>
      <c r="H518" t="s">
        <v>165</v>
      </c>
      <c r="I518" t="s">
        <v>279</v>
      </c>
      <c r="J518" s="174" t="s">
        <v>313</v>
      </c>
      <c r="K518" s="16">
        <v>246</v>
      </c>
      <c r="L518" s="16">
        <v>63314</v>
      </c>
      <c r="M518" s="16">
        <v>562600000</v>
      </c>
      <c r="N518" s="16">
        <v>59504265</v>
      </c>
      <c r="O518" s="16">
        <v>67275000</v>
      </c>
      <c r="P518" s="16">
        <v>0</v>
      </c>
      <c r="Q518" s="16">
        <v>600000</v>
      </c>
      <c r="R518" s="16">
        <f>3800000</f>
        <v>3800000</v>
      </c>
      <c r="S518" s="16"/>
      <c r="T518" s="16">
        <f>SUM(N518:R518)</f>
        <v>131179265</v>
      </c>
      <c r="U518" s="192">
        <v>2975000</v>
      </c>
      <c r="V518" s="16">
        <v>60270000</v>
      </c>
      <c r="W518" s="173">
        <v>0</v>
      </c>
      <c r="X518" s="16">
        <v>284182</v>
      </c>
      <c r="Y518" s="16">
        <f>SUM(U518:X518)</f>
        <v>63529182</v>
      </c>
      <c r="Z518" s="16">
        <f>26%*M518</f>
        <v>146276000</v>
      </c>
      <c r="AA518" s="16">
        <v>38500000</v>
      </c>
      <c r="AB518" s="16">
        <v>0</v>
      </c>
      <c r="AC518" s="16">
        <v>1925000</v>
      </c>
      <c r="AD518" s="16">
        <v>0</v>
      </c>
      <c r="AE518" s="16">
        <f>SUM(Z518:AD518)</f>
        <v>186701000</v>
      </c>
      <c r="AF518" s="16">
        <f>AE518-(T518+Y518)</f>
        <v>-8007447</v>
      </c>
      <c r="AG51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11837553</v>
      </c>
      <c r="AH518">
        <f>IFERROR(AG518/(Z518+Table5[[#This Row],[Rider Penalty (Claim, Other Denda to Riders)]]),0)</f>
        <v>8.0926146462851054E-2</v>
      </c>
      <c r="AI518" s="12">
        <f>AA518+AB518-V518</f>
        <v>-21770000</v>
      </c>
      <c r="AJ518">
        <f>IFERROR(AI518/(AA518+AB518),0)</f>
        <v>-0.56545454545454543</v>
      </c>
      <c r="AV518" s="109">
        <f>Table5[[#This Row],[Total Selling Comission/Sales (Weekly)]]/Table5[[#This Row],[Total Revenue Sharing % (Weekly)]]*100%</f>
        <v>0.40679445021739724</v>
      </c>
      <c r="AW518" s="109">
        <f>Table5[[#This Row],[Total Daily Incentive (Weekly)]]/Table5[[#This Row],[Total Revenue Sharing % (Weekly)]]*100%</f>
        <v>0.45991823675790972</v>
      </c>
      <c r="AX518" s="109">
        <f>(N518+O518)/Z518*100%</f>
        <v>0.8667126869753069</v>
      </c>
    </row>
    <row r="519" spans="1:50" hidden="1">
      <c r="A519">
        <v>2025</v>
      </c>
      <c r="B519" s="179" t="s">
        <v>23</v>
      </c>
      <c r="C519" s="64" t="s">
        <v>172</v>
      </c>
      <c r="D519" t="s">
        <v>168</v>
      </c>
      <c r="E519" t="s">
        <v>28</v>
      </c>
      <c r="F519" t="s">
        <v>28</v>
      </c>
      <c r="G519">
        <v>43</v>
      </c>
      <c r="H519" t="s">
        <v>165</v>
      </c>
      <c r="I519" t="s">
        <v>279</v>
      </c>
      <c r="J519" s="174" t="s">
        <v>313</v>
      </c>
      <c r="K519">
        <v>20</v>
      </c>
      <c r="L519">
        <v>4832</v>
      </c>
      <c r="M519" s="16">
        <v>42184000</v>
      </c>
      <c r="N519" s="16">
        <v>4173145</v>
      </c>
      <c r="O519" s="16">
        <v>5800000</v>
      </c>
      <c r="P519" s="16">
        <v>0</v>
      </c>
      <c r="Q519" s="16"/>
      <c r="R519" s="16">
        <v>400000</v>
      </c>
      <c r="S519" s="16"/>
      <c r="T519" s="16">
        <f>SUM(N519:R519)</f>
        <v>10373145</v>
      </c>
      <c r="U519" s="16">
        <v>1750000</v>
      </c>
      <c r="V519" s="173">
        <v>4900000</v>
      </c>
      <c r="W519" s="173">
        <v>0</v>
      </c>
      <c r="X519" s="16">
        <v>286022</v>
      </c>
      <c r="Y519" s="16">
        <f>SUM(U519:X519)</f>
        <v>6936022</v>
      </c>
      <c r="Z519" s="16">
        <f>26%*M519</f>
        <v>10967840</v>
      </c>
      <c r="AA519">
        <v>3325000</v>
      </c>
      <c r="AB519">
        <v>0</v>
      </c>
      <c r="AC519">
        <v>150000</v>
      </c>
      <c r="AD519">
        <v>0</v>
      </c>
      <c r="AE519">
        <f>SUM(Z519:AD519)</f>
        <v>14442840</v>
      </c>
      <c r="AF519" s="12">
        <f>AE519-(T519+Y519)</f>
        <v>-2866327</v>
      </c>
      <c r="AG51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-1441327</v>
      </c>
      <c r="AH519">
        <f>IFERROR(AG519/(Z519+Table5[[#This Row],[Rider Penalty (Claim, Other Denda to Riders)]]),0)</f>
        <v>-0.13141393382835637</v>
      </c>
      <c r="AI519" s="12">
        <f>AA519+AB519-V519</f>
        <v>-1575000</v>
      </c>
      <c r="AJ519">
        <f>IFERROR(AI519/(AA519+AB519),0)</f>
        <v>-0.47368421052631576</v>
      </c>
      <c r="AV519" s="109">
        <f>Table5[[#This Row],[Total Selling Comission/Sales (Weekly)]]/Table5[[#This Row],[Total Revenue Sharing % (Weekly)]]*100%</f>
        <v>0.3804892303315876</v>
      </c>
      <c r="AW519" s="109">
        <f>Table5[[#This Row],[Total Daily Incentive (Weekly)]]/Table5[[#This Row],[Total Revenue Sharing % (Weekly)]]*100%</f>
        <v>0.52881880114954272</v>
      </c>
      <c r="AX519" s="109">
        <f>(N519+O519)/Z519*100%</f>
        <v>0.90930803148113026</v>
      </c>
    </row>
    <row r="520" spans="1:50" hidden="1">
      <c r="A520">
        <v>2025</v>
      </c>
      <c r="B520" t="s">
        <v>176</v>
      </c>
      <c r="C520" t="s">
        <v>176</v>
      </c>
      <c r="D520" t="s">
        <v>169</v>
      </c>
      <c r="E520" t="s">
        <v>28</v>
      </c>
      <c r="F520" t="s">
        <v>28</v>
      </c>
      <c r="G520">
        <v>43</v>
      </c>
      <c r="H520" t="s">
        <v>165</v>
      </c>
      <c r="I520" t="s">
        <v>279</v>
      </c>
      <c r="J520" s="174" t="s">
        <v>313</v>
      </c>
      <c r="K520">
        <v>12</v>
      </c>
      <c r="L520">
        <v>790</v>
      </c>
      <c r="M520" s="191">
        <v>7494000</v>
      </c>
      <c r="N520">
        <v>0</v>
      </c>
      <c r="O520">
        <v>0</v>
      </c>
      <c r="P520">
        <v>0</v>
      </c>
      <c r="R520" s="16">
        <v>0</v>
      </c>
      <c r="S520" s="16"/>
      <c r="T520" s="16">
        <f>SUM(N520:R520)</f>
        <v>0</v>
      </c>
      <c r="U520" s="16">
        <v>0</v>
      </c>
      <c r="V520" s="173">
        <v>0</v>
      </c>
      <c r="W520" s="173">
        <v>0</v>
      </c>
      <c r="X520" s="16">
        <v>0</v>
      </c>
      <c r="Y520" s="16">
        <v>0</v>
      </c>
      <c r="Z520" s="16">
        <f>7%*M520</f>
        <v>524580</v>
      </c>
      <c r="AA520">
        <v>0</v>
      </c>
      <c r="AB520">
        <v>0</v>
      </c>
      <c r="AC520">
        <v>0</v>
      </c>
      <c r="AD520">
        <v>0</v>
      </c>
      <c r="AE520">
        <f>SUM(Z520:AD520)</f>
        <v>524580</v>
      </c>
      <c r="AF520" s="12">
        <f>AE520-(T520+Y520)</f>
        <v>524580</v>
      </c>
      <c r="AG52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524580</v>
      </c>
      <c r="AH520">
        <f>IFERROR(AG520/(Z520+Table5[[#This Row],[Rider Penalty (Claim, Other Denda to Riders)]]),0)</f>
        <v>1</v>
      </c>
      <c r="AI520" s="12">
        <f>AA520+AB520-V520</f>
        <v>0</v>
      </c>
      <c r="AJ520">
        <f>IFERROR(AI520/(AA520+AB520),0)</f>
        <v>0</v>
      </c>
      <c r="AV520" s="109"/>
      <c r="AW520" s="109"/>
      <c r="AX520" s="109"/>
    </row>
    <row r="521" spans="1:50" hidden="1">
      <c r="A521">
        <v>2025</v>
      </c>
      <c r="B521" t="s">
        <v>178</v>
      </c>
      <c r="C521" t="s">
        <v>178</v>
      </c>
      <c r="D521" t="s">
        <v>169</v>
      </c>
      <c r="E521" t="s">
        <v>28</v>
      </c>
      <c r="F521" t="s">
        <v>28</v>
      </c>
      <c r="G521">
        <v>43</v>
      </c>
      <c r="H521" t="s">
        <v>165</v>
      </c>
      <c r="I521" t="s">
        <v>279</v>
      </c>
      <c r="J521" s="174" t="s">
        <v>313</v>
      </c>
      <c r="K521">
        <v>5</v>
      </c>
      <c r="L521">
        <v>695</v>
      </c>
      <c r="M521" s="16">
        <v>2876000</v>
      </c>
      <c r="N521" s="16">
        <v>1200000</v>
      </c>
      <c r="O521" s="16">
        <v>0</v>
      </c>
      <c r="P521" s="16">
        <v>0</v>
      </c>
      <c r="Q521" s="16"/>
      <c r="R521" s="16">
        <v>0</v>
      </c>
      <c r="S521" s="16"/>
      <c r="T521" s="16">
        <f>SUM(N521:R521)</f>
        <v>1200000</v>
      </c>
      <c r="U521" s="16">
        <v>0</v>
      </c>
      <c r="V521" s="173">
        <v>1225010</v>
      </c>
      <c r="W521" s="173">
        <v>0</v>
      </c>
      <c r="X521" s="16">
        <v>0</v>
      </c>
      <c r="Y521" s="16">
        <f>SUM(U521:X521)</f>
        <v>1225010</v>
      </c>
      <c r="Z521" s="16">
        <f>22%*M521</f>
        <v>632720</v>
      </c>
      <c r="AA521">
        <v>650000</v>
      </c>
      <c r="AB521">
        <v>799200</v>
      </c>
      <c r="AC521">
        <v>0</v>
      </c>
      <c r="AD521">
        <v>0</v>
      </c>
      <c r="AE521">
        <f>SUM(Z521:AD521)</f>
        <v>2081920</v>
      </c>
      <c r="AF521" s="12">
        <f>AE521-(T521+Y521)</f>
        <v>-343090</v>
      </c>
      <c r="AG52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-567280</v>
      </c>
      <c r="AH521">
        <f>IFERROR(AG521/(Z521+Table5[[#This Row],[Rider Penalty (Claim, Other Denda to Riders)]]),0)</f>
        <v>-0.89657352383360733</v>
      </c>
      <c r="AI521" s="12">
        <f>AA521+AB521-V521</f>
        <v>224190</v>
      </c>
      <c r="AJ521">
        <f>IFERROR(AI521/(AA521+AB521),0)</f>
        <v>0.1546991443555065</v>
      </c>
      <c r="AV521" s="109"/>
      <c r="AW521" s="109"/>
      <c r="AX521" s="109"/>
    </row>
    <row r="522" spans="1:50" hidden="1">
      <c r="A522">
        <v>2025</v>
      </c>
      <c r="B522" t="s">
        <v>23</v>
      </c>
      <c r="C522" t="s">
        <v>174</v>
      </c>
      <c r="D522" t="s">
        <v>168</v>
      </c>
      <c r="E522" t="s">
        <v>24</v>
      </c>
      <c r="F522" t="s">
        <v>24</v>
      </c>
      <c r="G522">
        <v>44</v>
      </c>
      <c r="H522" t="s">
        <v>165</v>
      </c>
      <c r="I522" t="s">
        <v>280</v>
      </c>
      <c r="J522" s="174" t="s">
        <v>410</v>
      </c>
      <c r="K522">
        <v>28</v>
      </c>
      <c r="L522">
        <v>3138</v>
      </c>
      <c r="M522">
        <v>28632000</v>
      </c>
      <c r="N522">
        <v>2613740</v>
      </c>
      <c r="O522">
        <v>3875000</v>
      </c>
      <c r="P522">
        <v>0</v>
      </c>
      <c r="R522">
        <v>0</v>
      </c>
      <c r="T522">
        <f t="shared" ref="T522:T525" si="167">SUM(N522:R522)</f>
        <v>6488740</v>
      </c>
      <c r="U522">
        <f>500000+((500000/2)/2)</f>
        <v>625000</v>
      </c>
      <c r="V522" s="1">
        <f>107*35000</f>
        <v>3745000</v>
      </c>
      <c r="W522" s="1">
        <v>0</v>
      </c>
      <c r="X522">
        <v>0</v>
      </c>
      <c r="Y522">
        <f t="shared" ref="Y522:Y525" si="168">SUM(U522:X522)</f>
        <v>4370000</v>
      </c>
      <c r="Z522" s="12">
        <f>26%*M522</f>
        <v>7444320</v>
      </c>
      <c r="AA522">
        <f>107*25000</f>
        <v>2675000</v>
      </c>
      <c r="AB522">
        <v>0</v>
      </c>
      <c r="AC522">
        <v>0</v>
      </c>
      <c r="AD522">
        <v>0</v>
      </c>
      <c r="AE522">
        <f t="shared" ref="AE522:AE525" si="169">SUM(Z522:AD522)</f>
        <v>10119320</v>
      </c>
      <c r="AF522" s="12">
        <f t="shared" ref="AF522:AF525" si="170">AE522-(T522+Y522)</f>
        <v>-739420</v>
      </c>
      <c r="AG52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330580</v>
      </c>
      <c r="AH522">
        <f>IFERROR(AG522/(Z522+Table5[[#This Row],[Rider Penalty (Claim, Other Denda to Riders)]]),0)</f>
        <v>4.4407010982870164E-2</v>
      </c>
      <c r="AI522" s="12">
        <f t="shared" ref="AI522:AI525" si="171">AA522+AB522-V522</f>
        <v>-1070000</v>
      </c>
      <c r="AJ522">
        <f t="shared" ref="AJ522:AJ525" si="172">IFERROR(AI522/(AA522+AB522),0)</f>
        <v>-0.4</v>
      </c>
      <c r="AV522" s="109">
        <f>Table5[[#This Row],[Total Selling Comission/Sales (Weekly)]]/Table5[[#This Row],[Total Revenue Sharing % (Weekly)]]*100%</f>
        <v>0.3511052722075354</v>
      </c>
      <c r="AW522" s="109">
        <f>Table5[[#This Row],[Total Daily Incentive (Weekly)]]/Table5[[#This Row],[Total Revenue Sharing % (Weekly)]]*100%</f>
        <v>0.52053108947492854</v>
      </c>
      <c r="AX522" s="109">
        <f>(N522+O522)/Z522*100%</f>
        <v>0.87163636168246394</v>
      </c>
    </row>
    <row r="523" spans="1:50" hidden="1">
      <c r="A523">
        <v>2025</v>
      </c>
      <c r="B523" t="s">
        <v>23</v>
      </c>
      <c r="C523" t="s">
        <v>173</v>
      </c>
      <c r="D523" t="s">
        <v>168</v>
      </c>
      <c r="E523" t="s">
        <v>24</v>
      </c>
      <c r="F523" t="s">
        <v>282</v>
      </c>
      <c r="G523">
        <v>44</v>
      </c>
      <c r="H523" t="s">
        <v>165</v>
      </c>
      <c r="I523" t="s">
        <v>280</v>
      </c>
      <c r="J523" s="174" t="s">
        <v>410</v>
      </c>
      <c r="K523">
        <v>14</v>
      </c>
      <c r="L523">
        <v>1523</v>
      </c>
      <c r="M523">
        <v>13634000</v>
      </c>
      <c r="N523">
        <v>1092780</v>
      </c>
      <c r="O523">
        <v>1575000</v>
      </c>
      <c r="P523">
        <v>0</v>
      </c>
      <c r="R523">
        <v>0</v>
      </c>
      <c r="T523">
        <f t="shared" si="167"/>
        <v>2667780</v>
      </c>
      <c r="U523">
        <v>500000</v>
      </c>
      <c r="V523" s="1">
        <f>52*35000</f>
        <v>1820000</v>
      </c>
      <c r="W523" s="1">
        <v>0</v>
      </c>
      <c r="X523">
        <v>0</v>
      </c>
      <c r="Y523">
        <f t="shared" si="168"/>
        <v>2320000</v>
      </c>
      <c r="Z523" s="12">
        <f>26%*M523</f>
        <v>3544840</v>
      </c>
      <c r="AA523">
        <f>52*25000</f>
        <v>1300000</v>
      </c>
      <c r="AB523">
        <v>0</v>
      </c>
      <c r="AC523">
        <v>0</v>
      </c>
      <c r="AD523">
        <v>50000</v>
      </c>
      <c r="AE523">
        <f t="shared" si="169"/>
        <v>4894840</v>
      </c>
      <c r="AF523" s="12">
        <f t="shared" si="170"/>
        <v>-92940</v>
      </c>
      <c r="AG52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427060</v>
      </c>
      <c r="AH523">
        <f>IFERROR(AG523/(Z523+Table5[[#This Row],[Rider Penalty (Claim, Other Denda to Riders)]]),0)</f>
        <v>0.11879805498993001</v>
      </c>
      <c r="AI523" s="12">
        <f t="shared" si="171"/>
        <v>-520000</v>
      </c>
      <c r="AJ523">
        <f t="shared" si="172"/>
        <v>-0.4</v>
      </c>
      <c r="AV523" s="109">
        <f>Table5[[#This Row],[Total Selling Comission/Sales (Weekly)]]/Table5[[#This Row],[Total Revenue Sharing % (Weekly)]]*100%</f>
        <v>0.30827343406190405</v>
      </c>
      <c r="AW523" s="109">
        <f>Table5[[#This Row],[Total Daily Incentive (Weekly)]]/Table5[[#This Row],[Total Revenue Sharing % (Weekly)]]*100%</f>
        <v>0.44430778257974973</v>
      </c>
      <c r="AX523" s="109">
        <f>(N523+O523)/Z523*100%</f>
        <v>0.75258121664165378</v>
      </c>
    </row>
    <row r="524" spans="1:50" hidden="1">
      <c r="A524">
        <v>2025</v>
      </c>
      <c r="B524" t="s">
        <v>23</v>
      </c>
      <c r="C524" t="s">
        <v>205</v>
      </c>
      <c r="D524" t="s">
        <v>168</v>
      </c>
      <c r="E524" t="s">
        <v>24</v>
      </c>
      <c r="F524" t="s">
        <v>24</v>
      </c>
      <c r="G524">
        <v>44</v>
      </c>
      <c r="H524" t="s">
        <v>165</v>
      </c>
      <c r="I524" t="s">
        <v>280</v>
      </c>
      <c r="J524" s="174" t="s">
        <v>410</v>
      </c>
      <c r="K524">
        <v>4</v>
      </c>
      <c r="L524">
        <v>303</v>
      </c>
      <c r="M524">
        <v>647200</v>
      </c>
      <c r="N524">
        <v>0</v>
      </c>
      <c r="O524">
        <v>0</v>
      </c>
      <c r="P524">
        <v>0</v>
      </c>
      <c r="R524">
        <v>0</v>
      </c>
      <c r="T524">
        <v>0</v>
      </c>
      <c r="U524">
        <f>(500000/2)/2</f>
        <v>125000</v>
      </c>
      <c r="V524" s="1">
        <v>0</v>
      </c>
      <c r="W524" s="1">
        <v>0</v>
      </c>
      <c r="X524">
        <v>0</v>
      </c>
      <c r="Y524">
        <v>0</v>
      </c>
      <c r="Z524" s="12">
        <f>7%*M524</f>
        <v>45304.000000000007</v>
      </c>
      <c r="AA524">
        <v>0</v>
      </c>
      <c r="AB524">
        <v>0</v>
      </c>
      <c r="AC524">
        <v>0</v>
      </c>
      <c r="AD524">
        <v>0</v>
      </c>
      <c r="AE524">
        <f t="shared" si="169"/>
        <v>45304.000000000007</v>
      </c>
      <c r="AF524" s="12">
        <f t="shared" si="170"/>
        <v>45304.000000000007</v>
      </c>
      <c r="AG52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-79696</v>
      </c>
      <c r="AH524">
        <f>IFERROR(AG524/(Z524+Table5[[#This Row],[Rider Penalty (Claim, Other Denda to Riders)]]),0)</f>
        <v>-1.7591382659367822</v>
      </c>
      <c r="AI524" s="12">
        <f t="shared" si="171"/>
        <v>0</v>
      </c>
      <c r="AJ524">
        <f t="shared" si="172"/>
        <v>0</v>
      </c>
      <c r="AV524" s="109">
        <f>Table5[[#This Row],[Total Selling Comission/Sales (Weekly)]]/Table5[[#This Row],[Total Revenue Sharing % (Weekly)]]*100%</f>
        <v>0</v>
      </c>
      <c r="AW524" s="109">
        <f>Table5[[#This Row],[Total Daily Incentive (Weekly)]]/Table5[[#This Row],[Total Revenue Sharing % (Weekly)]]*100%</f>
        <v>0</v>
      </c>
      <c r="AX524" s="109">
        <f>(N524+O524)/Z524*100%</f>
        <v>0</v>
      </c>
    </row>
    <row r="525" spans="1:50" hidden="1">
      <c r="A525">
        <v>2025</v>
      </c>
      <c r="B525" t="s">
        <v>177</v>
      </c>
      <c r="C525" t="s">
        <v>177</v>
      </c>
      <c r="D525" t="s">
        <v>168</v>
      </c>
      <c r="E525" t="s">
        <v>24</v>
      </c>
      <c r="F525" t="s">
        <v>24</v>
      </c>
      <c r="G525">
        <v>44</v>
      </c>
      <c r="H525" t="s">
        <v>165</v>
      </c>
      <c r="I525" t="s">
        <v>280</v>
      </c>
      <c r="J525" s="174" t="s">
        <v>410</v>
      </c>
      <c r="K525">
        <v>2</v>
      </c>
      <c r="L525">
        <v>201</v>
      </c>
      <c r="M525">
        <v>2083000</v>
      </c>
      <c r="N525">
        <v>162830</v>
      </c>
      <c r="O525">
        <v>252500</v>
      </c>
      <c r="P525">
        <v>0</v>
      </c>
      <c r="R525">
        <v>0</v>
      </c>
      <c r="T525">
        <f t="shared" si="167"/>
        <v>415330</v>
      </c>
      <c r="U525">
        <v>250000</v>
      </c>
      <c r="V525" s="1">
        <f>8*35000</f>
        <v>280000</v>
      </c>
      <c r="W525" s="1">
        <v>0</v>
      </c>
      <c r="X525">
        <v>0</v>
      </c>
      <c r="Y525">
        <f t="shared" si="168"/>
        <v>530000</v>
      </c>
      <c r="Z525" s="12">
        <f>30%*M525</f>
        <v>624900</v>
      </c>
      <c r="AA525">
        <f>10*25000</f>
        <v>250000</v>
      </c>
      <c r="AB525">
        <v>0</v>
      </c>
      <c r="AC525">
        <v>0</v>
      </c>
      <c r="AD525">
        <v>0</v>
      </c>
      <c r="AE525">
        <f t="shared" si="169"/>
        <v>874900</v>
      </c>
      <c r="AF525" s="12">
        <f t="shared" si="170"/>
        <v>-70430</v>
      </c>
      <c r="AG52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-40430</v>
      </c>
      <c r="AH525">
        <f>IFERROR(AG525/(Z525+Table5[[#This Row],[Rider Penalty (Claim, Other Denda to Riders)]]),0)</f>
        <v>-6.4698351736277804E-2</v>
      </c>
      <c r="AI525" s="12">
        <f t="shared" si="171"/>
        <v>-30000</v>
      </c>
      <c r="AJ525">
        <f t="shared" si="172"/>
        <v>-0.12</v>
      </c>
      <c r="AV525" s="109"/>
      <c r="AW525" s="109"/>
      <c r="AX525" s="109"/>
    </row>
    <row r="526" spans="1:50" hidden="1">
      <c r="A526">
        <v>2025</v>
      </c>
      <c r="B526" t="s">
        <v>23</v>
      </c>
      <c r="C526" t="s">
        <v>174</v>
      </c>
      <c r="D526" t="s">
        <v>168</v>
      </c>
      <c r="E526" t="s">
        <v>24</v>
      </c>
      <c r="F526" t="s">
        <v>24</v>
      </c>
      <c r="G526">
        <v>44</v>
      </c>
      <c r="H526" t="s">
        <v>36</v>
      </c>
      <c r="I526" t="s">
        <v>275</v>
      </c>
      <c r="J526" s="174" t="s">
        <v>411</v>
      </c>
      <c r="K526">
        <v>23</v>
      </c>
      <c r="L526">
        <v>1465</v>
      </c>
      <c r="M526">
        <v>13380000</v>
      </c>
      <c r="N526">
        <v>1218480</v>
      </c>
      <c r="O526">
        <v>1500000</v>
      </c>
      <c r="P526">
        <v>0</v>
      </c>
      <c r="R526">
        <v>0</v>
      </c>
      <c r="T526">
        <f t="shared" ref="T526:T529" si="173">SUM(N526:R526)</f>
        <v>2718480</v>
      </c>
      <c r="U526">
        <f>200000+((200000/2)/2)</f>
        <v>250000</v>
      </c>
      <c r="V526" s="1">
        <f>40*35000</f>
        <v>1400000</v>
      </c>
      <c r="W526" s="1">
        <v>0</v>
      </c>
      <c r="X526">
        <v>0</v>
      </c>
      <c r="Y526">
        <f t="shared" ref="Y526:Y529" si="174">SUM(U526:X526)</f>
        <v>1650000</v>
      </c>
      <c r="Z526" s="12">
        <f>26%*M526</f>
        <v>3478800</v>
      </c>
      <c r="AA526">
        <f>40*25000</f>
        <v>1000000</v>
      </c>
      <c r="AB526">
        <v>0</v>
      </c>
      <c r="AC526">
        <v>0</v>
      </c>
      <c r="AD526">
        <v>0</v>
      </c>
      <c r="AE526">
        <f t="shared" ref="AE526:AE529" si="175">SUM(Z526:AD526)</f>
        <v>4478800</v>
      </c>
      <c r="AF526" s="218">
        <f t="shared" ref="AF526:AF529" si="176">AE526-(T526+Y526)</f>
        <v>110320</v>
      </c>
      <c r="AG52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510320</v>
      </c>
      <c r="AH526">
        <f>IFERROR(AG526/(Z526+Table5[[#This Row],[Rider Penalty (Claim, Other Denda to Riders)]]),0)</f>
        <v>0.14669426238932964</v>
      </c>
      <c r="AI526" s="12">
        <f t="shared" ref="AI526:AI529" si="177">AA526+AB526-V526</f>
        <v>-400000</v>
      </c>
      <c r="AJ526">
        <f t="shared" ref="AJ526:AJ529" si="178">IFERROR(AI526/(AA526+AB526),0)</f>
        <v>-0.4</v>
      </c>
      <c r="AV526" s="109">
        <f>Table5[[#This Row],[Total Selling Comission/Sales (Weekly)]]/Table5[[#This Row],[Total Revenue Sharing % (Weekly)]]*100%</f>
        <v>0.35025870989996549</v>
      </c>
      <c r="AW526" s="109">
        <f>Table5[[#This Row],[Total Daily Incentive (Weekly)]]/Table5[[#This Row],[Total Revenue Sharing % (Weekly)]]*100%</f>
        <v>0.43118316660917561</v>
      </c>
      <c r="AX526" s="109">
        <f>(N526+O526)/Z526*100%</f>
        <v>0.7814418765091411</v>
      </c>
    </row>
    <row r="527" spans="1:50" hidden="1">
      <c r="A527">
        <v>2025</v>
      </c>
      <c r="B527" t="s">
        <v>23</v>
      </c>
      <c r="C527" t="s">
        <v>173</v>
      </c>
      <c r="D527" t="s">
        <v>168</v>
      </c>
      <c r="E527" t="s">
        <v>24</v>
      </c>
      <c r="F527" t="s">
        <v>282</v>
      </c>
      <c r="G527">
        <v>44</v>
      </c>
      <c r="H527" t="s">
        <v>36</v>
      </c>
      <c r="I527" t="s">
        <v>275</v>
      </c>
      <c r="J527" s="174" t="s">
        <v>411</v>
      </c>
      <c r="K527">
        <v>13</v>
      </c>
      <c r="L527">
        <v>769</v>
      </c>
      <c r="M527">
        <v>6880000</v>
      </c>
      <c r="N527">
        <v>725000</v>
      </c>
      <c r="O527">
        <v>567360</v>
      </c>
      <c r="P527">
        <v>0</v>
      </c>
      <c r="R527">
        <v>0</v>
      </c>
      <c r="T527">
        <f t="shared" si="173"/>
        <v>1292360</v>
      </c>
      <c r="U527">
        <v>200000</v>
      </c>
      <c r="V527" s="1">
        <f>21*35000</f>
        <v>735000</v>
      </c>
      <c r="W527" s="1">
        <v>0</v>
      </c>
      <c r="X527">
        <v>0</v>
      </c>
      <c r="Y527">
        <f t="shared" si="174"/>
        <v>935000</v>
      </c>
      <c r="Z527" s="12">
        <f>26%*M527</f>
        <v>1788800</v>
      </c>
      <c r="AA527">
        <f>21*25000</f>
        <v>525000</v>
      </c>
      <c r="AB527">
        <v>0</v>
      </c>
      <c r="AC527">
        <v>0</v>
      </c>
      <c r="AD527">
        <v>50000</v>
      </c>
      <c r="AE527">
        <f t="shared" si="175"/>
        <v>2363800</v>
      </c>
      <c r="AF527" s="218">
        <f t="shared" si="176"/>
        <v>136440</v>
      </c>
      <c r="AG52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346440</v>
      </c>
      <c r="AH527">
        <f>IFERROR(AG527/(Z527+Table5[[#This Row],[Rider Penalty (Claim, Other Denda to Riders)]]),0)</f>
        <v>0.18840548183597999</v>
      </c>
      <c r="AI527" s="12">
        <f t="shared" si="177"/>
        <v>-210000</v>
      </c>
      <c r="AJ527">
        <f t="shared" si="178"/>
        <v>-0.4</v>
      </c>
      <c r="AV527" s="109">
        <f>Table5[[#This Row],[Total Selling Comission/Sales (Weekly)]]/Table5[[#This Row],[Total Revenue Sharing % (Weekly)]]*100%</f>
        <v>0.40529964221824688</v>
      </c>
      <c r="AW527" s="109">
        <f>Table5[[#This Row],[Total Daily Incentive (Weekly)]]/Table5[[#This Row],[Total Revenue Sharing % (Weekly)]]*100%</f>
        <v>0.31717352415026834</v>
      </c>
      <c r="AX527" s="109">
        <f>(N527+O527)/Z527*100%</f>
        <v>0.72247316636851522</v>
      </c>
    </row>
    <row r="528" spans="1:50" hidden="1">
      <c r="A528">
        <v>2025</v>
      </c>
      <c r="B528" t="s">
        <v>23</v>
      </c>
      <c r="C528" t="s">
        <v>205</v>
      </c>
      <c r="D528" t="s">
        <v>168</v>
      </c>
      <c r="E528" t="s">
        <v>24</v>
      </c>
      <c r="F528" t="s">
        <v>24</v>
      </c>
      <c r="G528">
        <v>44</v>
      </c>
      <c r="H528" t="s">
        <v>36</v>
      </c>
      <c r="I528" t="s">
        <v>275</v>
      </c>
      <c r="J528" s="174" t="s">
        <v>411</v>
      </c>
      <c r="K528">
        <v>4</v>
      </c>
      <c r="L528">
        <v>296</v>
      </c>
      <c r="M528">
        <v>443600</v>
      </c>
      <c r="N528">
        <v>0</v>
      </c>
      <c r="O528">
        <v>0</v>
      </c>
      <c r="P528">
        <v>0</v>
      </c>
      <c r="R528">
        <v>0</v>
      </c>
      <c r="T528">
        <v>0</v>
      </c>
      <c r="U528">
        <f>(200000/2)/2</f>
        <v>50000</v>
      </c>
      <c r="V528" s="1">
        <v>0</v>
      </c>
      <c r="W528" s="1">
        <v>0</v>
      </c>
      <c r="X528">
        <v>0</v>
      </c>
      <c r="Y528">
        <f t="shared" si="174"/>
        <v>50000</v>
      </c>
      <c r="Z528" s="12">
        <f>7%*M528</f>
        <v>31052.000000000004</v>
      </c>
      <c r="AA528">
        <v>0</v>
      </c>
      <c r="AB528">
        <v>0</v>
      </c>
      <c r="AC528">
        <v>0</v>
      </c>
      <c r="AD528">
        <v>0</v>
      </c>
      <c r="AE528">
        <f t="shared" si="175"/>
        <v>31052.000000000004</v>
      </c>
      <c r="AF528" s="218">
        <f t="shared" si="176"/>
        <v>-18947.999999999996</v>
      </c>
      <c r="AG528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-18947.999999999996</v>
      </c>
      <c r="AH528">
        <f>IFERROR(AG528/(Z528+Table5[[#This Row],[Rider Penalty (Claim, Other Denda to Riders)]]),0)</f>
        <v>-0.6102022414015198</v>
      </c>
      <c r="AI528" s="12">
        <f t="shared" si="177"/>
        <v>0</v>
      </c>
      <c r="AJ528">
        <f t="shared" si="178"/>
        <v>0</v>
      </c>
      <c r="AV528" s="109">
        <f>Table5[[#This Row],[Total Selling Comission/Sales (Weekly)]]/Table5[[#This Row],[Total Revenue Sharing % (Weekly)]]*100%</f>
        <v>0</v>
      </c>
      <c r="AW528" s="109">
        <f>Table5[[#This Row],[Total Daily Incentive (Weekly)]]/Table5[[#This Row],[Total Revenue Sharing % (Weekly)]]*100%</f>
        <v>0</v>
      </c>
      <c r="AX528" s="109">
        <f>(N528+O528)/Z528*100%</f>
        <v>0</v>
      </c>
    </row>
    <row r="529" spans="1:50" hidden="1">
      <c r="A529">
        <v>2025</v>
      </c>
      <c r="B529" t="s">
        <v>177</v>
      </c>
      <c r="C529" t="s">
        <v>177</v>
      </c>
      <c r="D529" t="s">
        <v>168</v>
      </c>
      <c r="E529" t="s">
        <v>24</v>
      </c>
      <c r="F529" t="s">
        <v>24</v>
      </c>
      <c r="G529">
        <v>44</v>
      </c>
      <c r="H529" t="s">
        <v>36</v>
      </c>
      <c r="I529" t="s">
        <v>275</v>
      </c>
      <c r="J529" s="174" t="s">
        <v>411</v>
      </c>
      <c r="K529">
        <v>2</v>
      </c>
      <c r="L529">
        <v>66</v>
      </c>
      <c r="M529">
        <v>745000</v>
      </c>
      <c r="N529">
        <v>67050</v>
      </c>
      <c r="O529">
        <v>85000</v>
      </c>
      <c r="P529">
        <v>0</v>
      </c>
      <c r="R529">
        <v>0</v>
      </c>
      <c r="T529">
        <f t="shared" si="173"/>
        <v>152050</v>
      </c>
      <c r="U529">
        <v>100000</v>
      </c>
      <c r="V529" s="1">
        <f>2*35000</f>
        <v>70000</v>
      </c>
      <c r="W529" s="1">
        <v>0</v>
      </c>
      <c r="X529">
        <v>0</v>
      </c>
      <c r="Y529">
        <f t="shared" si="174"/>
        <v>170000</v>
      </c>
      <c r="Z529" s="12">
        <f>30%*M529</f>
        <v>223500</v>
      </c>
      <c r="AA529">
        <f>4*25000</f>
        <v>100000</v>
      </c>
      <c r="AB529">
        <v>0</v>
      </c>
      <c r="AC529">
        <v>0</v>
      </c>
      <c r="AD529">
        <v>0</v>
      </c>
      <c r="AE529">
        <f t="shared" si="175"/>
        <v>323500</v>
      </c>
      <c r="AF529" s="218">
        <f t="shared" si="176"/>
        <v>1450</v>
      </c>
      <c r="AG52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-28550</v>
      </c>
      <c r="AH529">
        <f>IFERROR(AG529/(Z529+Table5[[#This Row],[Rider Penalty (Claim, Other Denda to Riders)]]),0)</f>
        <v>-0.12774049217002237</v>
      </c>
      <c r="AI529" s="12">
        <f t="shared" si="177"/>
        <v>30000</v>
      </c>
      <c r="AJ529">
        <f t="shared" si="178"/>
        <v>0.3</v>
      </c>
      <c r="AV529" s="109"/>
      <c r="AW529" s="109"/>
      <c r="AX529" s="109"/>
    </row>
    <row r="530" spans="1:50" hidden="1">
      <c r="A530">
        <v>2025</v>
      </c>
      <c r="B530" s="179" t="s">
        <v>23</v>
      </c>
      <c r="C530" s="64" t="s">
        <v>23</v>
      </c>
      <c r="D530" t="s">
        <v>168</v>
      </c>
      <c r="E530" t="s">
        <v>28</v>
      </c>
      <c r="F530" t="s">
        <v>28</v>
      </c>
      <c r="G530">
        <v>44</v>
      </c>
      <c r="H530" t="s">
        <v>165</v>
      </c>
      <c r="I530" t="s">
        <v>280</v>
      </c>
      <c r="J530" s="174" t="s">
        <v>410</v>
      </c>
      <c r="K530" s="16">
        <f>244-5</f>
        <v>239</v>
      </c>
      <c r="L530" s="16">
        <v>41096</v>
      </c>
      <c r="M530" s="16">
        <v>358570000</v>
      </c>
      <c r="N530" s="16">
        <f>59597845*5/7</f>
        <v>42569889.285714284</v>
      </c>
      <c r="O530" s="16">
        <f>66125000*5/7</f>
        <v>47232142.857142858</v>
      </c>
      <c r="P530" s="16">
        <v>0</v>
      </c>
      <c r="Q530" s="16"/>
      <c r="R530" s="16">
        <v>0</v>
      </c>
      <c r="S530" s="16"/>
      <c r="T530" s="16">
        <f t="shared" ref="T530:T537" si="179">SUM(N530:R530)</f>
        <v>89802032.142857134</v>
      </c>
      <c r="U530" s="16">
        <f>3000000*5/7</f>
        <v>2142857.1428571427</v>
      </c>
      <c r="V530" s="173">
        <f>59780000*5/7</f>
        <v>42700000</v>
      </c>
      <c r="W530" s="173">
        <v>0</v>
      </c>
      <c r="X530" s="16">
        <v>202421.98924731187</v>
      </c>
      <c r="Y530" s="16">
        <f t="shared" ref="Y530:Y537" si="180">SUM(U530:X530)</f>
        <v>45045279.132104456</v>
      </c>
      <c r="Z530" s="16">
        <f>26%*M530</f>
        <v>93228200</v>
      </c>
      <c r="AA530" s="16">
        <f>38000000*5/7</f>
        <v>27142857.142857142</v>
      </c>
      <c r="AB530" s="16">
        <v>0</v>
      </c>
      <c r="AC530" s="16">
        <f>2150000*5/7</f>
        <v>1535714.2857142857</v>
      </c>
      <c r="AD530" s="16">
        <v>0</v>
      </c>
      <c r="AE530" s="16">
        <f t="shared" ref="AE530:AE537" si="181">SUM(Z530:AD530)</f>
        <v>121906771.42857142</v>
      </c>
      <c r="AF530" s="12">
        <f t="shared" ref="AF530:AF537" si="182">AE530-(T530+Y530)</f>
        <v>-12940539.846390173</v>
      </c>
      <c r="AG53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1080888.7250384111</v>
      </c>
      <c r="AH530">
        <f>IFERROR(AG530/(Z530+Table5[[#This Row],[Rider Penalty (Claim, Other Denda to Riders)]]),0)</f>
        <v>1.1594010450039913E-2</v>
      </c>
      <c r="AI530" s="12">
        <f t="shared" ref="AI530:AI537" si="183">AA530+AB530-V530</f>
        <v>-15557142.857142858</v>
      </c>
      <c r="AJ530">
        <f t="shared" ref="AJ530:AJ537" si="184">IFERROR(AI530/(AA530+AB530),0)</f>
        <v>-0.5731578947368422</v>
      </c>
      <c r="AV530" s="109">
        <f>Table5[[#This Row],[Total Selling Comission/Sales (Weekly)]]/Table5[[#This Row],[Total Revenue Sharing % (Weekly)]]*100%</f>
        <v>0.45662030679251864</v>
      </c>
      <c r="AW530" s="109">
        <f>Table5[[#This Row],[Total Daily Incentive (Weekly)]]/Table5[[#This Row],[Total Revenue Sharing % (Weekly)]]*100%</f>
        <v>0.50662935525026609</v>
      </c>
      <c r="AX530" s="109">
        <f>(N530+O530)/Z530*100%</f>
        <v>0.96324966204278462</v>
      </c>
    </row>
    <row r="531" spans="1:50" hidden="1">
      <c r="A531">
        <v>2025</v>
      </c>
      <c r="B531" s="179" t="s">
        <v>23</v>
      </c>
      <c r="C531" s="64" t="s">
        <v>172</v>
      </c>
      <c r="D531" t="s">
        <v>168</v>
      </c>
      <c r="E531" t="s">
        <v>28</v>
      </c>
      <c r="F531" t="s">
        <v>28</v>
      </c>
      <c r="G531">
        <v>44</v>
      </c>
      <c r="H531" t="s">
        <v>165</v>
      </c>
      <c r="I531" t="s">
        <v>280</v>
      </c>
      <c r="J531" s="174" t="s">
        <v>410</v>
      </c>
      <c r="K531" s="16">
        <v>18</v>
      </c>
      <c r="L531" s="16">
        <v>3162</v>
      </c>
      <c r="M531" s="16">
        <v>27644000</v>
      </c>
      <c r="N531" s="16">
        <f>4154800*5/7</f>
        <v>2967714.2857142859</v>
      </c>
      <c r="O531" s="16">
        <f>5545000*5/7</f>
        <v>3960714.2857142859</v>
      </c>
      <c r="P531" s="16">
        <v>0</v>
      </c>
      <c r="Q531" s="16"/>
      <c r="R531" s="16">
        <v>0</v>
      </c>
      <c r="S531" s="16"/>
      <c r="T531" s="16">
        <f t="shared" si="179"/>
        <v>6928428.5714285718</v>
      </c>
      <c r="U531" s="16">
        <f>900000*5/7</f>
        <v>642857.14285714284</v>
      </c>
      <c r="V531" s="173">
        <f>4655000*5/7</f>
        <v>3325000</v>
      </c>
      <c r="W531" s="173">
        <v>0</v>
      </c>
      <c r="X531" s="16">
        <v>204301.07526881719</v>
      </c>
      <c r="Y531" s="16">
        <f t="shared" si="180"/>
        <v>4172158.2181259599</v>
      </c>
      <c r="Z531" s="16">
        <f>26%*M531</f>
        <v>7187440</v>
      </c>
      <c r="AA531" s="16">
        <f>2800000*5/7</f>
        <v>2000000</v>
      </c>
      <c r="AB531" s="16">
        <v>0</v>
      </c>
      <c r="AC531" s="16">
        <f>125000*5/7</f>
        <v>89285.71428571429</v>
      </c>
      <c r="AD531" s="16">
        <v>0</v>
      </c>
      <c r="AE531" s="16">
        <f t="shared" si="181"/>
        <v>9276725.7142857146</v>
      </c>
      <c r="AF531" s="12">
        <f t="shared" si="182"/>
        <v>-1823861.0752688181</v>
      </c>
      <c r="AG53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-588146.78955453192</v>
      </c>
      <c r="AH531">
        <f>IFERROR(AG531/(Z531+Table5[[#This Row],[Rider Penalty (Claim, Other Denda to Riders)]]),0)</f>
        <v>-8.1829801647670369E-2</v>
      </c>
      <c r="AI531" s="12">
        <f t="shared" si="183"/>
        <v>-1325000</v>
      </c>
      <c r="AJ531">
        <f t="shared" si="184"/>
        <v>-0.66249999999999998</v>
      </c>
      <c r="AV531" s="109">
        <f>Table5[[#This Row],[Total Selling Comission/Sales (Weekly)]]/Table5[[#This Row],[Total Revenue Sharing % (Weekly)]]*100%</f>
        <v>0.41290282572296755</v>
      </c>
      <c r="AW531" s="109">
        <f>Table5[[#This Row],[Total Daily Incentive (Weekly)]]/Table5[[#This Row],[Total Revenue Sharing % (Weekly)]]*100%</f>
        <v>0.5510605007783419</v>
      </c>
      <c r="AX531" s="109">
        <f>(N531+O531)/Z531*100%</f>
        <v>0.96396332650130945</v>
      </c>
    </row>
    <row r="532" spans="1:50" hidden="1">
      <c r="A532">
        <v>2025</v>
      </c>
      <c r="B532" t="s">
        <v>176</v>
      </c>
      <c r="C532" t="s">
        <v>176</v>
      </c>
      <c r="D532" t="s">
        <v>169</v>
      </c>
      <c r="E532" t="s">
        <v>28</v>
      </c>
      <c r="F532" t="s">
        <v>28</v>
      </c>
      <c r="G532">
        <v>44</v>
      </c>
      <c r="H532" t="s">
        <v>165</v>
      </c>
      <c r="I532" t="s">
        <v>280</v>
      </c>
      <c r="J532" s="174" t="s">
        <v>410</v>
      </c>
      <c r="K532" s="16">
        <v>12</v>
      </c>
      <c r="L532" s="16">
        <v>633</v>
      </c>
      <c r="M532" s="16">
        <v>6075000</v>
      </c>
      <c r="N532" s="16">
        <v>0</v>
      </c>
      <c r="O532" s="16">
        <v>0</v>
      </c>
      <c r="P532" s="16">
        <v>0</v>
      </c>
      <c r="Q532" s="16"/>
      <c r="R532" s="16">
        <v>0</v>
      </c>
      <c r="S532" s="16"/>
      <c r="T532" s="16">
        <f t="shared" si="179"/>
        <v>0</v>
      </c>
      <c r="U532" s="16">
        <v>0</v>
      </c>
      <c r="V532" s="173">
        <v>0</v>
      </c>
      <c r="W532" s="173">
        <v>0</v>
      </c>
      <c r="X532" s="16">
        <v>0</v>
      </c>
      <c r="Y532" s="16">
        <f t="shared" si="180"/>
        <v>0</v>
      </c>
      <c r="Z532" s="16">
        <f>7%*M532</f>
        <v>425250.00000000006</v>
      </c>
      <c r="AA532" s="16">
        <v>0</v>
      </c>
      <c r="AB532" s="16">
        <v>0</v>
      </c>
      <c r="AC532" s="16">
        <v>0</v>
      </c>
      <c r="AD532" s="16">
        <v>0</v>
      </c>
      <c r="AE532" s="16">
        <f t="shared" si="181"/>
        <v>425250.00000000006</v>
      </c>
      <c r="AF532" s="12">
        <f t="shared" si="182"/>
        <v>425250.00000000006</v>
      </c>
      <c r="AG53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425250.00000000006</v>
      </c>
      <c r="AH532">
        <f>IFERROR(AG532/(Z532+Table5[[#This Row],[Rider Penalty (Claim, Other Denda to Riders)]]),0)</f>
        <v>1</v>
      </c>
      <c r="AI532" s="12">
        <f t="shared" si="183"/>
        <v>0</v>
      </c>
      <c r="AJ532">
        <f t="shared" si="184"/>
        <v>0</v>
      </c>
      <c r="AV532" s="109"/>
      <c r="AW532" s="109"/>
      <c r="AX532" s="109"/>
    </row>
    <row r="533" spans="1:50" hidden="1">
      <c r="A533">
        <v>2025</v>
      </c>
      <c r="B533" t="s">
        <v>178</v>
      </c>
      <c r="C533" t="s">
        <v>178</v>
      </c>
      <c r="D533" t="s">
        <v>169</v>
      </c>
      <c r="E533" t="s">
        <v>28</v>
      </c>
      <c r="F533" t="s">
        <v>28</v>
      </c>
      <c r="G533">
        <v>44</v>
      </c>
      <c r="H533" t="s">
        <v>165</v>
      </c>
      <c r="I533" t="s">
        <v>280</v>
      </c>
      <c r="J533" s="174" t="s">
        <v>410</v>
      </c>
      <c r="K533" s="16">
        <v>4</v>
      </c>
      <c r="L533" s="16">
        <v>384</v>
      </c>
      <c r="M533" s="16">
        <v>1502000</v>
      </c>
      <c r="N533" s="16">
        <v>0</v>
      </c>
      <c r="O533" s="16">
        <f>950000*5/7</f>
        <v>678571.42857142852</v>
      </c>
      <c r="P533" s="16">
        <v>0</v>
      </c>
      <c r="Q533" s="16"/>
      <c r="R533" s="16">
        <v>0</v>
      </c>
      <c r="S533" s="16"/>
      <c r="T533" s="16">
        <f t="shared" si="179"/>
        <v>678571.42857142852</v>
      </c>
      <c r="U533" s="16">
        <v>0</v>
      </c>
      <c r="V533" s="173">
        <f>980000*5/7</f>
        <v>700000</v>
      </c>
      <c r="W533" s="173">
        <v>0</v>
      </c>
      <c r="X533" s="16">
        <v>0</v>
      </c>
      <c r="Y533" s="16">
        <f t="shared" si="180"/>
        <v>700000</v>
      </c>
      <c r="Z533" s="16">
        <f>22%*M533</f>
        <v>330440</v>
      </c>
      <c r="AA533" s="16">
        <f>550000*5/7</f>
        <v>392857.14285714284</v>
      </c>
      <c r="AB533" s="16">
        <f>632700*5/7</f>
        <v>451928.57142857142</v>
      </c>
      <c r="AC533" s="16"/>
      <c r="AD533" s="16">
        <v>0</v>
      </c>
      <c r="AE533" s="16">
        <f t="shared" si="181"/>
        <v>1175225.7142857143</v>
      </c>
      <c r="AF533" s="12">
        <f t="shared" si="182"/>
        <v>-203345.71428571432</v>
      </c>
      <c r="AG53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-348131.42857142852</v>
      </c>
      <c r="AH533">
        <f>IFERROR(AG533/(Z533+Table5[[#This Row],[Rider Penalty (Claim, Other Denda to Riders)]]),0)</f>
        <v>-1.053539004271361</v>
      </c>
      <c r="AI533" s="12">
        <f t="shared" si="183"/>
        <v>144785.71428571432</v>
      </c>
      <c r="AJ533">
        <f t="shared" si="184"/>
        <v>0.17138750317071111</v>
      </c>
      <c r="AV533" s="109"/>
      <c r="AW533" s="109"/>
      <c r="AX533" s="109"/>
    </row>
    <row r="534" spans="1:50" hidden="1">
      <c r="A534">
        <v>2025</v>
      </c>
      <c r="B534" s="179" t="s">
        <v>23</v>
      </c>
      <c r="C534" s="64" t="s">
        <v>23</v>
      </c>
      <c r="D534" t="s">
        <v>168</v>
      </c>
      <c r="E534" t="s">
        <v>28</v>
      </c>
      <c r="F534" t="s">
        <v>28</v>
      </c>
      <c r="G534">
        <v>44</v>
      </c>
      <c r="H534" t="s">
        <v>36</v>
      </c>
      <c r="I534" t="s">
        <v>275</v>
      </c>
      <c r="J534" s="174" t="s">
        <v>411</v>
      </c>
      <c r="K534" s="16">
        <f>244-17</f>
        <v>227</v>
      </c>
      <c r="L534" s="16">
        <v>23051</v>
      </c>
      <c r="M534" s="16">
        <v>202062000</v>
      </c>
      <c r="N534" s="16">
        <f>59597845*2/7</f>
        <v>17027955.714285713</v>
      </c>
      <c r="O534" s="16">
        <f>66125000*2/7</f>
        <v>18892857.142857142</v>
      </c>
      <c r="P534" s="16">
        <v>0</v>
      </c>
      <c r="Q534" s="16"/>
      <c r="R534" s="16">
        <v>0</v>
      </c>
      <c r="S534" s="16"/>
      <c r="T534" s="16">
        <f t="shared" si="179"/>
        <v>35920812.857142851</v>
      </c>
      <c r="U534" s="16">
        <f>3000000*2/7</f>
        <v>857142.85714285716</v>
      </c>
      <c r="V534" s="173">
        <f>59780000*2/7</f>
        <v>17080000</v>
      </c>
      <c r="W534" s="173">
        <v>0</v>
      </c>
      <c r="X534" s="16">
        <v>83667.755555555559</v>
      </c>
      <c r="Y534" s="16">
        <f t="shared" si="180"/>
        <v>18020810.612698413</v>
      </c>
      <c r="Z534" s="16">
        <f>26%*M534</f>
        <v>52536120</v>
      </c>
      <c r="AA534" s="16">
        <f>38000000*2/7</f>
        <v>10857142.857142856</v>
      </c>
      <c r="AB534" s="16">
        <v>0</v>
      </c>
      <c r="AC534" s="16">
        <f>2150000*2/7</f>
        <v>614285.71428571432</v>
      </c>
      <c r="AD534" s="16">
        <v>0</v>
      </c>
      <c r="AE534" s="16">
        <f t="shared" si="181"/>
        <v>64007548.571428575</v>
      </c>
      <c r="AF534" s="218">
        <f t="shared" si="182"/>
        <v>10065925.10158731</v>
      </c>
      <c r="AG534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15674496.530158738</v>
      </c>
      <c r="AH534">
        <f>IFERROR(AG534/(Z534+Table5[[#This Row],[Rider Penalty (Claim, Other Denda to Riders)]]),0)</f>
        <v>0.29835656934997745</v>
      </c>
      <c r="AI534" s="12">
        <f t="shared" si="183"/>
        <v>-6222857.1428571437</v>
      </c>
      <c r="AJ534">
        <f t="shared" si="184"/>
        <v>-0.5731578947368422</v>
      </c>
      <c r="AV534" s="109">
        <f>Table5[[#This Row],[Total Selling Comission/Sales (Weekly)]]/Table5[[#This Row],[Total Revenue Sharing % (Weekly)]]*100%</f>
        <v>0.32411901971987489</v>
      </c>
      <c r="AW534" s="109">
        <f>Table5[[#This Row],[Total Daily Incentive (Weekly)]]/Table5[[#This Row],[Total Revenue Sharing % (Weekly)]]*100%</f>
        <v>0.35961652940599992</v>
      </c>
      <c r="AX534" s="109">
        <f>(N534+O534)/Z534*100%</f>
        <v>0.68373554912587475</v>
      </c>
    </row>
    <row r="535" spans="1:50" hidden="1">
      <c r="A535">
        <v>2025</v>
      </c>
      <c r="B535" s="179" t="s">
        <v>23</v>
      </c>
      <c r="C535" s="64" t="s">
        <v>172</v>
      </c>
      <c r="D535" t="s">
        <v>168</v>
      </c>
      <c r="E535" t="s">
        <v>28</v>
      </c>
      <c r="F535" t="s">
        <v>28</v>
      </c>
      <c r="G535">
        <v>44</v>
      </c>
      <c r="H535" t="s">
        <v>36</v>
      </c>
      <c r="I535" t="s">
        <v>275</v>
      </c>
      <c r="J535" s="174" t="s">
        <v>411</v>
      </c>
      <c r="K535" s="16">
        <v>19</v>
      </c>
      <c r="L535" s="16">
        <v>1657</v>
      </c>
      <c r="M535" s="16">
        <v>14524000</v>
      </c>
      <c r="N535" s="16">
        <f>4154800*2/7</f>
        <v>1187085.7142857143</v>
      </c>
      <c r="O535" s="16">
        <f>5545000*2/7</f>
        <v>1584285.7142857143</v>
      </c>
      <c r="P535" s="16">
        <v>0</v>
      </c>
      <c r="Q535" s="16"/>
      <c r="R535" s="16">
        <v>0</v>
      </c>
      <c r="S535" s="16"/>
      <c r="T535" s="16">
        <f t="shared" si="179"/>
        <v>2771371.4285714286</v>
      </c>
      <c r="U535" s="16">
        <f>900000*2/7</f>
        <v>257142.85714285713</v>
      </c>
      <c r="V535" s="173">
        <f>4655000*2/7</f>
        <v>1330000</v>
      </c>
      <c r="W535" s="173">
        <v>0</v>
      </c>
      <c r="X535" s="16">
        <v>84444.444444444438</v>
      </c>
      <c r="Y535" s="16">
        <f t="shared" si="180"/>
        <v>1671587.3015873015</v>
      </c>
      <c r="Z535" s="16">
        <f>26%*M535</f>
        <v>3776240</v>
      </c>
      <c r="AA535" s="16">
        <f>2800000*2/7</f>
        <v>800000</v>
      </c>
      <c r="AB535" s="16">
        <v>0</v>
      </c>
      <c r="AC535" s="16">
        <f>125000*2/7</f>
        <v>35714.285714285717</v>
      </c>
      <c r="AD535" s="16">
        <v>0</v>
      </c>
      <c r="AE535" s="16">
        <f t="shared" si="181"/>
        <v>4611954.2857142854</v>
      </c>
      <c r="AF535" s="218">
        <f t="shared" si="182"/>
        <v>168995.55555555504</v>
      </c>
      <c r="AG53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663281.26984126982</v>
      </c>
      <c r="AH535">
        <f>IFERROR(AG535/(Z535+Table5[[#This Row],[Rider Penalty (Claim, Other Denda to Riders)]]),0)</f>
        <v>0.17564595201609798</v>
      </c>
      <c r="AI535" s="12">
        <f t="shared" si="183"/>
        <v>-530000</v>
      </c>
      <c r="AJ535">
        <f t="shared" si="184"/>
        <v>-0.66249999999999998</v>
      </c>
      <c r="AV535" s="109">
        <f>Table5[[#This Row],[Total Selling Comission/Sales (Weekly)]]/Table5[[#This Row],[Total Revenue Sharing % (Weekly)]]*100%</f>
        <v>0.31435653302907501</v>
      </c>
      <c r="AW535" s="109">
        <f>Table5[[#This Row],[Total Daily Incentive (Weekly)]]/Table5[[#This Row],[Total Revenue Sharing % (Weekly)]]*100%</f>
        <v>0.4195405255719219</v>
      </c>
      <c r="AX535" s="109">
        <f>(N535+O535)/Z535*100%</f>
        <v>0.73389705860099697</v>
      </c>
    </row>
    <row r="536" spans="1:50" hidden="1">
      <c r="A536">
        <v>2025</v>
      </c>
      <c r="B536" t="s">
        <v>176</v>
      </c>
      <c r="C536" t="s">
        <v>176</v>
      </c>
      <c r="D536" t="s">
        <v>169</v>
      </c>
      <c r="E536" t="s">
        <v>28</v>
      </c>
      <c r="F536" t="s">
        <v>28</v>
      </c>
      <c r="G536">
        <v>44</v>
      </c>
      <c r="H536" t="s">
        <v>36</v>
      </c>
      <c r="I536" t="s">
        <v>275</v>
      </c>
      <c r="J536" s="174" t="s">
        <v>411</v>
      </c>
      <c r="K536" s="16">
        <v>12</v>
      </c>
      <c r="L536" s="16">
        <v>206</v>
      </c>
      <c r="M536" s="16">
        <v>2005000</v>
      </c>
      <c r="N536" s="16">
        <v>0</v>
      </c>
      <c r="O536" s="16">
        <v>0</v>
      </c>
      <c r="P536" s="16">
        <v>0</v>
      </c>
      <c r="Q536" s="16"/>
      <c r="R536" s="16">
        <v>0</v>
      </c>
      <c r="S536" s="16"/>
      <c r="T536" s="16">
        <f t="shared" si="179"/>
        <v>0</v>
      </c>
      <c r="U536" s="16">
        <v>0</v>
      </c>
      <c r="V536" s="173">
        <v>0</v>
      </c>
      <c r="W536" s="173">
        <v>0</v>
      </c>
      <c r="X536" s="16">
        <v>0</v>
      </c>
      <c r="Y536" s="16">
        <f t="shared" si="180"/>
        <v>0</v>
      </c>
      <c r="Z536" s="16">
        <f>7%*M536</f>
        <v>140350</v>
      </c>
      <c r="AA536" s="16">
        <v>0</v>
      </c>
      <c r="AB536" s="16">
        <v>0</v>
      </c>
      <c r="AC536" s="16">
        <v>0</v>
      </c>
      <c r="AD536" s="16">
        <v>0</v>
      </c>
      <c r="AE536" s="16">
        <f t="shared" si="181"/>
        <v>140350</v>
      </c>
      <c r="AF536" s="218">
        <f t="shared" si="182"/>
        <v>140350</v>
      </c>
      <c r="AG53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140350</v>
      </c>
      <c r="AH536">
        <f>IFERROR(AG536/(Z536+Table5[[#This Row],[Rider Penalty (Claim, Other Denda to Riders)]]),0)</f>
        <v>1</v>
      </c>
      <c r="AI536" s="12">
        <f t="shared" si="183"/>
        <v>0</v>
      </c>
      <c r="AJ536">
        <f t="shared" si="184"/>
        <v>0</v>
      </c>
      <c r="AV536" s="109"/>
      <c r="AW536" s="109"/>
      <c r="AX536" s="109"/>
    </row>
    <row r="537" spans="1:50" hidden="1">
      <c r="A537">
        <v>2025</v>
      </c>
      <c r="B537" t="s">
        <v>178</v>
      </c>
      <c r="C537" t="s">
        <v>178</v>
      </c>
      <c r="D537" t="s">
        <v>169</v>
      </c>
      <c r="E537" t="s">
        <v>28</v>
      </c>
      <c r="F537" t="s">
        <v>28</v>
      </c>
      <c r="G537">
        <v>44</v>
      </c>
      <c r="H537" t="s">
        <v>36</v>
      </c>
      <c r="I537" t="s">
        <v>275</v>
      </c>
      <c r="J537" s="174" t="s">
        <v>411</v>
      </c>
      <c r="K537" s="16">
        <v>3</v>
      </c>
      <c r="L537" s="16">
        <v>116</v>
      </c>
      <c r="M537" s="16">
        <v>448000</v>
      </c>
      <c r="N537" s="16">
        <v>0</v>
      </c>
      <c r="O537" s="16">
        <f>950000*2/7</f>
        <v>271428.57142857142</v>
      </c>
      <c r="P537" s="16">
        <v>0</v>
      </c>
      <c r="Q537" s="16"/>
      <c r="R537" s="16">
        <v>0</v>
      </c>
      <c r="S537" s="16"/>
      <c r="T537" s="16">
        <f t="shared" si="179"/>
        <v>271428.57142857142</v>
      </c>
      <c r="U537" s="16">
        <v>0</v>
      </c>
      <c r="V537" s="173">
        <f>980000*2/7</f>
        <v>280000</v>
      </c>
      <c r="W537" s="173">
        <v>0</v>
      </c>
      <c r="X537" s="16">
        <v>0</v>
      </c>
      <c r="Y537" s="16">
        <f t="shared" si="180"/>
        <v>280000</v>
      </c>
      <c r="Z537" s="16">
        <f>22%*M537</f>
        <v>98560</v>
      </c>
      <c r="AA537" s="16">
        <f>550000*2/7</f>
        <v>157142.85714285713</v>
      </c>
      <c r="AB537" s="16">
        <f>632700*2/7</f>
        <v>180771.42857142858</v>
      </c>
      <c r="AC537" s="16"/>
      <c r="AD537" s="16">
        <v>0</v>
      </c>
      <c r="AE537" s="16">
        <f t="shared" si="181"/>
        <v>436474.28571428568</v>
      </c>
      <c r="AF537" s="218">
        <f t="shared" si="182"/>
        <v>-114954.28571428568</v>
      </c>
      <c r="AG53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-172868.57142857142</v>
      </c>
      <c r="AH537">
        <f>IFERROR(AG537/(Z537+Table5[[#This Row],[Rider Penalty (Claim, Other Denda to Riders)]]),0)</f>
        <v>-1.7539424860853432</v>
      </c>
      <c r="AI537" s="12">
        <f t="shared" si="183"/>
        <v>57914.285714285681</v>
      </c>
      <c r="AJ537">
        <f t="shared" si="184"/>
        <v>0.171387503170711</v>
      </c>
      <c r="AV537" s="109"/>
      <c r="AW537" s="109"/>
      <c r="AX537" s="109"/>
    </row>
    <row r="538" spans="1:50" hidden="1">
      <c r="A538">
        <v>2025</v>
      </c>
      <c r="B538" t="s">
        <v>23</v>
      </c>
      <c r="C538" t="s">
        <v>174</v>
      </c>
      <c r="D538" t="s">
        <v>168</v>
      </c>
      <c r="E538" t="s">
        <v>24</v>
      </c>
      <c r="F538" t="s">
        <v>24</v>
      </c>
      <c r="G538">
        <v>45</v>
      </c>
      <c r="H538" t="s">
        <v>36</v>
      </c>
      <c r="I538" t="s">
        <v>275</v>
      </c>
      <c r="J538" s="174" t="s">
        <v>311</v>
      </c>
      <c r="K538">
        <v>26</v>
      </c>
      <c r="L538">
        <v>4067</v>
      </c>
      <c r="M538">
        <v>37076000</v>
      </c>
      <c r="N538">
        <v>3189940</v>
      </c>
      <c r="O538">
        <v>4500000</v>
      </c>
      <c r="P538">
        <v>0</v>
      </c>
      <c r="R538">
        <v>0</v>
      </c>
      <c r="T538">
        <f t="shared" ref="T538:T541" si="185">SUM(N538:R538)</f>
        <v>7689940</v>
      </c>
      <c r="U538">
        <f>700000+((700000/2)/2)</f>
        <v>875000</v>
      </c>
      <c r="V538" s="76">
        <f>128*35000</f>
        <v>4480000</v>
      </c>
      <c r="W538" s="76">
        <v>0</v>
      </c>
      <c r="X538">
        <v>0</v>
      </c>
      <c r="Y538">
        <f t="shared" ref="Y538:Y541" si="186">SUM(U538:X538)</f>
        <v>5355000</v>
      </c>
      <c r="Z538" s="12">
        <f>26%*M538</f>
        <v>9639760</v>
      </c>
      <c r="AA538">
        <f>146*25000</f>
        <v>3650000</v>
      </c>
      <c r="AB538">
        <v>0</v>
      </c>
      <c r="AC538">
        <v>0</v>
      </c>
      <c r="AD538">
        <v>0</v>
      </c>
      <c r="AE538">
        <f t="shared" ref="AE538:AE541" si="187">SUM(Z538:AD538)</f>
        <v>13289760</v>
      </c>
      <c r="AF538" s="12">
        <f t="shared" ref="AF538:AF541" si="188">AE538-(T538+Y538)</f>
        <v>244820</v>
      </c>
      <c r="AG53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1074820</v>
      </c>
      <c r="AH538">
        <f>IFERROR(AG538/(Z538+Table5[[#This Row],[Rider Penalty (Claim, Other Denda to Riders)]]),0)</f>
        <v>0.11149862652182212</v>
      </c>
      <c r="AI538" s="12">
        <f t="shared" ref="AI538:AI541" si="189">AA538+AB538-V538</f>
        <v>-830000</v>
      </c>
      <c r="AJ538">
        <f t="shared" ref="AJ538:AJ541" si="190">IFERROR(AI538/(AA538+AB538),0)</f>
        <v>-0.22739726027397261</v>
      </c>
      <c r="AV538" s="109">
        <f>Table5[[#This Row],[Total Selling Comission/Sales (Weekly)]]/Table5[[#This Row],[Total Revenue Sharing % (Weekly)]]*100%</f>
        <v>0.33091487754881865</v>
      </c>
      <c r="AW538" s="109">
        <f>Table5[[#This Row],[Total Daily Incentive (Weekly)]]/Table5[[#This Row],[Total Revenue Sharing % (Weekly)]]*100%</f>
        <v>0.46681660124318447</v>
      </c>
      <c r="AX538" s="109">
        <f>(N538+O538)/Z538*100%</f>
        <v>0.79773147879200312</v>
      </c>
    </row>
    <row r="539" spans="1:50" hidden="1">
      <c r="A539">
        <v>2025</v>
      </c>
      <c r="B539" t="s">
        <v>23</v>
      </c>
      <c r="C539" t="s">
        <v>173</v>
      </c>
      <c r="D539" t="s">
        <v>168</v>
      </c>
      <c r="E539" t="s">
        <v>24</v>
      </c>
      <c r="F539" t="s">
        <v>282</v>
      </c>
      <c r="G539">
        <v>45</v>
      </c>
      <c r="H539" t="s">
        <v>36</v>
      </c>
      <c r="I539" t="s">
        <v>275</v>
      </c>
      <c r="J539" s="174" t="s">
        <v>311</v>
      </c>
      <c r="K539">
        <v>12</v>
      </c>
      <c r="L539">
        <v>2110</v>
      </c>
      <c r="M539">
        <v>18918000</v>
      </c>
      <c r="N539">
        <v>1530140</v>
      </c>
      <c r="O539">
        <v>2350000</v>
      </c>
      <c r="P539">
        <v>0</v>
      </c>
      <c r="R539">
        <v>0</v>
      </c>
      <c r="T539">
        <f t="shared" si="185"/>
        <v>3880140</v>
      </c>
      <c r="U539">
        <v>300000</v>
      </c>
      <c r="V539" s="76">
        <f>69*35000</f>
        <v>2415000</v>
      </c>
      <c r="W539" s="76">
        <v>0</v>
      </c>
      <c r="X539">
        <v>0</v>
      </c>
      <c r="Y539">
        <f t="shared" si="186"/>
        <v>2715000</v>
      </c>
      <c r="Z539" s="12">
        <f>26%*M539</f>
        <v>4918680</v>
      </c>
      <c r="AA539">
        <f>75*25000</f>
        <v>1875000</v>
      </c>
      <c r="AB539">
        <v>0</v>
      </c>
      <c r="AC539">
        <v>0</v>
      </c>
      <c r="AD539">
        <v>0</v>
      </c>
      <c r="AE539">
        <f t="shared" si="187"/>
        <v>6793680</v>
      </c>
      <c r="AF539" s="12">
        <f t="shared" si="188"/>
        <v>198540</v>
      </c>
      <c r="AG53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738540</v>
      </c>
      <c r="AH539">
        <f>IFERROR(AG539/(Z539+Table5[[#This Row],[Rider Penalty (Claim, Other Denda to Riders)]]),0)</f>
        <v>0.15015004025470249</v>
      </c>
      <c r="AI539" s="12">
        <f t="shared" si="189"/>
        <v>-540000</v>
      </c>
      <c r="AJ539">
        <f t="shared" si="190"/>
        <v>-0.28799999999999998</v>
      </c>
      <c r="AV539" s="109">
        <f>Table5[[#This Row],[Total Selling Comission/Sales (Weekly)]]/Table5[[#This Row],[Total Revenue Sharing % (Weekly)]]*100%</f>
        <v>0.31108752754804136</v>
      </c>
      <c r="AW539" s="109">
        <f>Table5[[#This Row],[Total Daily Incentive (Weekly)]]/Table5[[#This Row],[Total Revenue Sharing % (Weekly)]]*100%</f>
        <v>0.47777045874096302</v>
      </c>
      <c r="AX539" s="109">
        <f>(N539+O539)/Z539*100%</f>
        <v>0.78885798628900439</v>
      </c>
    </row>
    <row r="540" spans="1:50" hidden="1">
      <c r="A540">
        <v>2025</v>
      </c>
      <c r="B540" t="s">
        <v>23</v>
      </c>
      <c r="C540" t="s">
        <v>205</v>
      </c>
      <c r="D540" t="s">
        <v>168</v>
      </c>
      <c r="E540" t="s">
        <v>24</v>
      </c>
      <c r="F540" t="s">
        <v>24</v>
      </c>
      <c r="G540">
        <v>45</v>
      </c>
      <c r="H540" t="s">
        <v>36</v>
      </c>
      <c r="I540" t="s">
        <v>275</v>
      </c>
      <c r="J540" s="174" t="s">
        <v>311</v>
      </c>
      <c r="K540">
        <v>6</v>
      </c>
      <c r="L540">
        <v>751</v>
      </c>
      <c r="M540">
        <v>1500000</v>
      </c>
      <c r="N540">
        <v>0</v>
      </c>
      <c r="O540">
        <v>0</v>
      </c>
      <c r="P540">
        <v>0</v>
      </c>
      <c r="R540">
        <v>0</v>
      </c>
      <c r="T540">
        <f t="shared" si="185"/>
        <v>0</v>
      </c>
      <c r="U540">
        <f>(700000/2)/2</f>
        <v>175000</v>
      </c>
      <c r="V540" s="76">
        <v>0</v>
      </c>
      <c r="W540" s="76">
        <v>0</v>
      </c>
      <c r="X540">
        <v>0</v>
      </c>
      <c r="Y540">
        <f t="shared" si="186"/>
        <v>175000</v>
      </c>
      <c r="Z540" s="12">
        <f>7%*M540</f>
        <v>105000.00000000001</v>
      </c>
      <c r="AA540">
        <v>0</v>
      </c>
      <c r="AB540">
        <v>0</v>
      </c>
      <c r="AC540">
        <v>0</v>
      </c>
      <c r="AD540">
        <v>0</v>
      </c>
      <c r="AE540">
        <f t="shared" si="187"/>
        <v>105000.00000000001</v>
      </c>
      <c r="AF540" s="12">
        <f t="shared" si="188"/>
        <v>-69999.999999999985</v>
      </c>
      <c r="AG54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-69999.999999999985</v>
      </c>
      <c r="AH540">
        <f>IFERROR(AG540/(Z540+Table5[[#This Row],[Rider Penalty (Claim, Other Denda to Riders)]]),0)</f>
        <v>-0.66666666666666641</v>
      </c>
      <c r="AI540" s="12">
        <f t="shared" si="189"/>
        <v>0</v>
      </c>
      <c r="AJ540">
        <f t="shared" si="190"/>
        <v>0</v>
      </c>
      <c r="AV540" s="12">
        <f>Table5[[#This Row],[Total Selling Comission/Sales (Weekly)]]/Table5[[#This Row],[Total Revenue Sharing % (Weekly)]]*100%</f>
        <v>0</v>
      </c>
      <c r="AW540" s="109">
        <f>Table5[[#This Row],[Total Daily Incentive (Weekly)]]/Table5[[#This Row],[Total Revenue Sharing % (Weekly)]]*100%</f>
        <v>0</v>
      </c>
      <c r="AX540" s="109">
        <f>(N540+O540)/Z540*100%</f>
        <v>0</v>
      </c>
    </row>
    <row r="541" spans="1:50" hidden="1">
      <c r="A541">
        <v>2025</v>
      </c>
      <c r="B541" t="s">
        <v>177</v>
      </c>
      <c r="C541" t="s">
        <v>177</v>
      </c>
      <c r="D541" t="s">
        <v>168</v>
      </c>
      <c r="E541" t="s">
        <v>24</v>
      </c>
      <c r="F541" t="s">
        <v>24</v>
      </c>
      <c r="G541">
        <v>45</v>
      </c>
      <c r="H541" t="s">
        <v>36</v>
      </c>
      <c r="I541" t="s">
        <v>275</v>
      </c>
      <c r="J541" s="174" t="s">
        <v>311</v>
      </c>
      <c r="K541">
        <v>2</v>
      </c>
      <c r="L541">
        <v>123</v>
      </c>
      <c r="M541">
        <v>1377000</v>
      </c>
      <c r="N541">
        <v>68850</v>
      </c>
      <c r="O541">
        <v>250000</v>
      </c>
      <c r="P541">
        <v>0</v>
      </c>
      <c r="R541">
        <v>0</v>
      </c>
      <c r="T541">
        <f t="shared" si="185"/>
        <v>318850</v>
      </c>
      <c r="U541">
        <v>350000</v>
      </c>
      <c r="V541" s="76">
        <f>10*35000</f>
        <v>350000</v>
      </c>
      <c r="W541" s="76">
        <v>0</v>
      </c>
      <c r="X541">
        <v>0</v>
      </c>
      <c r="Y541">
        <f t="shared" si="186"/>
        <v>700000</v>
      </c>
      <c r="Z541" s="12">
        <f>30%*M541</f>
        <v>413100</v>
      </c>
      <c r="AA541">
        <f>14*25000</f>
        <v>350000</v>
      </c>
      <c r="AB541">
        <v>0</v>
      </c>
      <c r="AC541">
        <v>0</v>
      </c>
      <c r="AD541">
        <v>0</v>
      </c>
      <c r="AE541">
        <f t="shared" si="187"/>
        <v>763100</v>
      </c>
      <c r="AF541" s="12">
        <f t="shared" si="188"/>
        <v>-255750</v>
      </c>
      <c r="AG54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-255750</v>
      </c>
      <c r="AH541">
        <f>IFERROR(AG541/(Z541+Table5[[#This Row],[Rider Penalty (Claim, Other Denda to Riders)]]),0)</f>
        <v>-0.6190994916485113</v>
      </c>
      <c r="AI541" s="12">
        <f t="shared" si="189"/>
        <v>0</v>
      </c>
      <c r="AJ541">
        <f t="shared" si="190"/>
        <v>0</v>
      </c>
      <c r="AV541" s="109"/>
      <c r="AW541" s="109"/>
      <c r="AX541" s="109"/>
    </row>
    <row r="542" spans="1:50" hidden="1">
      <c r="A542">
        <v>2025</v>
      </c>
      <c r="B542" s="179" t="s">
        <v>23</v>
      </c>
      <c r="C542" s="64" t="s">
        <v>23</v>
      </c>
      <c r="D542" t="s">
        <v>168</v>
      </c>
      <c r="E542" t="s">
        <v>28</v>
      </c>
      <c r="F542" t="s">
        <v>28</v>
      </c>
      <c r="G542">
        <v>45</v>
      </c>
      <c r="H542" t="s">
        <v>36</v>
      </c>
      <c r="I542" t="s">
        <v>275</v>
      </c>
      <c r="J542" s="174" t="s">
        <v>311</v>
      </c>
      <c r="K542" s="16">
        <v>251</v>
      </c>
      <c r="L542" s="16">
        <v>71271</v>
      </c>
      <c r="M542" s="16">
        <v>623834000</v>
      </c>
      <c r="N542" s="16">
        <v>70104870</v>
      </c>
      <c r="O542" s="16">
        <v>67205000</v>
      </c>
      <c r="P542" s="16">
        <v>0</v>
      </c>
      <c r="Q542" s="16"/>
      <c r="R542" s="16">
        <v>0</v>
      </c>
      <c r="S542" s="16"/>
      <c r="T542" s="16">
        <f t="shared" ref="T542:T543" si="191">SUM(N542:R542)</f>
        <v>137309870</v>
      </c>
      <c r="U542" s="16">
        <v>1750000</v>
      </c>
      <c r="V542" s="173">
        <v>61495000</v>
      </c>
      <c r="W542" s="173">
        <v>0</v>
      </c>
      <c r="X542" s="16">
        <v>292837.14444444445</v>
      </c>
      <c r="Y542" s="16">
        <f t="shared" ref="Y542:Y543" si="192">SUM(U542:X542)</f>
        <v>63537837.144444443</v>
      </c>
      <c r="Z542" s="16">
        <f>26%*M542</f>
        <v>162196840</v>
      </c>
      <c r="AA542" s="16">
        <v>39800000</v>
      </c>
      <c r="AB542">
        <v>0</v>
      </c>
      <c r="AC542">
        <v>2525000</v>
      </c>
      <c r="AD542">
        <v>0</v>
      </c>
      <c r="AE542">
        <f t="shared" ref="AE542:AE543" si="193">SUM(Z542:AD542)</f>
        <v>204521840</v>
      </c>
      <c r="AF542" s="12">
        <f t="shared" ref="AF542:AF543" si="194">AE542-(T542+Y542)</f>
        <v>3674132.8555555642</v>
      </c>
      <c r="AG54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22844132.855555557</v>
      </c>
      <c r="AH542">
        <f>IFERROR(AG542/(Z542+Table5[[#This Row],[Rider Penalty (Claim, Other Denda to Riders)]]),0)</f>
        <v>0.14084203400975973</v>
      </c>
      <c r="AI542" s="12">
        <f t="shared" ref="AI542:AI543" si="195">AA542+AB542-V542</f>
        <v>-21695000</v>
      </c>
      <c r="AJ542">
        <f t="shared" ref="AJ542:AJ543" si="196">IFERROR(AI542/(AA542+AB542),0)</f>
        <v>-0.54510050251256281</v>
      </c>
      <c r="AV542" s="109">
        <f>Table5[[#This Row],[Total Selling Comission/Sales (Weekly)]]/Table5[[#This Row],[Total Revenue Sharing % (Weekly)]]*100%</f>
        <v>0.43222093599357425</v>
      </c>
      <c r="AW542" s="109">
        <f>Table5[[#This Row],[Total Daily Incentive (Weekly)]]/Table5[[#This Row],[Total Revenue Sharing % (Weekly)]]*100%</f>
        <v>0.41434222762909562</v>
      </c>
      <c r="AX542" s="109">
        <f>(N542+O542)/Z542*100%</f>
        <v>0.84656316362266981</v>
      </c>
    </row>
    <row r="543" spans="1:50" hidden="1">
      <c r="A543">
        <v>2025</v>
      </c>
      <c r="B543" s="179" t="s">
        <v>23</v>
      </c>
      <c r="C543" s="64" t="s">
        <v>172</v>
      </c>
      <c r="D543" t="s">
        <v>168</v>
      </c>
      <c r="E543" t="s">
        <v>28</v>
      </c>
      <c r="F543" t="s">
        <v>28</v>
      </c>
      <c r="G543">
        <v>45</v>
      </c>
      <c r="H543" t="s">
        <v>36</v>
      </c>
      <c r="I543" t="s">
        <v>275</v>
      </c>
      <c r="J543" s="174" t="s">
        <v>311</v>
      </c>
      <c r="K543" s="16">
        <v>21</v>
      </c>
      <c r="L543" s="16">
        <v>6290</v>
      </c>
      <c r="M543" s="16">
        <v>55538000</v>
      </c>
      <c r="N543" s="16">
        <v>6458250</v>
      </c>
      <c r="O543" s="16">
        <v>6410000</v>
      </c>
      <c r="P543" s="16">
        <v>0</v>
      </c>
      <c r="Q543" s="16"/>
      <c r="R543" s="16">
        <v>0</v>
      </c>
      <c r="S543" s="16"/>
      <c r="T543" s="16">
        <f t="shared" si="191"/>
        <v>12868250</v>
      </c>
      <c r="U543" s="16">
        <v>900000</v>
      </c>
      <c r="V543" s="173">
        <v>5145000</v>
      </c>
      <c r="W543" s="173">
        <v>0</v>
      </c>
      <c r="X543" s="16">
        <v>295555.5555555555</v>
      </c>
      <c r="Y543" s="16">
        <f t="shared" si="192"/>
        <v>6340555.555555556</v>
      </c>
      <c r="Z543" s="16">
        <f>26%*M543</f>
        <v>14439880</v>
      </c>
      <c r="AA543">
        <v>2850000</v>
      </c>
      <c r="AB543">
        <v>0</v>
      </c>
      <c r="AC543">
        <v>200000</v>
      </c>
      <c r="AD543">
        <v>0</v>
      </c>
      <c r="AE543">
        <f t="shared" si="193"/>
        <v>17489880</v>
      </c>
      <c r="AF543" s="12">
        <f t="shared" si="194"/>
        <v>-1718925.555555556</v>
      </c>
      <c r="AG54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376074.4444444445</v>
      </c>
      <c r="AH543">
        <f>IFERROR(AG543/(Z543+Table5[[#This Row],[Rider Penalty (Claim, Other Denda to Riders)]]),0)</f>
        <v>2.6044153029280332E-2</v>
      </c>
      <c r="AI543" s="12">
        <f t="shared" si="195"/>
        <v>-2295000</v>
      </c>
      <c r="AJ543">
        <f t="shared" si="196"/>
        <v>-0.80526315789473679</v>
      </c>
      <c r="AV543" s="109">
        <f>Table5[[#This Row],[Total Selling Comission/Sales (Weekly)]]/Table5[[#This Row],[Total Revenue Sharing % (Weekly)]]*100%</f>
        <v>0.44725094668376747</v>
      </c>
      <c r="AW543" s="109">
        <f>Table5[[#This Row],[Total Daily Incentive (Weekly)]]/Table5[[#This Row],[Total Revenue Sharing % (Weekly)]]*100%</f>
        <v>0.44390950617318148</v>
      </c>
      <c r="AX543" s="109">
        <f>(N543+O543)/Z543*100%</f>
        <v>0.891160452856949</v>
      </c>
    </row>
    <row r="544" spans="1:50" hidden="1">
      <c r="A544">
        <v>2025</v>
      </c>
      <c r="B544" t="s">
        <v>176</v>
      </c>
      <c r="C544" t="s">
        <v>176</v>
      </c>
      <c r="D544" t="s">
        <v>169</v>
      </c>
      <c r="E544" t="s">
        <v>28</v>
      </c>
      <c r="F544" t="s">
        <v>28</v>
      </c>
      <c r="G544">
        <v>45</v>
      </c>
      <c r="H544" t="s">
        <v>36</v>
      </c>
      <c r="I544" t="s">
        <v>275</v>
      </c>
      <c r="J544" s="174" t="s">
        <v>311</v>
      </c>
      <c r="K544" s="16">
        <v>14</v>
      </c>
      <c r="L544" s="16">
        <v>851</v>
      </c>
      <c r="M544" s="16">
        <v>8196000</v>
      </c>
      <c r="N544" s="16">
        <v>0</v>
      </c>
      <c r="O544" s="16">
        <v>0</v>
      </c>
      <c r="P544" s="16">
        <v>0</v>
      </c>
      <c r="Q544" s="16"/>
      <c r="R544" s="16">
        <v>0</v>
      </c>
      <c r="S544" s="16"/>
      <c r="T544" s="16">
        <v>0</v>
      </c>
      <c r="U544" s="16">
        <v>0</v>
      </c>
      <c r="V544" s="173">
        <v>0</v>
      </c>
      <c r="W544" s="173">
        <v>0</v>
      </c>
      <c r="X544" s="16">
        <v>0</v>
      </c>
      <c r="Y544" s="16">
        <f t="shared" ref="Y544:Y545" si="197">SUM(U544:X544)</f>
        <v>0</v>
      </c>
      <c r="Z544" s="16">
        <f>7%*M544</f>
        <v>573720</v>
      </c>
      <c r="AA544">
        <v>0</v>
      </c>
      <c r="AB544">
        <v>0</v>
      </c>
      <c r="AC544">
        <v>0</v>
      </c>
      <c r="AD544">
        <v>0</v>
      </c>
      <c r="AE544">
        <f t="shared" ref="AE544" si="198">SUM(Z544:AD544)</f>
        <v>573720</v>
      </c>
      <c r="AF544" s="12">
        <f t="shared" ref="AF544:AF545" si="199">AE544-(T544+Y544)</f>
        <v>573720</v>
      </c>
      <c r="AG54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573720</v>
      </c>
      <c r="AH544">
        <f>IFERROR(AG544/(Z544+Table5[[#This Row],[Rider Penalty (Claim, Other Denda to Riders)]]),0)</f>
        <v>1</v>
      </c>
      <c r="AI544" s="12">
        <f t="shared" ref="AI544:AI545" si="200">AA544+AB544-V544</f>
        <v>0</v>
      </c>
      <c r="AJ544">
        <f t="shared" ref="AJ544:AJ545" si="201">IFERROR(AI544/(AA544+AB544),0)</f>
        <v>0</v>
      </c>
      <c r="AV544" s="109"/>
      <c r="AW544" s="109"/>
      <c r="AX544" s="109"/>
    </row>
    <row r="545" spans="1:50" hidden="1">
      <c r="A545">
        <v>2025</v>
      </c>
      <c r="B545" t="s">
        <v>178</v>
      </c>
      <c r="C545" t="s">
        <v>178</v>
      </c>
      <c r="D545" t="s">
        <v>169</v>
      </c>
      <c r="E545" t="s">
        <v>28</v>
      </c>
      <c r="F545" t="s">
        <v>28</v>
      </c>
      <c r="G545">
        <v>45</v>
      </c>
      <c r="H545" t="s">
        <v>36</v>
      </c>
      <c r="I545" t="s">
        <v>275</v>
      </c>
      <c r="J545" s="174" t="s">
        <v>311</v>
      </c>
      <c r="K545" s="16">
        <v>3</v>
      </c>
      <c r="L545" s="16">
        <v>532</v>
      </c>
      <c r="M545" s="16">
        <v>2086006</v>
      </c>
      <c r="N545" s="16">
        <v>0</v>
      </c>
      <c r="O545" s="16">
        <v>850000</v>
      </c>
      <c r="P545" s="16">
        <v>0</v>
      </c>
      <c r="Q545" s="16"/>
      <c r="R545" s="16">
        <v>0</v>
      </c>
      <c r="S545" s="16"/>
      <c r="T545" s="16">
        <f t="shared" ref="T545" si="202">SUM(N545:R545)</f>
        <v>850000</v>
      </c>
      <c r="U545" s="16">
        <v>0</v>
      </c>
      <c r="V545" s="173">
        <v>735000</v>
      </c>
      <c r="W545" s="173">
        <v>0</v>
      </c>
      <c r="X545" s="16">
        <v>0</v>
      </c>
      <c r="Y545" s="16">
        <f t="shared" si="197"/>
        <v>735000</v>
      </c>
      <c r="Z545" s="16">
        <f>22%*M545</f>
        <v>458921.32</v>
      </c>
      <c r="AA545">
        <v>475000</v>
      </c>
      <c r="AB545">
        <v>566100</v>
      </c>
      <c r="AC545">
        <v>0</v>
      </c>
      <c r="AD545">
        <v>0</v>
      </c>
      <c r="AE545" s="16">
        <f>SUM(Z545:AD545)</f>
        <v>1500021.32</v>
      </c>
      <c r="AF545" s="12">
        <f t="shared" si="199"/>
        <v>-84978.679999999935</v>
      </c>
      <c r="AG54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-391078.68</v>
      </c>
      <c r="AH545">
        <f>IFERROR(AG545/(Z545+Table5[[#This Row],[Rider Penalty (Claim, Other Denda to Riders)]]),0)</f>
        <v>-0.85216934353801643</v>
      </c>
      <c r="AI545" s="12">
        <f t="shared" si="200"/>
        <v>306100</v>
      </c>
      <c r="AJ545">
        <f t="shared" si="201"/>
        <v>0.29401594467390263</v>
      </c>
      <c r="AV545" s="109"/>
      <c r="AW545" s="109"/>
      <c r="AX545" s="109"/>
    </row>
    <row r="546" spans="1:50" hidden="1">
      <c r="A546" s="180">
        <v>2025</v>
      </c>
      <c r="B546" s="119" t="s">
        <v>23</v>
      </c>
      <c r="C546" s="119" t="s">
        <v>23</v>
      </c>
      <c r="D546" s="119" t="s">
        <v>168</v>
      </c>
      <c r="E546" s="119" t="s">
        <v>28</v>
      </c>
      <c r="F546" s="119" t="s">
        <v>28</v>
      </c>
      <c r="G546">
        <v>46</v>
      </c>
      <c r="H546" t="s">
        <v>36</v>
      </c>
      <c r="I546" t="s">
        <v>256</v>
      </c>
      <c r="J546" s="174" t="s">
        <v>310</v>
      </c>
      <c r="K546" s="16">
        <v>244</v>
      </c>
      <c r="L546" s="16">
        <v>69778</v>
      </c>
      <c r="M546" s="16">
        <v>612044000</v>
      </c>
      <c r="N546" s="16">
        <v>68781420</v>
      </c>
      <c r="O546" s="16">
        <f>65465000+580000</f>
        <v>66045000</v>
      </c>
      <c r="P546" s="16">
        <v>0</v>
      </c>
      <c r="Q546" s="16"/>
      <c r="R546" s="16">
        <v>0</v>
      </c>
      <c r="S546" s="16"/>
      <c r="T546" s="16">
        <f>SUM(N546:R546)</f>
        <v>134826420</v>
      </c>
      <c r="U546" s="16">
        <v>3500000</v>
      </c>
      <c r="V546" s="173">
        <v>59780000</v>
      </c>
      <c r="W546" s="173">
        <v>0</v>
      </c>
      <c r="X546" s="14">
        <v>292837.14444444445</v>
      </c>
      <c r="Y546" s="16">
        <f t="shared" ref="Y546:Y548" si="203">SUM(U546:X546)</f>
        <v>63572837.144444443</v>
      </c>
      <c r="Z546" s="16">
        <f>26%*M546</f>
        <v>159131440</v>
      </c>
      <c r="AA546" s="16">
        <v>38500000</v>
      </c>
      <c r="AB546" s="16">
        <v>0</v>
      </c>
      <c r="AC546" s="16">
        <v>2550000</v>
      </c>
      <c r="AD546" s="16">
        <v>0</v>
      </c>
      <c r="AE546" s="16">
        <f t="shared" ref="AE546:AE549" si="204">SUM(Z546:AD546)</f>
        <v>200181440</v>
      </c>
      <c r="AF546" s="16">
        <f t="shared" ref="AF546:AF549" si="205">AE546-(T546+Y546)</f>
        <v>1782182.8555555642</v>
      </c>
      <c r="AG54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20512182.855555557</v>
      </c>
      <c r="AH546" s="16">
        <f>IFERROR(AG546/(Z546+Table5[[#This Row],[Rider Penalty (Claim, Other Denda to Riders)]]),0)</f>
        <v>0.12890088128125754</v>
      </c>
      <c r="AI546" s="16">
        <f t="shared" ref="AI546:AI549" si="206">AA546+AB546-V546</f>
        <v>-21280000</v>
      </c>
      <c r="AJ546">
        <f t="shared" ref="AJ546:AJ549" si="207">IFERROR(AI546/(AA546+AB546),0)</f>
        <v>-0.55272727272727273</v>
      </c>
      <c r="AV546" s="109">
        <f>Table5[[#This Row],[Total Selling Comission/Sales (Weekly)]]/Table5[[#This Row],[Total Revenue Sharing % (Weekly)]]*100%</f>
        <v>0.43223023684068967</v>
      </c>
      <c r="AW546" s="109">
        <f>Table5[[#This Row],[Total Daily Incentive (Weekly)]]/Table5[[#This Row],[Total Revenue Sharing % (Weekly)]]*100%</f>
        <v>0.41503426349940653</v>
      </c>
      <c r="AX546" s="109">
        <f>(N546+O546)/Z546*100%</f>
        <v>0.84726450034009626</v>
      </c>
    </row>
    <row r="547" spans="1:50" hidden="1">
      <c r="A547" s="63">
        <v>2025</v>
      </c>
      <c r="B547" s="64" t="s">
        <v>23</v>
      </c>
      <c r="C547" s="64" t="s">
        <v>172</v>
      </c>
      <c r="D547" s="64" t="s">
        <v>168</v>
      </c>
      <c r="E547" s="64" t="s">
        <v>28</v>
      </c>
      <c r="F547" s="64" t="s">
        <v>28</v>
      </c>
      <c r="G547">
        <v>46</v>
      </c>
      <c r="H547" t="s">
        <v>36</v>
      </c>
      <c r="I547" t="s">
        <v>256</v>
      </c>
      <c r="J547" s="174" t="s">
        <v>310</v>
      </c>
      <c r="K547" s="16">
        <v>26</v>
      </c>
      <c r="L547" s="16">
        <v>6128</v>
      </c>
      <c r="M547" s="16">
        <v>53588000</v>
      </c>
      <c r="N547" s="16">
        <v>5693455</v>
      </c>
      <c r="O547" s="16">
        <f>6895000+140000</f>
        <v>7035000</v>
      </c>
      <c r="P547" s="16">
        <v>0</v>
      </c>
      <c r="Q547" s="16"/>
      <c r="R547" s="16">
        <v>0</v>
      </c>
      <c r="S547" s="16"/>
      <c r="T547" s="16">
        <f t="shared" ref="T547:T549" si="208">SUM(N547:R547)</f>
        <v>12728455</v>
      </c>
      <c r="U547" s="16">
        <v>900000</v>
      </c>
      <c r="V547" s="173">
        <v>6370000</v>
      </c>
      <c r="W547" s="173">
        <v>0</v>
      </c>
      <c r="X547" s="14">
        <v>295555.5555555555</v>
      </c>
      <c r="Y547" s="16">
        <f t="shared" si="203"/>
        <v>7565555.555555556</v>
      </c>
      <c r="Z547" s="16">
        <f>26%*M547</f>
        <v>13932880</v>
      </c>
      <c r="AA547" s="16">
        <v>3750000</v>
      </c>
      <c r="AB547" s="16">
        <v>0</v>
      </c>
      <c r="AC547" s="16">
        <v>300000</v>
      </c>
      <c r="AD547" s="16">
        <v>0</v>
      </c>
      <c r="AE547" s="16">
        <f t="shared" si="204"/>
        <v>17982880</v>
      </c>
      <c r="AF547" s="16">
        <f>AE547-(T547+Y547)</f>
        <v>-2311130.555555556</v>
      </c>
      <c r="AG54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8869.4444444444962</v>
      </c>
      <c r="AH547" s="16">
        <f>IFERROR(AG547/(Z547+Table5[[#This Row],[Rider Penalty (Claim, Other Denda to Riders)]]),0)</f>
        <v>6.3658371021960256E-4</v>
      </c>
      <c r="AI547" s="16">
        <f t="shared" si="206"/>
        <v>-2620000</v>
      </c>
      <c r="AJ547">
        <f t="shared" si="207"/>
        <v>-0.69866666666666666</v>
      </c>
      <c r="AV547" s="109">
        <f>Table5[[#This Row],[Total Selling Comission/Sales (Weekly)]]/Table5[[#This Row],[Total Revenue Sharing % (Weekly)]]*100%</f>
        <v>0.40863446753291494</v>
      </c>
      <c r="AW547" s="109">
        <f>Table5[[#This Row],[Total Daily Incentive (Weekly)]]/Table5[[#This Row],[Total Revenue Sharing % (Weekly)]]*100%</f>
        <v>0.50492073426312434</v>
      </c>
      <c r="AX547" s="109">
        <f>(N547+O547)/Z547*100%</f>
        <v>0.91355520179603933</v>
      </c>
    </row>
    <row r="548" spans="1:50" hidden="1">
      <c r="A548" s="180">
        <v>2025</v>
      </c>
      <c r="B548" s="119" t="s">
        <v>176</v>
      </c>
      <c r="C548" s="119" t="s">
        <v>176</v>
      </c>
      <c r="D548" s="119" t="s">
        <v>169</v>
      </c>
      <c r="E548" s="119" t="s">
        <v>28</v>
      </c>
      <c r="F548" s="119" t="s">
        <v>28</v>
      </c>
      <c r="G548">
        <v>46</v>
      </c>
      <c r="H548" t="s">
        <v>36</v>
      </c>
      <c r="I548" t="s">
        <v>256</v>
      </c>
      <c r="J548" s="174" t="s">
        <v>310</v>
      </c>
      <c r="K548" s="16">
        <v>10</v>
      </c>
      <c r="L548" s="16">
        <v>656</v>
      </c>
      <c r="M548" s="16">
        <v>6250000</v>
      </c>
      <c r="N548" s="16">
        <v>0</v>
      </c>
      <c r="O548" s="16">
        <v>0</v>
      </c>
      <c r="P548" s="16">
        <v>0</v>
      </c>
      <c r="Q548" s="16"/>
      <c r="R548" s="16">
        <v>0</v>
      </c>
      <c r="S548" s="16"/>
      <c r="T548" s="16">
        <v>0</v>
      </c>
      <c r="U548" s="16">
        <v>0</v>
      </c>
      <c r="V548" s="173">
        <v>0</v>
      </c>
      <c r="W548" s="173">
        <v>0</v>
      </c>
      <c r="X548" s="16">
        <v>0</v>
      </c>
      <c r="Y548" s="16">
        <f t="shared" si="203"/>
        <v>0</v>
      </c>
      <c r="Z548" s="16">
        <f>7%*M548</f>
        <v>437500.00000000006</v>
      </c>
      <c r="AA548" s="16">
        <v>0</v>
      </c>
      <c r="AB548" s="16">
        <v>0</v>
      </c>
      <c r="AC548" s="16">
        <v>0</v>
      </c>
      <c r="AD548" s="16">
        <v>0</v>
      </c>
      <c r="AE548" s="16">
        <f t="shared" si="204"/>
        <v>437500.00000000006</v>
      </c>
      <c r="AF548" s="16">
        <f t="shared" si="205"/>
        <v>437500.00000000006</v>
      </c>
      <c r="AG54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437500.00000000006</v>
      </c>
      <c r="AH548" s="16">
        <f>IFERROR(AG548/(Z548+Table5[[#This Row],[Rider Penalty (Claim, Other Denda to Riders)]]),0)</f>
        <v>1</v>
      </c>
      <c r="AI548" s="16">
        <f t="shared" si="206"/>
        <v>0</v>
      </c>
      <c r="AJ548">
        <f t="shared" si="207"/>
        <v>0</v>
      </c>
      <c r="AV548" s="109"/>
      <c r="AW548" s="109"/>
      <c r="AX548" s="109"/>
    </row>
    <row r="549" spans="1:50" hidden="1">
      <c r="A549" s="63">
        <v>2025</v>
      </c>
      <c r="B549" s="64" t="s">
        <v>178</v>
      </c>
      <c r="C549" s="64" t="s">
        <v>178</v>
      </c>
      <c r="D549" s="64" t="s">
        <v>169</v>
      </c>
      <c r="E549" s="64" t="s">
        <v>28</v>
      </c>
      <c r="F549" s="64" t="s">
        <v>28</v>
      </c>
      <c r="G549">
        <v>46</v>
      </c>
      <c r="H549" t="s">
        <v>36</v>
      </c>
      <c r="I549" t="s">
        <v>256</v>
      </c>
      <c r="J549" s="174" t="s">
        <v>310</v>
      </c>
      <c r="K549" s="16">
        <v>4</v>
      </c>
      <c r="L549" s="16">
        <v>359</v>
      </c>
      <c r="M549" s="16">
        <v>1348004</v>
      </c>
      <c r="N549" s="16">
        <v>0</v>
      </c>
      <c r="O549" s="16">
        <v>800000</v>
      </c>
      <c r="P549" s="16">
        <v>0</v>
      </c>
      <c r="Q549" s="16"/>
      <c r="R549" s="16">
        <v>0</v>
      </c>
      <c r="S549" s="16"/>
      <c r="T549" s="16">
        <f t="shared" si="208"/>
        <v>800000</v>
      </c>
      <c r="U549" s="16">
        <v>0</v>
      </c>
      <c r="V549" s="173">
        <v>980000</v>
      </c>
      <c r="W549" s="173">
        <v>0</v>
      </c>
      <c r="X549" s="16">
        <v>0</v>
      </c>
      <c r="Y549" s="16">
        <f>SUM(U549:X549)</f>
        <v>980000</v>
      </c>
      <c r="Z549" s="16">
        <f>22%*M549</f>
        <v>296560.88</v>
      </c>
      <c r="AA549" s="16">
        <v>550000</v>
      </c>
      <c r="AB549" s="16">
        <v>532800</v>
      </c>
      <c r="AD549" s="16">
        <v>0</v>
      </c>
      <c r="AE549" s="16">
        <f t="shared" si="204"/>
        <v>1379360.88</v>
      </c>
      <c r="AF549" s="16">
        <f t="shared" si="205"/>
        <v>-400639.12000000011</v>
      </c>
      <c r="AG54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-503439.12</v>
      </c>
      <c r="AH549" s="16">
        <f>IFERROR(AG549/(Z549+Table5[[#This Row],[Rider Penalty (Claim, Other Denda to Riders)]]),0)</f>
        <v>-1.6975911320468162</v>
      </c>
      <c r="AI549" s="16">
        <f t="shared" si="206"/>
        <v>102800</v>
      </c>
      <c r="AJ549">
        <f t="shared" si="207"/>
        <v>9.4939046915404501E-2</v>
      </c>
      <c r="AV549" s="109"/>
      <c r="AW549" s="109"/>
      <c r="AX549" s="109"/>
    </row>
    <row r="550" spans="1:50" hidden="1">
      <c r="A550">
        <v>2025</v>
      </c>
      <c r="B550" t="s">
        <v>23</v>
      </c>
      <c r="C550" t="s">
        <v>174</v>
      </c>
      <c r="D550" t="s">
        <v>168</v>
      </c>
      <c r="E550" t="s">
        <v>24</v>
      </c>
      <c r="F550" t="s">
        <v>24</v>
      </c>
      <c r="G550">
        <v>46</v>
      </c>
      <c r="H550" t="s">
        <v>36</v>
      </c>
      <c r="I550" t="s">
        <v>256</v>
      </c>
      <c r="J550" s="174" t="s">
        <v>310</v>
      </c>
      <c r="K550">
        <v>23</v>
      </c>
      <c r="L550">
        <v>3910</v>
      </c>
      <c r="M550">
        <v>35652000</v>
      </c>
      <c r="N550">
        <v>3354160</v>
      </c>
      <c r="O550">
        <v>4150000</v>
      </c>
      <c r="P550">
        <v>0</v>
      </c>
      <c r="R550">
        <v>0</v>
      </c>
      <c r="T550">
        <f>SUM(N550:R550)</f>
        <v>7504160</v>
      </c>
      <c r="U550">
        <f>700000+((700000/3)/2)</f>
        <v>816666.66666666663</v>
      </c>
      <c r="V550" s="1">
        <f>115*35000</f>
        <v>4025000</v>
      </c>
      <c r="W550" s="1">
        <v>0</v>
      </c>
      <c r="X550">
        <v>0</v>
      </c>
      <c r="Y550">
        <f>SUM(U550:X550)</f>
        <v>4841666.666666667</v>
      </c>
      <c r="Z550" s="12">
        <f>26%*M550</f>
        <v>9269520</v>
      </c>
      <c r="AA550">
        <f>133*25000</f>
        <v>3325000</v>
      </c>
      <c r="AB550">
        <v>0</v>
      </c>
      <c r="AC550" s="16">
        <v>0</v>
      </c>
      <c r="AD550">
        <v>0</v>
      </c>
      <c r="AE550">
        <f>SUM(Z550:AD550)</f>
        <v>12594520</v>
      </c>
      <c r="AF550" s="12">
        <f>AE550-(T550+Y550)</f>
        <v>248693.33333333209</v>
      </c>
      <c r="AG55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948693.33333333337</v>
      </c>
      <c r="AH550">
        <f>IFERROR(AG550/(Z550+Table5[[#This Row],[Rider Penalty (Claim, Other Denda to Riders)]]),0)</f>
        <v>0.10234546484967219</v>
      </c>
      <c r="AI550" s="12">
        <f>AA550+AB550-V550</f>
        <v>-700000</v>
      </c>
      <c r="AJ550">
        <f>IFERROR(AI550/(AA550+AB550),0)</f>
        <v>-0.21052631578947367</v>
      </c>
      <c r="AV550" s="109">
        <f>Table5[[#This Row],[Total Selling Comission/Sales (Weekly)]]/Table5[[#This Row],[Total Revenue Sharing % (Weekly)]]*100%</f>
        <v>0.36184829419430564</v>
      </c>
      <c r="AW550" s="109">
        <f>Table5[[#This Row],[Total Daily Incentive (Weekly)]]/Table5[[#This Row],[Total Revenue Sharing % (Weekly)]]*100%</f>
        <v>0.44770387247667626</v>
      </c>
      <c r="AX550" s="109">
        <f>(N550+O550)/Z550*100%</f>
        <v>0.80955216667098184</v>
      </c>
    </row>
    <row r="551" spans="1:50" hidden="1">
      <c r="A551">
        <v>2025</v>
      </c>
      <c r="B551" t="s">
        <v>23</v>
      </c>
      <c r="C551" t="s">
        <v>173</v>
      </c>
      <c r="D551" t="s">
        <v>168</v>
      </c>
      <c r="E551" t="s">
        <v>24</v>
      </c>
      <c r="F551" t="s">
        <v>282</v>
      </c>
      <c r="G551">
        <v>46</v>
      </c>
      <c r="H551" t="s">
        <v>36</v>
      </c>
      <c r="I551" t="s">
        <v>256</v>
      </c>
      <c r="J551" s="174" t="s">
        <v>310</v>
      </c>
      <c r="K551">
        <v>10</v>
      </c>
      <c r="L551">
        <v>1905</v>
      </c>
      <c r="M551">
        <v>16970000</v>
      </c>
      <c r="N551">
        <v>1635920</v>
      </c>
      <c r="O551">
        <v>1825000</v>
      </c>
      <c r="P551">
        <v>0</v>
      </c>
      <c r="R551">
        <v>0</v>
      </c>
      <c r="T551">
        <f t="shared" ref="T551:T553" si="209">SUM(N551:R551)</f>
        <v>3460920</v>
      </c>
      <c r="U551">
        <v>0</v>
      </c>
      <c r="V551" s="1">
        <f>49*35000</f>
        <v>1715000</v>
      </c>
      <c r="W551" s="1">
        <v>0</v>
      </c>
      <c r="X551">
        <v>0</v>
      </c>
      <c r="Y551">
        <f t="shared" ref="Y551:Y553" si="210">SUM(U551:X551)</f>
        <v>1715000</v>
      </c>
      <c r="Z551" s="12">
        <f>26%*M551</f>
        <v>4412200</v>
      </c>
      <c r="AA551">
        <f>57*25000</f>
        <v>1425000</v>
      </c>
      <c r="AB551">
        <v>0</v>
      </c>
      <c r="AC551">
        <v>0</v>
      </c>
      <c r="AD551">
        <v>0</v>
      </c>
      <c r="AE551">
        <f t="shared" ref="AE551:AE553" si="211">SUM(Z551:AD551)</f>
        <v>5837200</v>
      </c>
      <c r="AF551" s="12">
        <f t="shared" ref="AF551:AF553" si="212">AE551-(T551+Y551)</f>
        <v>661280</v>
      </c>
      <c r="AG55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951280</v>
      </c>
      <c r="AH551">
        <f>IFERROR(AG551/(Z551+Table5[[#This Row],[Rider Penalty (Claim, Other Denda to Riders)]]),0)</f>
        <v>0.21560219391686686</v>
      </c>
      <c r="AI551" s="12">
        <f t="shared" ref="AI551:AI553" si="213">AA551+AB551-V551</f>
        <v>-290000</v>
      </c>
      <c r="AJ551">
        <f t="shared" ref="AJ551:AJ553" si="214">IFERROR(AI551/(AA551+AB551),0)</f>
        <v>-0.20350877192982456</v>
      </c>
      <c r="AV551" s="109">
        <f>Table5[[#This Row],[Total Selling Comission/Sales (Weekly)]]/Table5[[#This Row],[Total Revenue Sharing % (Weekly)]]*100%</f>
        <v>0.37077195050088391</v>
      </c>
      <c r="AW551" s="109">
        <f>Table5[[#This Row],[Total Daily Incentive (Weekly)]]/Table5[[#This Row],[Total Revenue Sharing % (Weekly)]]*100%</f>
        <v>0.41362585558224924</v>
      </c>
      <c r="AX551" s="109">
        <f>(N551+O551)/Z551*100%</f>
        <v>0.78439780608313314</v>
      </c>
    </row>
    <row r="552" spans="1:50" hidden="1">
      <c r="A552">
        <v>2025</v>
      </c>
      <c r="B552" t="s">
        <v>23</v>
      </c>
      <c r="C552" t="s">
        <v>205</v>
      </c>
      <c r="D552" t="s">
        <v>168</v>
      </c>
      <c r="E552" t="s">
        <v>24</v>
      </c>
      <c r="F552" t="s">
        <v>24</v>
      </c>
      <c r="G552">
        <v>46</v>
      </c>
      <c r="H552" t="s">
        <v>36</v>
      </c>
      <c r="I552" t="s">
        <v>256</v>
      </c>
      <c r="J552" s="174" t="s">
        <v>310</v>
      </c>
      <c r="K552">
        <v>6</v>
      </c>
      <c r="L552">
        <v>873</v>
      </c>
      <c r="M552">
        <v>1803200</v>
      </c>
      <c r="N552">
        <v>0</v>
      </c>
      <c r="O552">
        <v>0</v>
      </c>
      <c r="P552">
        <v>0</v>
      </c>
      <c r="R552">
        <v>0</v>
      </c>
      <c r="T552">
        <f t="shared" si="209"/>
        <v>0</v>
      </c>
      <c r="U552">
        <f>(700000/3)/2</f>
        <v>116666.66666666667</v>
      </c>
      <c r="V552" s="1">
        <v>0</v>
      </c>
      <c r="W552" s="1">
        <v>0</v>
      </c>
      <c r="X552">
        <v>0</v>
      </c>
      <c r="Y552">
        <f t="shared" si="210"/>
        <v>116666.66666666667</v>
      </c>
      <c r="Z552" s="12">
        <f>7%*M552</f>
        <v>126224.00000000001</v>
      </c>
      <c r="AA552">
        <v>0</v>
      </c>
      <c r="AB552">
        <v>0</v>
      </c>
      <c r="AC552">
        <v>0</v>
      </c>
      <c r="AD552">
        <v>0</v>
      </c>
      <c r="AE552">
        <f t="shared" si="211"/>
        <v>126224.00000000001</v>
      </c>
      <c r="AF552" s="12">
        <f t="shared" si="212"/>
        <v>9557.333333333343</v>
      </c>
      <c r="AG55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9557.333333333343</v>
      </c>
      <c r="AH552">
        <f>IFERROR(AG552/(Z552+Table5[[#This Row],[Rider Penalty (Claim, Other Denda to Riders)]]),0)</f>
        <v>7.5717243419106836E-2</v>
      </c>
      <c r="AI552" s="12">
        <f t="shared" si="213"/>
        <v>0</v>
      </c>
      <c r="AJ552">
        <f t="shared" si="214"/>
        <v>0</v>
      </c>
      <c r="AV552" s="109">
        <f>Table5[[#This Row],[Total Selling Comission/Sales (Weekly)]]/Table5[[#This Row],[Total Revenue Sharing % (Weekly)]]*100%</f>
        <v>0</v>
      </c>
      <c r="AW552" s="109">
        <f>Table5[[#This Row],[Total Daily Incentive (Weekly)]]/Table5[[#This Row],[Total Revenue Sharing % (Weekly)]]*100%</f>
        <v>0</v>
      </c>
      <c r="AX552" s="109">
        <f>(N552+O552)/Z552*100%</f>
        <v>0</v>
      </c>
    </row>
    <row r="553" spans="1:50" hidden="1">
      <c r="A553">
        <v>2025</v>
      </c>
      <c r="B553" t="s">
        <v>177</v>
      </c>
      <c r="C553" t="s">
        <v>177</v>
      </c>
      <c r="D553" t="s">
        <v>168</v>
      </c>
      <c r="E553" t="s">
        <v>24</v>
      </c>
      <c r="F553" t="s">
        <v>24</v>
      </c>
      <c r="G553">
        <v>46</v>
      </c>
      <c r="H553" t="s">
        <v>36</v>
      </c>
      <c r="I553" t="s">
        <v>256</v>
      </c>
      <c r="J553" s="174" t="s">
        <v>310</v>
      </c>
      <c r="K553">
        <v>4</v>
      </c>
      <c r="L553">
        <v>137</v>
      </c>
      <c r="M553">
        <v>1429000</v>
      </c>
      <c r="N553">
        <v>69800</v>
      </c>
      <c r="O553">
        <v>275000</v>
      </c>
      <c r="P553">
        <v>0</v>
      </c>
      <c r="R553">
        <v>0</v>
      </c>
      <c r="T553">
        <f t="shared" si="209"/>
        <v>344800</v>
      </c>
      <c r="U553">
        <f>700000/3</f>
        <v>233333.33333333334</v>
      </c>
      <c r="V553" s="1">
        <f>11*35000</f>
        <v>385000</v>
      </c>
      <c r="W553" s="1">
        <v>0</v>
      </c>
      <c r="X553">
        <v>0</v>
      </c>
      <c r="Y553">
        <f t="shared" si="210"/>
        <v>618333.33333333337</v>
      </c>
      <c r="Z553" s="12">
        <f>30%*M553</f>
        <v>428700</v>
      </c>
      <c r="AA553">
        <f>11*25000</f>
        <v>275000</v>
      </c>
      <c r="AB553">
        <v>0</v>
      </c>
      <c r="AC553">
        <v>0</v>
      </c>
      <c r="AD553">
        <v>0</v>
      </c>
      <c r="AE553">
        <f t="shared" si="211"/>
        <v>703700</v>
      </c>
      <c r="AF553" s="12">
        <f t="shared" si="212"/>
        <v>-259433.33333333337</v>
      </c>
      <c r="AG55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-149433.33333333334</v>
      </c>
      <c r="AH553">
        <f>IFERROR(AG553/(Z553+Table5[[#This Row],[Rider Penalty (Claim, Other Denda to Riders)]]),0)</f>
        <v>-0.34857320581603302</v>
      </c>
      <c r="AI553" s="12">
        <f t="shared" si="213"/>
        <v>-110000</v>
      </c>
      <c r="AJ553">
        <f t="shared" si="214"/>
        <v>-0.4</v>
      </c>
      <c r="AV553" s="109"/>
      <c r="AW553" s="109"/>
      <c r="AX553" s="109"/>
    </row>
    <row r="554" spans="1:50" hidden="1">
      <c r="A554">
        <v>2025</v>
      </c>
      <c r="B554" t="s">
        <v>202</v>
      </c>
      <c r="C554" t="s">
        <v>202</v>
      </c>
      <c r="D554" t="s">
        <v>168</v>
      </c>
      <c r="E554" t="s">
        <v>24</v>
      </c>
      <c r="F554" t="s">
        <v>24</v>
      </c>
      <c r="G554">
        <v>46</v>
      </c>
      <c r="H554" t="s">
        <v>36</v>
      </c>
      <c r="I554" t="s">
        <v>256</v>
      </c>
      <c r="J554" s="174" t="s">
        <v>310</v>
      </c>
      <c r="K554">
        <v>1</v>
      </c>
      <c r="L554">
        <v>49</v>
      </c>
      <c r="M554">
        <v>462000</v>
      </c>
      <c r="N554">
        <v>0</v>
      </c>
      <c r="O554">
        <v>0</v>
      </c>
      <c r="P554">
        <v>0</v>
      </c>
      <c r="R554">
        <v>0</v>
      </c>
      <c r="T554">
        <f>SUM(N554:R554)</f>
        <v>0</v>
      </c>
      <c r="U554">
        <f>700000/3</f>
        <v>233333.33333333334</v>
      </c>
      <c r="V554" s="1">
        <v>0</v>
      </c>
      <c r="W554" s="1">
        <v>0</v>
      </c>
      <c r="X554">
        <v>0</v>
      </c>
      <c r="Y554">
        <f>SUM(U554:X554)</f>
        <v>233333.33333333334</v>
      </c>
      <c r="Z554" s="12">
        <f>10%*M554</f>
        <v>46200</v>
      </c>
      <c r="AA554">
        <v>0</v>
      </c>
      <c r="AB554">
        <v>0</v>
      </c>
      <c r="AC554">
        <v>0</v>
      </c>
      <c r="AD554">
        <v>0</v>
      </c>
      <c r="AE554">
        <f>SUM(Z554:AD554)</f>
        <v>46200</v>
      </c>
      <c r="AF554" s="12">
        <f>AE554-(T554+Y554)</f>
        <v>-187133.33333333334</v>
      </c>
      <c r="AG5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-187133.33333333334</v>
      </c>
      <c r="AH554">
        <f>IFERROR(AG554/(Z554+Table5[[#This Row],[Rider Penalty (Claim, Other Denda to Riders)]]),0)</f>
        <v>-4.0505050505050511</v>
      </c>
      <c r="AI554" s="12">
        <f>AA554+AB554-V554</f>
        <v>0</v>
      </c>
      <c r="AJ554">
        <f>IFERROR(AI554/(AA554+AB554),0)</f>
        <v>0</v>
      </c>
      <c r="AV554" s="109"/>
      <c r="AW554" s="109"/>
      <c r="AX554" s="109"/>
    </row>
    <row r="555" spans="1:50" hidden="1">
      <c r="A555">
        <v>2025</v>
      </c>
      <c r="B555" s="179" t="s">
        <v>23</v>
      </c>
      <c r="C555" s="64" t="s">
        <v>23</v>
      </c>
      <c r="D555" t="s">
        <v>168</v>
      </c>
      <c r="E555" t="s">
        <v>28</v>
      </c>
      <c r="F555" t="s">
        <v>28</v>
      </c>
      <c r="G555">
        <v>47</v>
      </c>
      <c r="H555" t="s">
        <v>36</v>
      </c>
      <c r="I555" t="s">
        <v>278</v>
      </c>
      <c r="J555" s="174" t="s">
        <v>309</v>
      </c>
      <c r="K555" s="16">
        <v>240</v>
      </c>
      <c r="L555" s="16">
        <v>61072</v>
      </c>
      <c r="M555" s="16">
        <v>534252000</v>
      </c>
      <c r="N555" s="16">
        <v>56719915</v>
      </c>
      <c r="O555" s="16">
        <f>64250000+530000</f>
        <v>64780000</v>
      </c>
      <c r="P555" s="16">
        <v>0</v>
      </c>
      <c r="Q555" s="16"/>
      <c r="R555" s="16">
        <v>0</v>
      </c>
      <c r="S555" s="16"/>
      <c r="T555" s="16">
        <f t="shared" ref="T555:T558" si="215">SUM(N555:R555)</f>
        <v>121499915</v>
      </c>
      <c r="U555" s="16">
        <v>2575000</v>
      </c>
      <c r="V555" s="14">
        <v>58800000</v>
      </c>
      <c r="W555" s="14">
        <v>0</v>
      </c>
      <c r="X555" s="16">
        <v>292837</v>
      </c>
      <c r="Y555" s="16">
        <f t="shared" ref="Y555:Y558" si="216">SUM(U555:X555)</f>
        <v>61667837</v>
      </c>
      <c r="Z555" s="16">
        <f>26%*M555</f>
        <v>138905520</v>
      </c>
      <c r="AA555" s="16">
        <f>2850000+35225000</f>
        <v>38075000</v>
      </c>
      <c r="AB555" s="16">
        <v>0</v>
      </c>
      <c r="AC555" s="16">
        <v>2600000</v>
      </c>
      <c r="AD555" s="16">
        <v>0</v>
      </c>
      <c r="AE555" s="16">
        <f>SUM(Z555:AD555)</f>
        <v>179580520</v>
      </c>
      <c r="AF555" s="16">
        <f t="shared" ref="AF555:AF558" si="217">AE555-(T555+Y555)</f>
        <v>-3587232</v>
      </c>
      <c r="AG55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14537768</v>
      </c>
      <c r="AH555" s="16">
        <f>IFERROR(AG555/(Z555+Table5[[#This Row],[Rider Penalty (Claim, Other Denda to Riders)]]),0)</f>
        <v>0.10465939726513389</v>
      </c>
      <c r="AI555" s="16">
        <f t="shared" ref="AI555:AI558" si="218">AA555+AB555-V555</f>
        <v>-20725000</v>
      </c>
      <c r="AJ555" s="16">
        <f t="shared" ref="AJ555:AJ558" si="219">IFERROR(AI555/(AA555+AB555),0)</f>
        <v>-0.54432042022324356</v>
      </c>
      <c r="AK555" s="16"/>
    </row>
    <row r="556" spans="1:50" hidden="1">
      <c r="A556">
        <v>2025</v>
      </c>
      <c r="B556" s="179" t="s">
        <v>23</v>
      </c>
      <c r="C556" s="64" t="s">
        <v>172</v>
      </c>
      <c r="D556" t="s">
        <v>168</v>
      </c>
      <c r="E556" t="s">
        <v>28</v>
      </c>
      <c r="F556" t="s">
        <v>28</v>
      </c>
      <c r="G556">
        <v>47</v>
      </c>
      <c r="H556" t="s">
        <v>36</v>
      </c>
      <c r="I556" t="s">
        <v>278</v>
      </c>
      <c r="J556" s="174" t="s">
        <v>309</v>
      </c>
      <c r="K556" s="16">
        <v>26</v>
      </c>
      <c r="L556">
        <v>5846</v>
      </c>
      <c r="M556" s="16">
        <v>51134000</v>
      </c>
      <c r="N556" s="16">
        <v>4805805</v>
      </c>
      <c r="O556" s="16">
        <f>170000+7610000</f>
        <v>7780000</v>
      </c>
      <c r="P556" s="16">
        <v>0</v>
      </c>
      <c r="Q556" s="16"/>
      <c r="R556" s="16">
        <v>0</v>
      </c>
      <c r="S556" s="16"/>
      <c r="T556" s="16">
        <f t="shared" si="215"/>
        <v>12585805</v>
      </c>
      <c r="U556" s="16">
        <v>900000</v>
      </c>
      <c r="V556" s="14">
        <v>6370000</v>
      </c>
      <c r="W556" s="14">
        <v>0</v>
      </c>
      <c r="X556" s="16">
        <v>295556</v>
      </c>
      <c r="Y556" s="16">
        <f t="shared" si="216"/>
        <v>7565556</v>
      </c>
      <c r="Z556" s="16">
        <f>26%*M556</f>
        <v>13294840</v>
      </c>
      <c r="AA556" s="16">
        <f>3575000+75000</f>
        <v>3650000</v>
      </c>
      <c r="AB556" s="16">
        <v>0</v>
      </c>
      <c r="AC556" s="16">
        <v>325000</v>
      </c>
      <c r="AD556" s="16">
        <v>0</v>
      </c>
      <c r="AE556" s="16">
        <f t="shared" ref="AE556:AE558" si="220">SUM(Z556:AD556)</f>
        <v>17269840</v>
      </c>
      <c r="AF556" s="16">
        <f t="shared" si="217"/>
        <v>-2881521</v>
      </c>
      <c r="AG55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-486521</v>
      </c>
      <c r="AH556" s="16">
        <f>IFERROR(AG556/(Z556+Table5[[#This Row],[Rider Penalty (Claim, Other Denda to Riders)]]),0)</f>
        <v>-3.6594723968095891E-2</v>
      </c>
      <c r="AI556" s="16">
        <f t="shared" si="218"/>
        <v>-2720000</v>
      </c>
      <c r="AJ556" s="16">
        <f t="shared" si="219"/>
        <v>-0.74520547945205484</v>
      </c>
      <c r="AK556" s="16"/>
    </row>
    <row r="557" spans="1:50" hidden="1">
      <c r="A557">
        <v>2025</v>
      </c>
      <c r="B557" t="s">
        <v>176</v>
      </c>
      <c r="C557" t="s">
        <v>176</v>
      </c>
      <c r="D557" t="s">
        <v>169</v>
      </c>
      <c r="E557" t="s">
        <v>28</v>
      </c>
      <c r="F557" t="s">
        <v>28</v>
      </c>
      <c r="G557">
        <v>47</v>
      </c>
      <c r="H557" t="s">
        <v>36</v>
      </c>
      <c r="I557" t="s">
        <v>278</v>
      </c>
      <c r="J557" s="174" t="s">
        <v>309</v>
      </c>
      <c r="K557" s="16">
        <v>11</v>
      </c>
      <c r="L557" s="16">
        <v>618</v>
      </c>
      <c r="M557" s="16">
        <v>5988000</v>
      </c>
      <c r="N557" s="16">
        <v>0</v>
      </c>
      <c r="O557" s="16">
        <v>0</v>
      </c>
      <c r="P557" s="16">
        <v>0</v>
      </c>
      <c r="Q557" s="16"/>
      <c r="R557" s="16">
        <v>0</v>
      </c>
      <c r="S557" s="16"/>
      <c r="T557" s="16">
        <v>0</v>
      </c>
      <c r="U557" s="16">
        <v>0</v>
      </c>
      <c r="V557" s="14">
        <v>0</v>
      </c>
      <c r="W557" s="14">
        <v>0</v>
      </c>
      <c r="X557" s="16">
        <v>0</v>
      </c>
      <c r="Y557" s="16">
        <v>0</v>
      </c>
      <c r="Z557" s="16">
        <f>7%*M557</f>
        <v>419160.00000000006</v>
      </c>
      <c r="AA557" s="16">
        <v>0</v>
      </c>
      <c r="AB557" s="16">
        <v>0</v>
      </c>
      <c r="AC557" s="16">
        <v>0</v>
      </c>
      <c r="AD557" s="16">
        <v>0</v>
      </c>
      <c r="AE557" s="16">
        <f t="shared" si="220"/>
        <v>419160.00000000006</v>
      </c>
      <c r="AF557" s="16">
        <f t="shared" si="217"/>
        <v>419160.00000000006</v>
      </c>
      <c r="AG55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419160.00000000006</v>
      </c>
      <c r="AH557" s="16">
        <f>IFERROR(AG557/(Z557+Table5[[#This Row],[Rider Penalty (Claim, Other Denda to Riders)]]),0)</f>
        <v>1</v>
      </c>
      <c r="AI557" s="16">
        <f t="shared" si="218"/>
        <v>0</v>
      </c>
      <c r="AJ557" s="16">
        <f t="shared" si="219"/>
        <v>0</v>
      </c>
      <c r="AK557" s="16"/>
    </row>
    <row r="558" spans="1:50" hidden="1">
      <c r="A558">
        <v>2025</v>
      </c>
      <c r="B558" t="s">
        <v>178</v>
      </c>
      <c r="C558" t="s">
        <v>178</v>
      </c>
      <c r="D558" t="s">
        <v>169</v>
      </c>
      <c r="E558" t="s">
        <v>28</v>
      </c>
      <c r="F558" t="s">
        <v>28</v>
      </c>
      <c r="G558">
        <v>47</v>
      </c>
      <c r="H558" t="s">
        <v>36</v>
      </c>
      <c r="I558" t="s">
        <v>278</v>
      </c>
      <c r="J558" s="174" t="s">
        <v>309</v>
      </c>
      <c r="K558" s="16">
        <v>2</v>
      </c>
      <c r="L558" s="16">
        <v>77</v>
      </c>
      <c r="M558" s="16">
        <v>244000</v>
      </c>
      <c r="N558" s="16">
        <v>0</v>
      </c>
      <c r="O558" s="16">
        <v>150000</v>
      </c>
      <c r="P558" s="16">
        <v>0</v>
      </c>
      <c r="Q558" s="16"/>
      <c r="R558" s="16">
        <v>0</v>
      </c>
      <c r="S558" s="16"/>
      <c r="T558" s="16">
        <f t="shared" si="215"/>
        <v>150000</v>
      </c>
      <c r="U558" s="16">
        <v>0</v>
      </c>
      <c r="V558" s="14">
        <v>140000</v>
      </c>
      <c r="W558" s="14">
        <v>0</v>
      </c>
      <c r="X558" s="16">
        <v>0</v>
      </c>
      <c r="Y558" s="16">
        <f t="shared" si="216"/>
        <v>140000</v>
      </c>
      <c r="Z558" s="16">
        <f>22%*M558</f>
        <v>53680</v>
      </c>
      <c r="AA558" s="16">
        <v>100000</v>
      </c>
      <c r="AB558" s="16">
        <v>99900</v>
      </c>
      <c r="AC558" s="16">
        <v>0</v>
      </c>
      <c r="AD558" s="16">
        <v>0</v>
      </c>
      <c r="AE558" s="16">
        <f t="shared" si="220"/>
        <v>253580</v>
      </c>
      <c r="AF558" s="16">
        <f t="shared" si="217"/>
        <v>-36420</v>
      </c>
      <c r="AG55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-96320</v>
      </c>
      <c r="AH558" s="16">
        <f>IFERROR(AG558/(Z558+Table5[[#This Row],[Rider Penalty (Claim, Other Denda to Riders)]]),0)</f>
        <v>-1.7943368107302533</v>
      </c>
      <c r="AI558" s="16">
        <f t="shared" si="218"/>
        <v>59900</v>
      </c>
      <c r="AJ558" s="16">
        <f t="shared" si="219"/>
        <v>0.29964982491245623</v>
      </c>
      <c r="AK558" s="16"/>
    </row>
    <row r="559" spans="1:50" hidden="1">
      <c r="A559">
        <v>2025</v>
      </c>
      <c r="B559" t="s">
        <v>23</v>
      </c>
      <c r="C559" t="s">
        <v>174</v>
      </c>
      <c r="D559" t="s">
        <v>168</v>
      </c>
      <c r="E559" t="s">
        <v>24</v>
      </c>
      <c r="F559" t="s">
        <v>24</v>
      </c>
      <c r="G559">
        <v>47</v>
      </c>
      <c r="H559" t="s">
        <v>36</v>
      </c>
      <c r="I559" t="s">
        <v>278</v>
      </c>
      <c r="J559" s="174" t="s">
        <v>309</v>
      </c>
      <c r="K559">
        <v>22</v>
      </c>
      <c r="L559">
        <v>3678</v>
      </c>
      <c r="M559">
        <v>33788000</v>
      </c>
      <c r="N559">
        <v>3170080</v>
      </c>
      <c r="O559">
        <v>3850000</v>
      </c>
      <c r="P559">
        <v>0</v>
      </c>
      <c r="R559">
        <v>0</v>
      </c>
      <c r="T559">
        <f t="shared" ref="T559:T563" si="221">SUM(N559:R559)</f>
        <v>7020080</v>
      </c>
      <c r="U559" s="119">
        <f>600000+((700000/3)/2)</f>
        <v>716666.66666666663</v>
      </c>
      <c r="V559" s="1">
        <f>101*35000</f>
        <v>3535000</v>
      </c>
      <c r="W559" s="1">
        <v>0</v>
      </c>
      <c r="X559">
        <v>0</v>
      </c>
      <c r="Y559">
        <f t="shared" ref="Y559:Y563" si="222">SUM(U559:X559)</f>
        <v>4251666.666666667</v>
      </c>
      <c r="Z559" s="12">
        <f>26%*M559</f>
        <v>8784880</v>
      </c>
      <c r="AA559">
        <f>117*25000</f>
        <v>2925000</v>
      </c>
      <c r="AB559">
        <v>0</v>
      </c>
      <c r="AC559">
        <v>80000</v>
      </c>
      <c r="AD559">
        <v>0</v>
      </c>
      <c r="AE559">
        <f t="shared" ref="AE559:AE563" si="223">SUM(Z559:AD559)</f>
        <v>11789880</v>
      </c>
      <c r="AF559" s="12">
        <f t="shared" ref="AF559:AF563" si="224">AE559-(T559+Y559)</f>
        <v>518133.33333333209</v>
      </c>
      <c r="AG55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1048133.3333333334</v>
      </c>
      <c r="AH559">
        <f>IFERROR(AG559/(Z559+Table5[[#This Row],[Rider Penalty (Claim, Other Denda to Riders)]]),0)</f>
        <v>0.11931105869782323</v>
      </c>
      <c r="AI559" s="12">
        <f t="shared" ref="AI559:AI563" si="225">AA559+AB559-V559</f>
        <v>-610000</v>
      </c>
      <c r="AJ559">
        <f t="shared" ref="AJ559:AJ563" si="226">IFERROR(AI559/(AA559+AB559),0)</f>
        <v>-0.20854700854700856</v>
      </c>
    </row>
    <row r="560" spans="1:50" hidden="1">
      <c r="A560">
        <v>2025</v>
      </c>
      <c r="B560" t="s">
        <v>23</v>
      </c>
      <c r="C560" t="s">
        <v>173</v>
      </c>
      <c r="D560" t="s">
        <v>168</v>
      </c>
      <c r="E560" t="s">
        <v>24</v>
      </c>
      <c r="F560" t="s">
        <v>282</v>
      </c>
      <c r="G560">
        <v>47</v>
      </c>
      <c r="H560" t="s">
        <v>36</v>
      </c>
      <c r="I560" t="s">
        <v>278</v>
      </c>
      <c r="J560" s="174" t="s">
        <v>309</v>
      </c>
      <c r="K560">
        <v>16</v>
      </c>
      <c r="L560">
        <v>2222</v>
      </c>
      <c r="M560">
        <v>19946000</v>
      </c>
      <c r="N560">
        <v>1669480</v>
      </c>
      <c r="O560">
        <v>3000000</v>
      </c>
      <c r="P560">
        <v>0</v>
      </c>
      <c r="R560">
        <v>0</v>
      </c>
      <c r="T560">
        <f t="shared" si="221"/>
        <v>4669480</v>
      </c>
      <c r="U560">
        <v>0</v>
      </c>
      <c r="V560" s="1">
        <f>69*35000</f>
        <v>2415000</v>
      </c>
      <c r="W560" s="1">
        <v>0</v>
      </c>
      <c r="X560">
        <v>0</v>
      </c>
      <c r="Y560">
        <f t="shared" si="222"/>
        <v>2415000</v>
      </c>
      <c r="Z560" s="12">
        <f>26%*M560</f>
        <v>5185960</v>
      </c>
      <c r="AA560">
        <f>80*25000</f>
        <v>2000000</v>
      </c>
      <c r="AB560">
        <v>0</v>
      </c>
      <c r="AC560">
        <v>0</v>
      </c>
      <c r="AD560">
        <v>0</v>
      </c>
      <c r="AE560">
        <f t="shared" si="223"/>
        <v>7185960</v>
      </c>
      <c r="AF560" s="12">
        <f t="shared" si="224"/>
        <v>101480</v>
      </c>
      <c r="AG56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516480</v>
      </c>
      <c r="AH560">
        <f>IFERROR(AG560/(Z560+Table5[[#This Row],[Rider Penalty (Claim, Other Denda to Riders)]]),0)</f>
        <v>9.9591975256268853E-2</v>
      </c>
      <c r="AI560" s="12">
        <f t="shared" si="225"/>
        <v>-415000</v>
      </c>
      <c r="AJ560">
        <f t="shared" si="226"/>
        <v>-0.20749999999999999</v>
      </c>
    </row>
    <row r="561" spans="1:36" hidden="1">
      <c r="A561">
        <v>2025</v>
      </c>
      <c r="B561" t="s">
        <v>23</v>
      </c>
      <c r="C561" t="s">
        <v>205</v>
      </c>
      <c r="D561" t="s">
        <v>168</v>
      </c>
      <c r="E561" t="s">
        <v>24</v>
      </c>
      <c r="F561" t="s">
        <v>24</v>
      </c>
      <c r="G561">
        <v>47</v>
      </c>
      <c r="H561" t="s">
        <v>36</v>
      </c>
      <c r="I561" t="s">
        <v>278</v>
      </c>
      <c r="J561" s="174" t="s">
        <v>309</v>
      </c>
      <c r="K561">
        <v>5</v>
      </c>
      <c r="L561">
        <v>877</v>
      </c>
      <c r="M561">
        <v>1493400</v>
      </c>
      <c r="N561">
        <v>0</v>
      </c>
      <c r="O561">
        <v>0</v>
      </c>
      <c r="P561">
        <v>0</v>
      </c>
      <c r="R561">
        <v>0</v>
      </c>
      <c r="T561">
        <f t="shared" si="221"/>
        <v>0</v>
      </c>
      <c r="U561">
        <f>(700000/3)/2</f>
        <v>116666.66666666667</v>
      </c>
      <c r="V561" s="1">
        <v>0</v>
      </c>
      <c r="W561" s="1">
        <v>0</v>
      </c>
      <c r="X561">
        <v>0</v>
      </c>
      <c r="Y561">
        <f t="shared" si="222"/>
        <v>116666.66666666667</v>
      </c>
      <c r="Z561" s="12">
        <f>7%*M561</f>
        <v>104538.00000000001</v>
      </c>
      <c r="AA561">
        <v>0</v>
      </c>
      <c r="AB561">
        <v>0</v>
      </c>
      <c r="AC561">
        <v>0</v>
      </c>
      <c r="AD561">
        <v>0</v>
      </c>
      <c r="AE561">
        <f t="shared" si="223"/>
        <v>104538.00000000001</v>
      </c>
      <c r="AF561" s="12">
        <f t="shared" si="224"/>
        <v>-12128.666666666657</v>
      </c>
      <c r="AG56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-12128.666666666657</v>
      </c>
      <c r="AH561">
        <f>IFERROR(AG561/(Z561+Table5[[#This Row],[Rider Penalty (Claim, Other Denda to Riders)]]),0)</f>
        <v>-0.1160216061782955</v>
      </c>
      <c r="AI561" s="12">
        <f t="shared" si="225"/>
        <v>0</v>
      </c>
      <c r="AJ561">
        <f t="shared" si="226"/>
        <v>0</v>
      </c>
    </row>
    <row r="562" spans="1:36" hidden="1">
      <c r="A562">
        <v>2025</v>
      </c>
      <c r="B562" t="s">
        <v>177</v>
      </c>
      <c r="C562" t="s">
        <v>177</v>
      </c>
      <c r="D562" t="s">
        <v>168</v>
      </c>
      <c r="E562" t="s">
        <v>24</v>
      </c>
      <c r="F562" t="s">
        <v>24</v>
      </c>
      <c r="G562">
        <v>47</v>
      </c>
      <c r="H562" t="s">
        <v>36</v>
      </c>
      <c r="I562" t="s">
        <v>278</v>
      </c>
      <c r="J562" s="174" t="s">
        <v>309</v>
      </c>
      <c r="K562">
        <v>2</v>
      </c>
      <c r="L562">
        <v>74</v>
      </c>
      <c r="M562">
        <v>774000</v>
      </c>
      <c r="N562">
        <v>38700</v>
      </c>
      <c r="O562">
        <v>200000</v>
      </c>
      <c r="P562">
        <v>0</v>
      </c>
      <c r="R562">
        <v>0</v>
      </c>
      <c r="T562">
        <f t="shared" si="221"/>
        <v>238700</v>
      </c>
      <c r="U562">
        <f>700000/3</f>
        <v>233333.33333333334</v>
      </c>
      <c r="V562" s="1">
        <f>8*35000</f>
        <v>280000</v>
      </c>
      <c r="W562" s="1">
        <v>0</v>
      </c>
      <c r="X562">
        <v>0</v>
      </c>
      <c r="Y562">
        <f t="shared" si="222"/>
        <v>513333.33333333337</v>
      </c>
      <c r="Z562" s="12">
        <f>30%*M562</f>
        <v>232200</v>
      </c>
      <c r="AA562">
        <f>8*25000</f>
        <v>200000</v>
      </c>
      <c r="AB562">
        <v>0</v>
      </c>
      <c r="AC562">
        <v>0</v>
      </c>
      <c r="AD562">
        <v>0</v>
      </c>
      <c r="AE562">
        <f t="shared" si="223"/>
        <v>432200</v>
      </c>
      <c r="AF562" s="12">
        <f t="shared" si="224"/>
        <v>-319833.33333333337</v>
      </c>
      <c r="AG56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-239833.33333333334</v>
      </c>
      <c r="AH562">
        <f>IFERROR(AG562/(Z562+Table5[[#This Row],[Rider Penalty (Claim, Other Denda to Riders)]]),0)</f>
        <v>-1.0328739592305485</v>
      </c>
      <c r="AI562" s="12">
        <f t="shared" si="225"/>
        <v>-80000</v>
      </c>
      <c r="AJ562">
        <f t="shared" si="226"/>
        <v>-0.4</v>
      </c>
    </row>
    <row r="563" spans="1:36" hidden="1">
      <c r="A563">
        <v>2025</v>
      </c>
      <c r="B563" t="s">
        <v>202</v>
      </c>
      <c r="C563" t="s">
        <v>202</v>
      </c>
      <c r="D563" t="s">
        <v>168</v>
      </c>
      <c r="E563" t="s">
        <v>24</v>
      </c>
      <c r="F563" t="s">
        <v>24</v>
      </c>
      <c r="G563">
        <v>47</v>
      </c>
      <c r="H563" t="s">
        <v>36</v>
      </c>
      <c r="I563" t="s">
        <v>278</v>
      </c>
      <c r="J563" s="174" t="s">
        <v>309</v>
      </c>
      <c r="K563">
        <v>3</v>
      </c>
      <c r="L563">
        <v>92</v>
      </c>
      <c r="M563">
        <v>896000</v>
      </c>
      <c r="N563">
        <v>0</v>
      </c>
      <c r="O563">
        <v>0</v>
      </c>
      <c r="P563">
        <v>0</v>
      </c>
      <c r="R563">
        <v>0</v>
      </c>
      <c r="T563">
        <f t="shared" si="221"/>
        <v>0</v>
      </c>
      <c r="U563">
        <f>700000/3</f>
        <v>233333.33333333334</v>
      </c>
      <c r="V563" s="1">
        <v>0</v>
      </c>
      <c r="W563" s="1">
        <v>0</v>
      </c>
      <c r="X563">
        <v>0</v>
      </c>
      <c r="Y563">
        <f t="shared" si="222"/>
        <v>233333.33333333334</v>
      </c>
      <c r="Z563" s="12">
        <f>10%*M563</f>
        <v>89600</v>
      </c>
      <c r="AA563">
        <v>0</v>
      </c>
      <c r="AB563">
        <v>0</v>
      </c>
      <c r="AC563">
        <v>0</v>
      </c>
      <c r="AD563">
        <v>0</v>
      </c>
      <c r="AE563">
        <f t="shared" si="223"/>
        <v>89600</v>
      </c>
      <c r="AF563" s="12">
        <f t="shared" si="224"/>
        <v>-143733.33333333334</v>
      </c>
      <c r="AG56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-143733.33333333334</v>
      </c>
      <c r="AH563">
        <f>IFERROR(AG563/(Z563+Table5[[#This Row],[Rider Penalty (Claim, Other Denda to Riders)]]),0)</f>
        <v>-1.6041666666666667</v>
      </c>
      <c r="AI563" s="12">
        <f t="shared" si="225"/>
        <v>0</v>
      </c>
      <c r="AJ563">
        <f t="shared" si="226"/>
        <v>0</v>
      </c>
    </row>
    <row r="564" spans="1:36" hidden="1">
      <c r="A564">
        <v>2025</v>
      </c>
      <c r="B564" s="179" t="s">
        <v>23</v>
      </c>
      <c r="C564" s="64" t="s">
        <v>23</v>
      </c>
      <c r="D564" t="s">
        <v>168</v>
      </c>
      <c r="E564" t="s">
        <v>28</v>
      </c>
      <c r="F564" t="s">
        <v>28</v>
      </c>
      <c r="G564">
        <v>48</v>
      </c>
      <c r="H564" t="s">
        <v>36</v>
      </c>
      <c r="I564" t="s">
        <v>279</v>
      </c>
      <c r="J564" s="174" t="s">
        <v>307</v>
      </c>
      <c r="K564" s="16">
        <v>241</v>
      </c>
      <c r="L564" s="16">
        <v>73899</v>
      </c>
      <c r="M564" s="16">
        <v>646924000</v>
      </c>
      <c r="N564" s="16">
        <v>74930805</v>
      </c>
      <c r="O564">
        <f>67530000+550000</f>
        <v>68080000</v>
      </c>
      <c r="P564" s="16">
        <v>0</v>
      </c>
      <c r="Q564" s="16">
        <v>1400000</v>
      </c>
      <c r="R564" s="16">
        <f>3600000</f>
        <v>3600000</v>
      </c>
      <c r="S564" s="16">
        <f>242000+198000</f>
        <v>440000</v>
      </c>
      <c r="T564" s="16">
        <f t="shared" ref="T564:T565" si="227">SUM(N564:R564)</f>
        <v>148010805</v>
      </c>
      <c r="U564" s="16">
        <v>3300000</v>
      </c>
      <c r="V564" s="14">
        <v>59045000</v>
      </c>
      <c r="W564" s="14">
        <v>0</v>
      </c>
      <c r="X564" s="16">
        <v>292837.14444444445</v>
      </c>
      <c r="Y564" s="16">
        <f t="shared" ref="Y564:Y565" si="228">SUM(U564:X564)</f>
        <v>62637837.144444443</v>
      </c>
      <c r="Z564" s="16">
        <f>26%*M564</f>
        <v>168200240</v>
      </c>
      <c r="AA564" s="16">
        <f>35225000+2800000</f>
        <v>38025000</v>
      </c>
      <c r="AB564" s="16">
        <v>0</v>
      </c>
      <c r="AC564" s="16">
        <v>2725000</v>
      </c>
      <c r="AD564" s="16">
        <v>0</v>
      </c>
      <c r="AE564" s="16">
        <f t="shared" ref="AE564:AE566" si="229">SUM(Z564:AD564)</f>
        <v>208950240</v>
      </c>
      <c r="AF564" s="16">
        <f t="shared" ref="AF564:AF566" si="230">AE564-(T564+Y564)</f>
        <v>-1698402.1444444358</v>
      </c>
      <c r="AG56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16596597.855555555</v>
      </c>
      <c r="AH564">
        <f>IFERROR(AG564/(Z564+Table5[[#This Row],[Rider Penalty (Claim, Other Denda to Riders)]]),0)</f>
        <v>9.8671665721496923E-2</v>
      </c>
      <c r="AI564" s="12">
        <f t="shared" ref="AI564:AI566" si="231">AA564+AB564-V564</f>
        <v>-21020000</v>
      </c>
      <c r="AJ564">
        <f t="shared" ref="AJ564:AJ566" si="232">IFERROR(AI564/(AA564+AB564),0)</f>
        <v>-0.55279421433267584</v>
      </c>
    </row>
    <row r="565" spans="1:36" hidden="1">
      <c r="A565">
        <v>2025</v>
      </c>
      <c r="B565" s="179" t="s">
        <v>23</v>
      </c>
      <c r="C565" s="64" t="s">
        <v>172</v>
      </c>
      <c r="D565" t="s">
        <v>168</v>
      </c>
      <c r="E565" t="s">
        <v>28</v>
      </c>
      <c r="F565" t="s">
        <v>28</v>
      </c>
      <c r="G565">
        <v>48</v>
      </c>
      <c r="H565" t="s">
        <v>36</v>
      </c>
      <c r="I565" t="s">
        <v>279</v>
      </c>
      <c r="J565" s="174" t="s">
        <v>307</v>
      </c>
      <c r="K565" s="16">
        <v>25</v>
      </c>
      <c r="L565" s="16">
        <v>6813</v>
      </c>
      <c r="M565" s="16">
        <v>59476000</v>
      </c>
      <c r="N565" s="16">
        <v>6293825</v>
      </c>
      <c r="O565" s="16">
        <f>8085000+100000</f>
        <v>8185000</v>
      </c>
      <c r="P565" s="16">
        <v>0</v>
      </c>
      <c r="Q565" s="16">
        <v>100000</v>
      </c>
      <c r="R565" s="16">
        <f>200000</f>
        <v>200000</v>
      </c>
      <c r="S565" s="16"/>
      <c r="T565" s="16">
        <f t="shared" si="227"/>
        <v>14778825</v>
      </c>
      <c r="U565" s="16">
        <v>900000</v>
      </c>
      <c r="V565" s="14">
        <v>6125000</v>
      </c>
      <c r="W565" s="14">
        <v>0</v>
      </c>
      <c r="X565" s="16">
        <v>295555.5555555555</v>
      </c>
      <c r="Y565" s="16">
        <f t="shared" si="228"/>
        <v>7320555.555555556</v>
      </c>
      <c r="Z565" s="16">
        <f>26%*M565</f>
        <v>15463760</v>
      </c>
      <c r="AA565">
        <f>3650000+25000</f>
        <v>3675000</v>
      </c>
      <c r="AB565" s="16">
        <v>0</v>
      </c>
      <c r="AC565" s="16">
        <v>250000</v>
      </c>
      <c r="AD565" s="16">
        <v>0</v>
      </c>
      <c r="AE565" s="16">
        <f t="shared" si="229"/>
        <v>19388760</v>
      </c>
      <c r="AF565" s="16">
        <f t="shared" si="230"/>
        <v>-2710620.555555556</v>
      </c>
      <c r="AG56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-510620.5555555555</v>
      </c>
      <c r="AH565">
        <f>IFERROR(AG565/(Z565+Table5[[#This Row],[Rider Penalty (Claim, Other Denda to Riders)]]),0)</f>
        <v>-3.3020465627735786E-2</v>
      </c>
      <c r="AI565" s="12">
        <f t="shared" si="231"/>
        <v>-2450000</v>
      </c>
      <c r="AJ565">
        <f t="shared" si="232"/>
        <v>-0.66666666666666663</v>
      </c>
    </row>
    <row r="566" spans="1:36" hidden="1">
      <c r="A566">
        <v>2025</v>
      </c>
      <c r="B566" t="s">
        <v>176</v>
      </c>
      <c r="C566" t="s">
        <v>176</v>
      </c>
      <c r="D566" t="s">
        <v>169</v>
      </c>
      <c r="E566" t="s">
        <v>28</v>
      </c>
      <c r="F566" t="s">
        <v>28</v>
      </c>
      <c r="G566">
        <v>48</v>
      </c>
      <c r="H566" t="s">
        <v>36</v>
      </c>
      <c r="I566" t="s">
        <v>279</v>
      </c>
      <c r="J566" s="174" t="s">
        <v>307</v>
      </c>
      <c r="K566" s="16">
        <v>15</v>
      </c>
      <c r="L566" s="16">
        <v>759</v>
      </c>
      <c r="M566" s="16">
        <v>7318000</v>
      </c>
      <c r="N566" s="16">
        <v>0</v>
      </c>
      <c r="O566" s="16">
        <v>0</v>
      </c>
      <c r="P566" s="16">
        <v>0</v>
      </c>
      <c r="Q566" s="16"/>
      <c r="R566" s="16">
        <v>0</v>
      </c>
      <c r="S566" s="16"/>
      <c r="T566" s="16">
        <v>0</v>
      </c>
      <c r="U566" s="16">
        <v>0</v>
      </c>
      <c r="V566" s="14">
        <v>0</v>
      </c>
      <c r="W566" s="14">
        <v>0</v>
      </c>
      <c r="X566" s="16">
        <v>0</v>
      </c>
      <c r="Y566" s="16">
        <v>0</v>
      </c>
      <c r="Z566" s="16">
        <f>7%*M566</f>
        <v>512260.00000000006</v>
      </c>
      <c r="AA566" s="16">
        <v>0</v>
      </c>
      <c r="AB566" s="16">
        <v>0</v>
      </c>
      <c r="AC566" s="16">
        <v>0</v>
      </c>
      <c r="AD566" s="16">
        <v>0</v>
      </c>
      <c r="AE566" s="16">
        <f t="shared" si="229"/>
        <v>512260.00000000006</v>
      </c>
      <c r="AF566" s="16">
        <f t="shared" si="230"/>
        <v>512260.00000000006</v>
      </c>
      <c r="AG56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512260.00000000006</v>
      </c>
      <c r="AH566">
        <f>IFERROR(AG566/(Z566+Table5[[#This Row],[Rider Penalty (Claim, Other Denda to Riders)]]),0)</f>
        <v>1</v>
      </c>
      <c r="AI566" s="12">
        <f t="shared" si="231"/>
        <v>0</v>
      </c>
      <c r="AJ566">
        <f t="shared" si="232"/>
        <v>0</v>
      </c>
    </row>
    <row r="567" spans="1:36" hidden="1">
      <c r="A567">
        <v>2025</v>
      </c>
      <c r="B567" t="s">
        <v>23</v>
      </c>
      <c r="C567" t="s">
        <v>174</v>
      </c>
      <c r="D567" t="s">
        <v>168</v>
      </c>
      <c r="E567" t="s">
        <v>24</v>
      </c>
      <c r="F567" t="s">
        <v>24</v>
      </c>
      <c r="G567">
        <v>48</v>
      </c>
      <c r="H567" t="s">
        <v>36</v>
      </c>
      <c r="I567" t="s">
        <v>279</v>
      </c>
      <c r="J567" s="174" t="s">
        <v>307</v>
      </c>
      <c r="K567">
        <v>18</v>
      </c>
      <c r="L567">
        <v>3668</v>
      </c>
      <c r="M567">
        <v>33644000</v>
      </c>
      <c r="N567">
        <v>3386760</v>
      </c>
      <c r="O567">
        <v>4050000</v>
      </c>
      <c r="P567">
        <v>0</v>
      </c>
      <c r="R567">
        <v>0</v>
      </c>
      <c r="T567">
        <f t="shared" ref="T567:T571" si="233">SUM(N567:R567)</f>
        <v>7436760</v>
      </c>
      <c r="U567">
        <f>700000+((700000/3)/2)</f>
        <v>816666.66666666663</v>
      </c>
      <c r="V567" s="1">
        <f>101*35000</f>
        <v>3535000</v>
      </c>
      <c r="W567" s="1">
        <v>0</v>
      </c>
      <c r="X567">
        <v>0</v>
      </c>
      <c r="Y567">
        <f t="shared" ref="Y567:Y571" si="234">SUM(U567:X567)</f>
        <v>4351666.666666667</v>
      </c>
      <c r="Z567" s="12">
        <f>26%*M567</f>
        <v>8747440</v>
      </c>
      <c r="AA567">
        <f>(22*15000)+(89*25000)</f>
        <v>2555000</v>
      </c>
      <c r="AB567">
        <v>0</v>
      </c>
      <c r="AC567">
        <v>0</v>
      </c>
      <c r="AD567">
        <v>0</v>
      </c>
      <c r="AE567">
        <f t="shared" ref="AE567:AE571" si="235">SUM(Z567:AD567)</f>
        <v>11302440</v>
      </c>
      <c r="AF567" s="12">
        <f t="shared" ref="AF567:AF571" si="236">AE567-(T567+Y567)</f>
        <v>-485986.66666666791</v>
      </c>
      <c r="AG56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494013.33333333337</v>
      </c>
      <c r="AH567">
        <f>IFERROR(AG567/(Z567+Table5[[#This Row],[Rider Penalty (Claim, Other Denda to Riders)]]),0)</f>
        <v>5.647518969359417E-2</v>
      </c>
      <c r="AI567" s="12">
        <f t="shared" ref="AI567:AI571" si="237">AA567+AB567-V567</f>
        <v>-980000</v>
      </c>
      <c r="AJ567">
        <f t="shared" ref="AJ567:AJ571" si="238">IFERROR(AI567/(AA567+AB567),0)</f>
        <v>-0.38356164383561642</v>
      </c>
    </row>
    <row r="568" spans="1:36" hidden="1">
      <c r="A568">
        <v>2025</v>
      </c>
      <c r="B568" t="s">
        <v>23</v>
      </c>
      <c r="C568" t="s">
        <v>173</v>
      </c>
      <c r="D568" t="s">
        <v>168</v>
      </c>
      <c r="E568" t="s">
        <v>24</v>
      </c>
      <c r="F568" t="s">
        <v>282</v>
      </c>
      <c r="G568">
        <v>48</v>
      </c>
      <c r="H568" t="s">
        <v>36</v>
      </c>
      <c r="I568" t="s">
        <v>279</v>
      </c>
      <c r="J568" s="174" t="s">
        <v>307</v>
      </c>
      <c r="K568">
        <v>14</v>
      </c>
      <c r="L568">
        <v>1918</v>
      </c>
      <c r="M568">
        <v>17866000</v>
      </c>
      <c r="N568">
        <v>1664600</v>
      </c>
      <c r="O568">
        <v>2700000</v>
      </c>
      <c r="P568">
        <v>0</v>
      </c>
      <c r="R568">
        <v>0</v>
      </c>
      <c r="T568">
        <f t="shared" si="233"/>
        <v>4364600</v>
      </c>
      <c r="U568">
        <v>0</v>
      </c>
      <c r="V568" s="1">
        <f>65*35000</f>
        <v>2275000</v>
      </c>
      <c r="W568" s="1">
        <v>0</v>
      </c>
      <c r="X568">
        <v>0</v>
      </c>
      <c r="Y568">
        <f t="shared" si="234"/>
        <v>2275000</v>
      </c>
      <c r="Z568" s="12">
        <f>26%*M568</f>
        <v>4645160</v>
      </c>
      <c r="AA568">
        <f>(36*15000)+(36*25000)</f>
        <v>1440000</v>
      </c>
      <c r="AB568">
        <v>0</v>
      </c>
      <c r="AC568">
        <v>0</v>
      </c>
      <c r="AD568">
        <v>0</v>
      </c>
      <c r="AE568">
        <f t="shared" si="235"/>
        <v>6085160</v>
      </c>
      <c r="AF568" s="12">
        <f t="shared" si="236"/>
        <v>-554440</v>
      </c>
      <c r="AG56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280560</v>
      </c>
      <c r="AH568">
        <f>IFERROR(AG568/(Z568+Table5[[#This Row],[Rider Penalty (Claim, Other Denda to Riders)]]),0)</f>
        <v>6.039835011065281E-2</v>
      </c>
      <c r="AI568" s="12">
        <f t="shared" si="237"/>
        <v>-835000</v>
      </c>
      <c r="AJ568">
        <f t="shared" si="238"/>
        <v>-0.57986111111111116</v>
      </c>
    </row>
    <row r="569" spans="1:36" hidden="1">
      <c r="A569">
        <v>2025</v>
      </c>
      <c r="B569" t="s">
        <v>23</v>
      </c>
      <c r="C569" t="s">
        <v>205</v>
      </c>
      <c r="D569" t="s">
        <v>168</v>
      </c>
      <c r="E569" t="s">
        <v>24</v>
      </c>
      <c r="F569" t="s">
        <v>24</v>
      </c>
      <c r="G569">
        <v>48</v>
      </c>
      <c r="H569" t="s">
        <v>36</v>
      </c>
      <c r="I569" t="s">
        <v>279</v>
      </c>
      <c r="J569" s="174" t="s">
        <v>307</v>
      </c>
      <c r="K569">
        <v>5</v>
      </c>
      <c r="L569">
        <v>1155</v>
      </c>
      <c r="M569">
        <v>1987100</v>
      </c>
      <c r="N569">
        <v>0</v>
      </c>
      <c r="O569">
        <v>0</v>
      </c>
      <c r="P569">
        <v>0</v>
      </c>
      <c r="R569">
        <v>0</v>
      </c>
      <c r="T569">
        <f t="shared" si="233"/>
        <v>0</v>
      </c>
      <c r="U569">
        <f>((700000)/3)/2</f>
        <v>116666.66666666667</v>
      </c>
      <c r="V569" s="1">
        <v>0</v>
      </c>
      <c r="W569" s="1">
        <v>0</v>
      </c>
      <c r="X569">
        <v>0</v>
      </c>
      <c r="Y569">
        <f t="shared" si="234"/>
        <v>116666.66666666667</v>
      </c>
      <c r="Z569" s="12">
        <f>7%*M569</f>
        <v>139097</v>
      </c>
      <c r="AA569">
        <v>0</v>
      </c>
      <c r="AB569">
        <v>0</v>
      </c>
      <c r="AC569">
        <v>0</v>
      </c>
      <c r="AD569">
        <v>0</v>
      </c>
      <c r="AE569">
        <f t="shared" si="235"/>
        <v>139097</v>
      </c>
      <c r="AF569" s="12">
        <f t="shared" si="236"/>
        <v>22430.333333333328</v>
      </c>
      <c r="AG56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22430.333333333328</v>
      </c>
      <c r="AH569">
        <f>IFERROR(AG569/(Z569+Table5[[#This Row],[Rider Penalty (Claim, Other Denda to Riders)]]),0)</f>
        <v>0.16125677285155918</v>
      </c>
      <c r="AI569" s="12">
        <f t="shared" si="237"/>
        <v>0</v>
      </c>
      <c r="AJ569">
        <f t="shared" si="238"/>
        <v>0</v>
      </c>
    </row>
    <row r="570" spans="1:36" hidden="1">
      <c r="A570">
        <v>2025</v>
      </c>
      <c r="B570" t="s">
        <v>177</v>
      </c>
      <c r="C570" t="s">
        <v>177</v>
      </c>
      <c r="D570" t="s">
        <v>168</v>
      </c>
      <c r="E570" t="s">
        <v>24</v>
      </c>
      <c r="F570" t="s">
        <v>24</v>
      </c>
      <c r="G570">
        <v>48</v>
      </c>
      <c r="H570" t="s">
        <v>36</v>
      </c>
      <c r="I570" t="s">
        <v>279</v>
      </c>
      <c r="J570" s="174" t="s">
        <v>307</v>
      </c>
      <c r="K570">
        <v>3</v>
      </c>
      <c r="L570">
        <v>157</v>
      </c>
      <c r="M570">
        <v>1715000</v>
      </c>
      <c r="N570">
        <v>85750</v>
      </c>
      <c r="O570">
        <v>300000</v>
      </c>
      <c r="P570">
        <v>0</v>
      </c>
      <c r="R570">
        <v>0</v>
      </c>
      <c r="T570">
        <f t="shared" si="233"/>
        <v>385750</v>
      </c>
      <c r="U570">
        <f>700000/3</f>
        <v>233333.33333333334</v>
      </c>
      <c r="V570" s="1">
        <f>12*35000</f>
        <v>420000</v>
      </c>
      <c r="W570" s="1">
        <v>0</v>
      </c>
      <c r="X570">
        <v>0</v>
      </c>
      <c r="Y570">
        <f t="shared" si="234"/>
        <v>653333.33333333337</v>
      </c>
      <c r="Z570" s="12">
        <f>30%*M570</f>
        <v>514500</v>
      </c>
      <c r="AA570">
        <f>12*25000</f>
        <v>300000</v>
      </c>
      <c r="AB570">
        <v>0</v>
      </c>
      <c r="AC570">
        <v>0</v>
      </c>
      <c r="AD570">
        <v>0</v>
      </c>
      <c r="AE570">
        <f t="shared" si="235"/>
        <v>814500</v>
      </c>
      <c r="AF570" s="12">
        <f t="shared" si="236"/>
        <v>-224583.33333333337</v>
      </c>
      <c r="AG57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-104583.33333333334</v>
      </c>
      <c r="AH570">
        <f>IFERROR(AG570/(Z570+Table5[[#This Row],[Rider Penalty (Claim, Other Denda to Riders)]]),0)</f>
        <v>-0.20327178490443798</v>
      </c>
      <c r="AI570" s="12">
        <f t="shared" si="237"/>
        <v>-120000</v>
      </c>
      <c r="AJ570">
        <f t="shared" si="238"/>
        <v>-0.4</v>
      </c>
    </row>
    <row r="571" spans="1:36" hidden="1">
      <c r="A571">
        <v>2025</v>
      </c>
      <c r="B571" t="s">
        <v>202</v>
      </c>
      <c r="C571" t="s">
        <v>202</v>
      </c>
      <c r="D571" t="s">
        <v>168</v>
      </c>
      <c r="E571" t="s">
        <v>24</v>
      </c>
      <c r="F571" t="s">
        <v>24</v>
      </c>
      <c r="G571">
        <v>48</v>
      </c>
      <c r="H571" t="s">
        <v>36</v>
      </c>
      <c r="I571" t="s">
        <v>279</v>
      </c>
      <c r="J571" s="174" t="s">
        <v>307</v>
      </c>
      <c r="K571">
        <v>1</v>
      </c>
      <c r="L571">
        <v>109</v>
      </c>
      <c r="M571">
        <v>1052000</v>
      </c>
      <c r="N571">
        <v>0</v>
      </c>
      <c r="O571">
        <v>0</v>
      </c>
      <c r="P571">
        <v>0</v>
      </c>
      <c r="R571">
        <v>0</v>
      </c>
      <c r="T571">
        <f t="shared" si="233"/>
        <v>0</v>
      </c>
      <c r="U571">
        <f>700000/3</f>
        <v>233333.33333333334</v>
      </c>
      <c r="V571" s="1">
        <v>0</v>
      </c>
      <c r="W571" s="1">
        <v>0</v>
      </c>
      <c r="X571">
        <v>0</v>
      </c>
      <c r="Y571">
        <f t="shared" si="234"/>
        <v>233333.33333333334</v>
      </c>
      <c r="Z571" s="12">
        <f>10%*M571</f>
        <v>105200</v>
      </c>
      <c r="AA571">
        <v>0</v>
      </c>
      <c r="AB571">
        <v>0</v>
      </c>
      <c r="AC571">
        <v>0</v>
      </c>
      <c r="AD571">
        <v>0</v>
      </c>
      <c r="AE571">
        <f t="shared" si="235"/>
        <v>105200</v>
      </c>
      <c r="AF571" s="12">
        <f t="shared" si="236"/>
        <v>-128133.33333333334</v>
      </c>
      <c r="AG57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-128133.33333333334</v>
      </c>
      <c r="AH571">
        <f>IFERROR(AG571/(Z571+Table5[[#This Row],[Rider Penalty (Claim, Other Denda to Riders)]]),0)</f>
        <v>-1.2179974651457541</v>
      </c>
      <c r="AI571" s="12">
        <f t="shared" si="237"/>
        <v>0</v>
      </c>
      <c r="AJ571">
        <f t="shared" si="238"/>
        <v>0</v>
      </c>
    </row>
    <row r="572" spans="1:36" hidden="1">
      <c r="A572" s="180">
        <v>2025</v>
      </c>
      <c r="B572" s="119" t="s">
        <v>23</v>
      </c>
      <c r="C572" s="119" t="s">
        <v>174</v>
      </c>
      <c r="D572" s="119" t="s">
        <v>168</v>
      </c>
      <c r="E572" s="119" t="s">
        <v>24</v>
      </c>
      <c r="F572" s="119" t="s">
        <v>24</v>
      </c>
      <c r="G572" s="119">
        <v>49</v>
      </c>
      <c r="H572" s="119" t="s">
        <v>166</v>
      </c>
      <c r="I572" s="119" t="s">
        <v>275</v>
      </c>
      <c r="J572" s="237" t="s">
        <v>412</v>
      </c>
      <c r="K572">
        <v>23</v>
      </c>
      <c r="L572">
        <v>4050</v>
      </c>
      <c r="M572">
        <v>37274000</v>
      </c>
      <c r="N572">
        <v>3703000</v>
      </c>
      <c r="O572">
        <v>4600000</v>
      </c>
      <c r="P572">
        <v>0</v>
      </c>
      <c r="Q572">
        <v>0</v>
      </c>
      <c r="R572">
        <v>0</v>
      </c>
      <c r="T572">
        <f t="shared" ref="T572:T576" si="239">SUM(N572:R572)</f>
        <v>8303000</v>
      </c>
      <c r="U572" s="119">
        <f>700000+((700000/3)/2)</f>
        <v>816666.66666666663</v>
      </c>
      <c r="V572" s="76">
        <f>115*35000</f>
        <v>4025000</v>
      </c>
      <c r="W572" s="76">
        <v>0</v>
      </c>
      <c r="X572">
        <v>0</v>
      </c>
      <c r="Y572">
        <f t="shared" ref="Y572:Y576" si="240">SUM(U572:X572)</f>
        <v>4841666.666666667</v>
      </c>
      <c r="Z572" s="12">
        <f>26%*M572</f>
        <v>9691240</v>
      </c>
      <c r="AA572">
        <f>127*25000</f>
        <v>3175000</v>
      </c>
      <c r="AB572">
        <v>0</v>
      </c>
      <c r="AC572">
        <v>0</v>
      </c>
      <c r="AD572">
        <v>0</v>
      </c>
      <c r="AE572">
        <f t="shared" ref="AE572:AE576" si="241">SUM(Z572:AD572)</f>
        <v>12866240</v>
      </c>
      <c r="AF572" s="12">
        <f t="shared" ref="AF572:AF576" si="242">AE572-(T572+Y572)</f>
        <v>-278426.66666666791</v>
      </c>
      <c r="AG57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571573.33333333337</v>
      </c>
      <c r="AH572">
        <f>IFERROR(AG572/(Z572+Table5[[#This Row],[Rider Penalty (Claim, Other Denda to Riders)]]),0)</f>
        <v>5.8978348831866034E-2</v>
      </c>
      <c r="AI572" s="12">
        <f t="shared" ref="AI572:AI576" si="243">AA572+AB572-V572</f>
        <v>-850000</v>
      </c>
      <c r="AJ572">
        <f t="shared" ref="AJ572:AJ576" si="244">IFERROR(AI572/(AA572+AB572),0)</f>
        <v>-0.26771653543307089</v>
      </c>
    </row>
    <row r="573" spans="1:36" hidden="1">
      <c r="A573" s="63">
        <v>2025</v>
      </c>
      <c r="B573" s="64" t="s">
        <v>23</v>
      </c>
      <c r="C573" s="64" t="s">
        <v>173</v>
      </c>
      <c r="D573" s="64" t="s">
        <v>168</v>
      </c>
      <c r="E573" s="64" t="s">
        <v>24</v>
      </c>
      <c r="F573" s="64" t="s">
        <v>282</v>
      </c>
      <c r="G573" s="119">
        <v>49</v>
      </c>
      <c r="H573" s="119" t="s">
        <v>166</v>
      </c>
      <c r="I573" s="119" t="s">
        <v>275</v>
      </c>
      <c r="J573" s="237" t="s">
        <v>412</v>
      </c>
      <c r="K573">
        <v>13</v>
      </c>
      <c r="L573">
        <v>2264</v>
      </c>
      <c r="M573">
        <v>20284000</v>
      </c>
      <c r="N573">
        <v>1877540</v>
      </c>
      <c r="O573">
        <v>2725000</v>
      </c>
      <c r="P573">
        <v>0</v>
      </c>
      <c r="Q573">
        <v>0</v>
      </c>
      <c r="R573">
        <v>0</v>
      </c>
      <c r="T573">
        <f t="shared" si="239"/>
        <v>4602540</v>
      </c>
      <c r="U573">
        <v>0</v>
      </c>
      <c r="V573" s="76">
        <f>76*35000</f>
        <v>2660000</v>
      </c>
      <c r="W573" s="76">
        <v>0</v>
      </c>
      <c r="X573">
        <v>0</v>
      </c>
      <c r="Y573">
        <f t="shared" si="240"/>
        <v>2660000</v>
      </c>
      <c r="Z573" s="12">
        <f>26%*M573</f>
        <v>5273840</v>
      </c>
      <c r="AA573">
        <f>88*25000</f>
        <v>2200000</v>
      </c>
      <c r="AB573">
        <v>0</v>
      </c>
      <c r="AC573">
        <v>0</v>
      </c>
      <c r="AD573">
        <v>0</v>
      </c>
      <c r="AE573">
        <f t="shared" si="241"/>
        <v>7473840</v>
      </c>
      <c r="AF573" s="12">
        <f t="shared" si="242"/>
        <v>211300</v>
      </c>
      <c r="AG57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671300</v>
      </c>
      <c r="AH573">
        <f>IFERROR(AG573/(Z573+Table5[[#This Row],[Rider Penalty (Claim, Other Denda to Riders)]]),0)</f>
        <v>0.12728865494592176</v>
      </c>
      <c r="AI573" s="12">
        <f t="shared" si="243"/>
        <v>-460000</v>
      </c>
      <c r="AJ573">
        <f t="shared" si="244"/>
        <v>-0.20909090909090908</v>
      </c>
    </row>
    <row r="574" spans="1:36" hidden="1">
      <c r="A574" s="180">
        <v>2025</v>
      </c>
      <c r="B574" s="119" t="s">
        <v>23</v>
      </c>
      <c r="C574" s="119" t="s">
        <v>205</v>
      </c>
      <c r="D574" s="119" t="s">
        <v>168</v>
      </c>
      <c r="E574" s="119" t="s">
        <v>24</v>
      </c>
      <c r="F574" s="119" t="s">
        <v>24</v>
      </c>
      <c r="G574" s="119">
        <v>49</v>
      </c>
      <c r="H574" s="119" t="s">
        <v>166</v>
      </c>
      <c r="I574" s="119" t="s">
        <v>275</v>
      </c>
      <c r="J574" s="237" t="s">
        <v>412</v>
      </c>
      <c r="K574">
        <v>5</v>
      </c>
      <c r="L574">
        <v>1452</v>
      </c>
      <c r="M574">
        <v>3006180</v>
      </c>
      <c r="N574">
        <v>0</v>
      </c>
      <c r="O574">
        <v>0</v>
      </c>
      <c r="P574">
        <v>0</v>
      </c>
      <c r="Q574">
        <v>0</v>
      </c>
      <c r="R574">
        <v>0</v>
      </c>
      <c r="T574">
        <f t="shared" si="239"/>
        <v>0</v>
      </c>
      <c r="U574" s="119">
        <f>((700000)/3)/2</f>
        <v>116666.66666666667</v>
      </c>
      <c r="V574" s="76">
        <v>0</v>
      </c>
      <c r="W574" s="76">
        <v>0</v>
      </c>
      <c r="X574">
        <v>0</v>
      </c>
      <c r="Y574">
        <f t="shared" si="240"/>
        <v>116666.66666666667</v>
      </c>
      <c r="Z574" s="12">
        <f>7%*M574</f>
        <v>210432.6</v>
      </c>
      <c r="AA574">
        <v>0</v>
      </c>
      <c r="AB574">
        <v>0</v>
      </c>
      <c r="AC574">
        <v>0</v>
      </c>
      <c r="AD574">
        <v>0</v>
      </c>
      <c r="AE574">
        <f t="shared" si="241"/>
        <v>210432.6</v>
      </c>
      <c r="AF574" s="12">
        <f t="shared" si="242"/>
        <v>93765.933333333334</v>
      </c>
      <c r="AG57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93765.933333333334</v>
      </c>
      <c r="AH574">
        <f>IFERROR(AG574/(Z574+Table5[[#This Row],[Rider Penalty (Claim, Other Denda to Riders)]]),0)</f>
        <v>0.44558653617991384</v>
      </c>
      <c r="AI574" s="12">
        <f t="shared" si="243"/>
        <v>0</v>
      </c>
      <c r="AJ574">
        <f t="shared" si="244"/>
        <v>0</v>
      </c>
    </row>
    <row r="575" spans="1:36" hidden="1">
      <c r="A575" s="63">
        <v>2025</v>
      </c>
      <c r="B575" s="64" t="s">
        <v>177</v>
      </c>
      <c r="C575" s="64" t="s">
        <v>177</v>
      </c>
      <c r="D575" s="64" t="s">
        <v>168</v>
      </c>
      <c r="E575" s="64" t="s">
        <v>24</v>
      </c>
      <c r="F575" s="64" t="s">
        <v>24</v>
      </c>
      <c r="G575" s="119">
        <v>49</v>
      </c>
      <c r="H575" s="119" t="s">
        <v>166</v>
      </c>
      <c r="I575" s="119" t="s">
        <v>275</v>
      </c>
      <c r="J575" s="237" t="s">
        <v>412</v>
      </c>
      <c r="K575">
        <v>3</v>
      </c>
      <c r="L575">
        <v>155</v>
      </c>
      <c r="M575">
        <v>1617000</v>
      </c>
      <c r="N575">
        <v>118320</v>
      </c>
      <c r="O575">
        <v>285000</v>
      </c>
      <c r="P575">
        <v>0</v>
      </c>
      <c r="Q575">
        <v>0</v>
      </c>
      <c r="R575">
        <v>0</v>
      </c>
      <c r="T575">
        <f t="shared" si="239"/>
        <v>403320</v>
      </c>
      <c r="U575">
        <f>700000/3</f>
        <v>233333.33333333334</v>
      </c>
      <c r="V575" s="76">
        <f>10*35000</f>
        <v>350000</v>
      </c>
      <c r="W575" s="76">
        <v>0</v>
      </c>
      <c r="X575">
        <v>0</v>
      </c>
      <c r="Y575">
        <f t="shared" si="240"/>
        <v>583333.33333333337</v>
      </c>
      <c r="Z575" s="12">
        <f>30%*M575</f>
        <v>485100</v>
      </c>
      <c r="AA575">
        <f>10*25000</f>
        <v>250000</v>
      </c>
      <c r="AB575">
        <v>0</v>
      </c>
      <c r="AC575">
        <v>0</v>
      </c>
      <c r="AD575">
        <v>0</v>
      </c>
      <c r="AE575">
        <f t="shared" si="241"/>
        <v>735100</v>
      </c>
      <c r="AF575" s="12">
        <f t="shared" si="242"/>
        <v>-251553.33333333337</v>
      </c>
      <c r="AG57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-151553.33333333334</v>
      </c>
      <c r="AH575">
        <f>IFERROR(AG575/(Z575+Table5[[#This Row],[Rider Penalty (Claim, Other Denda to Riders)]]),0)</f>
        <v>-0.31241668384525528</v>
      </c>
      <c r="AI575" s="12">
        <f t="shared" si="243"/>
        <v>-100000</v>
      </c>
      <c r="AJ575">
        <f t="shared" si="244"/>
        <v>-0.4</v>
      </c>
    </row>
    <row r="576" spans="1:36" hidden="1">
      <c r="A576" s="238">
        <v>2025</v>
      </c>
      <c r="B576" s="191" t="s">
        <v>202</v>
      </c>
      <c r="C576" s="191" t="s">
        <v>202</v>
      </c>
      <c r="D576" s="191" t="s">
        <v>168</v>
      </c>
      <c r="E576" s="191" t="s">
        <v>24</v>
      </c>
      <c r="F576" s="191" t="s">
        <v>24</v>
      </c>
      <c r="G576" s="119">
        <v>49</v>
      </c>
      <c r="H576" s="119" t="s">
        <v>166</v>
      </c>
      <c r="I576" s="119" t="s">
        <v>275</v>
      </c>
      <c r="J576" s="237" t="s">
        <v>412</v>
      </c>
      <c r="K576">
        <v>1</v>
      </c>
      <c r="L576">
        <v>212</v>
      </c>
      <c r="M576">
        <v>2057000</v>
      </c>
      <c r="N576">
        <v>0</v>
      </c>
      <c r="O576">
        <v>0</v>
      </c>
      <c r="P576">
        <v>0</v>
      </c>
      <c r="Q576">
        <v>0</v>
      </c>
      <c r="R576">
        <v>0</v>
      </c>
      <c r="T576">
        <f t="shared" si="239"/>
        <v>0</v>
      </c>
      <c r="U576" s="119">
        <f>700000/3</f>
        <v>233333.33333333334</v>
      </c>
      <c r="V576" s="76">
        <v>0</v>
      </c>
      <c r="W576" s="76">
        <v>0</v>
      </c>
      <c r="X576">
        <v>0</v>
      </c>
      <c r="Y576">
        <f t="shared" si="240"/>
        <v>233333.33333333334</v>
      </c>
      <c r="Z576" s="12">
        <f>10%*M576</f>
        <v>205700</v>
      </c>
      <c r="AA576">
        <v>0</v>
      </c>
      <c r="AB576">
        <v>0</v>
      </c>
      <c r="AC576">
        <v>0</v>
      </c>
      <c r="AD576">
        <v>0</v>
      </c>
      <c r="AE576">
        <f t="shared" si="241"/>
        <v>205700</v>
      </c>
      <c r="AF576" s="12">
        <f t="shared" si="242"/>
        <v>-27633.333333333343</v>
      </c>
      <c r="AG57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-27633.333333333343</v>
      </c>
      <c r="AH576">
        <f>IFERROR(AG576/(Z576+Table5[[#This Row],[Rider Penalty (Claim, Other Denda to Riders)]]),0)</f>
        <v>-0.13433803273375472</v>
      </c>
      <c r="AI576" s="12">
        <f t="shared" si="243"/>
        <v>0</v>
      </c>
      <c r="AJ576">
        <f t="shared" si="244"/>
        <v>0</v>
      </c>
    </row>
    <row r="577" spans="1:36" hidden="1">
      <c r="A577">
        <v>2025</v>
      </c>
      <c r="B577" s="179" t="s">
        <v>23</v>
      </c>
      <c r="C577" s="64" t="s">
        <v>23</v>
      </c>
      <c r="D577" t="s">
        <v>168</v>
      </c>
      <c r="E577" t="s">
        <v>28</v>
      </c>
      <c r="F577" t="s">
        <v>28</v>
      </c>
      <c r="G577" s="119">
        <v>49</v>
      </c>
      <c r="H577" s="119" t="s">
        <v>166</v>
      </c>
      <c r="I577" s="119" t="s">
        <v>275</v>
      </c>
      <c r="J577" s="237" t="s">
        <v>412</v>
      </c>
      <c r="K577" s="16">
        <v>237</v>
      </c>
      <c r="L577" s="16">
        <v>63518</v>
      </c>
      <c r="M577" s="16">
        <v>558502000</v>
      </c>
      <c r="N577" s="16">
        <v>60364760</v>
      </c>
      <c r="O577" s="16">
        <f>63940000+360000</f>
        <v>64300000</v>
      </c>
      <c r="P577" s="16">
        <v>0</v>
      </c>
      <c r="Q577" s="16">
        <v>0</v>
      </c>
      <c r="R577" s="16">
        <v>0</v>
      </c>
      <c r="S577" s="16"/>
      <c r="T577" s="16">
        <f>SUM(N577:R577)</f>
        <v>124664760</v>
      </c>
      <c r="U577" s="16">
        <v>4350000</v>
      </c>
      <c r="V577" s="14">
        <v>58065000</v>
      </c>
      <c r="W577" s="14">
        <v>0</v>
      </c>
      <c r="X577" s="16">
        <v>289348.17784946243</v>
      </c>
      <c r="Y577" s="16">
        <f>SUM(U577:X577)</f>
        <v>62704348.177849464</v>
      </c>
      <c r="Z577" s="16">
        <f>26%*M577</f>
        <v>145210520</v>
      </c>
      <c r="AA577" s="16">
        <v>37725000</v>
      </c>
      <c r="AB577" s="16">
        <v>0</v>
      </c>
      <c r="AC577" s="16">
        <v>2600000</v>
      </c>
      <c r="AD577" s="16">
        <v>0</v>
      </c>
      <c r="AE577" s="16">
        <f>SUM(Z577:AD577)</f>
        <v>185535520</v>
      </c>
      <c r="AF577" s="16">
        <f>AE577-(T577+Y577)</f>
        <v>-1833588.1778494716</v>
      </c>
      <c r="AG57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15906411.822150538</v>
      </c>
      <c r="AH577" s="16">
        <f>IFERROR(AG577/(Z577+Table5[[#This Row],[Rider Penalty (Claim, Other Denda to Riders)]]),0)</f>
        <v>0.10954035439133844</v>
      </c>
      <c r="AI577" s="12">
        <f>AA577+AB577-V577</f>
        <v>-20340000</v>
      </c>
      <c r="AJ577">
        <f>IFERROR(AI577/(AA577+AB577),0)</f>
        <v>-0.53916500994035788</v>
      </c>
    </row>
    <row r="578" spans="1:36" hidden="1">
      <c r="A578">
        <v>2025</v>
      </c>
      <c r="B578" s="179" t="s">
        <v>23</v>
      </c>
      <c r="C578" s="64" t="s">
        <v>172</v>
      </c>
      <c r="D578" t="s">
        <v>168</v>
      </c>
      <c r="E578" t="s">
        <v>28</v>
      </c>
      <c r="F578" t="s">
        <v>28</v>
      </c>
      <c r="G578" s="119">
        <v>49</v>
      </c>
      <c r="H578" s="119" t="s">
        <v>166</v>
      </c>
      <c r="I578" s="119" t="s">
        <v>275</v>
      </c>
      <c r="J578" s="237" t="s">
        <v>412</v>
      </c>
      <c r="K578" s="16">
        <v>23</v>
      </c>
      <c r="L578" s="16">
        <v>5385</v>
      </c>
      <c r="M578" s="16">
        <v>47248000</v>
      </c>
      <c r="N578" s="16">
        <v>4722885</v>
      </c>
      <c r="O578" s="16">
        <v>6160000</v>
      </c>
      <c r="P578" s="16">
        <v>0</v>
      </c>
      <c r="Q578" s="16">
        <v>0</v>
      </c>
      <c r="R578" s="16">
        <v>0</v>
      </c>
      <c r="S578" s="16"/>
      <c r="T578" s="16">
        <f>SUM(N578:R578)</f>
        <v>10882885</v>
      </c>
      <c r="U578" s="16">
        <v>1050000</v>
      </c>
      <c r="V578" s="14">
        <v>5635000</v>
      </c>
      <c r="W578" s="14">
        <v>0</v>
      </c>
      <c r="X578" s="16">
        <v>286021.50537634408</v>
      </c>
      <c r="Y578" s="16">
        <f>SUM(U578:X578)</f>
        <v>6971021.5053763445</v>
      </c>
      <c r="Z578" s="16">
        <f>26%*M578</f>
        <v>12284480</v>
      </c>
      <c r="AA578" s="16">
        <v>3725000</v>
      </c>
      <c r="AB578" s="16">
        <v>0</v>
      </c>
      <c r="AC578" s="16">
        <v>175000</v>
      </c>
      <c r="AD578" s="16">
        <v>0</v>
      </c>
      <c r="AE578" s="16">
        <f>SUM(Z578:AD578)</f>
        <v>16184480</v>
      </c>
      <c r="AF578" s="16">
        <f>AE578-(T578+Y578)</f>
        <v>-1669426.5053763464</v>
      </c>
      <c r="AG57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65573.494623655919</v>
      </c>
      <c r="AH578" s="16">
        <f>IFERROR(AG578/(Z578+Table5[[#This Row],[Rider Penalty (Claim, Other Denda to Riders)]]),0)</f>
        <v>5.33791374349227E-3</v>
      </c>
      <c r="AI578" s="12">
        <f>AA578+AB578-V578</f>
        <v>-1910000</v>
      </c>
      <c r="AJ578">
        <f>IFERROR(AI578/(AA578+AB578),0)</f>
        <v>-0.51275167785234899</v>
      </c>
    </row>
    <row r="579" spans="1:36" hidden="1">
      <c r="A579">
        <v>2025</v>
      </c>
      <c r="B579" t="s">
        <v>176</v>
      </c>
      <c r="C579" t="s">
        <v>176</v>
      </c>
      <c r="D579" t="s">
        <v>169</v>
      </c>
      <c r="E579" t="s">
        <v>28</v>
      </c>
      <c r="F579" t="s">
        <v>28</v>
      </c>
      <c r="G579" s="119">
        <v>49</v>
      </c>
      <c r="H579" s="119" t="s">
        <v>166</v>
      </c>
      <c r="I579" s="119" t="s">
        <v>275</v>
      </c>
      <c r="J579" s="237" t="s">
        <v>412</v>
      </c>
      <c r="K579" s="16">
        <v>11</v>
      </c>
      <c r="L579" s="16">
        <v>703</v>
      </c>
      <c r="M579" s="16">
        <v>6692000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/>
      <c r="T579" s="16">
        <f>SUM(N579:R579)</f>
        <v>0</v>
      </c>
      <c r="U579" s="16">
        <v>0</v>
      </c>
      <c r="V579" s="14">
        <v>0</v>
      </c>
      <c r="W579" s="14">
        <v>0</v>
      </c>
      <c r="X579" s="16">
        <v>0</v>
      </c>
      <c r="Y579" s="16">
        <v>0</v>
      </c>
      <c r="Z579" s="16">
        <f>7%*M579</f>
        <v>468440.00000000006</v>
      </c>
      <c r="AA579" s="16">
        <v>0</v>
      </c>
      <c r="AB579" s="16">
        <v>0</v>
      </c>
      <c r="AC579" s="16">
        <v>0</v>
      </c>
      <c r="AD579" s="16">
        <v>0</v>
      </c>
      <c r="AE579" s="16">
        <f>SUM(Z579:AD579)</f>
        <v>468440.00000000006</v>
      </c>
      <c r="AF579" s="16">
        <f>AE579-(T579+Y579)</f>
        <v>468440.00000000006</v>
      </c>
      <c r="AG579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468440.00000000006</v>
      </c>
      <c r="AH579" s="16">
        <f>IFERROR(AG579/(Z579+Table5[[#This Row],[Rider Penalty (Claim, Other Denda to Riders)]]),0)</f>
        <v>1</v>
      </c>
      <c r="AI579" s="12">
        <f>AA579+AB579-V579</f>
        <v>0</v>
      </c>
      <c r="AJ579">
        <f>IFERROR(AI579/(AA579+AB579),0)</f>
        <v>0</v>
      </c>
    </row>
    <row r="580" spans="1:36" hidden="1">
      <c r="A580" s="180">
        <v>2025</v>
      </c>
      <c r="B580" s="119" t="s">
        <v>23</v>
      </c>
      <c r="C580" s="119" t="s">
        <v>174</v>
      </c>
      <c r="D580" s="119" t="s">
        <v>168</v>
      </c>
      <c r="E580" s="119" t="s">
        <v>24</v>
      </c>
      <c r="F580" s="119" t="s">
        <v>24</v>
      </c>
      <c r="G580" s="119">
        <v>50</v>
      </c>
      <c r="H580" s="119" t="s">
        <v>166</v>
      </c>
      <c r="I580" s="119" t="s">
        <v>256</v>
      </c>
      <c r="J580" s="237" t="s">
        <v>413</v>
      </c>
      <c r="K580">
        <v>24</v>
      </c>
      <c r="L580">
        <v>3411</v>
      </c>
      <c r="M580">
        <v>31390000</v>
      </c>
      <c r="N580">
        <v>2690260</v>
      </c>
      <c r="O580">
        <v>4650000</v>
      </c>
      <c r="P580">
        <v>0</v>
      </c>
      <c r="Q580">
        <v>0</v>
      </c>
      <c r="R580">
        <v>0</v>
      </c>
      <c r="T580">
        <f t="shared" ref="T580:T583" si="245">SUM(N580:R580)</f>
        <v>7340260</v>
      </c>
      <c r="U580" s="119">
        <f>700000+((700000/3)/2)</f>
        <v>816666.66666666663</v>
      </c>
      <c r="V580" s="76">
        <f>113*35000</f>
        <v>3955000</v>
      </c>
      <c r="W580" s="76">
        <v>0</v>
      </c>
      <c r="X580">
        <v>0</v>
      </c>
      <c r="Y580">
        <f t="shared" ref="Y580:Y584" si="246">SUM(U580:X580)</f>
        <v>4771666.666666667</v>
      </c>
      <c r="Z580" s="12">
        <f>26%*M580</f>
        <v>8161400</v>
      </c>
      <c r="AA580">
        <f>(47*15000)+(78*25000)</f>
        <v>2655000</v>
      </c>
      <c r="AB580">
        <v>0</v>
      </c>
      <c r="AC580">
        <v>0</v>
      </c>
      <c r="AD580">
        <v>0</v>
      </c>
      <c r="AE580">
        <f t="shared" ref="AE580:AE584" si="247">SUM(Z580:AD580)</f>
        <v>10816400</v>
      </c>
      <c r="AF580" s="12">
        <f t="shared" ref="AF580:AF584" si="248">AE580-(T580+Y580)</f>
        <v>-1295526.6666666679</v>
      </c>
      <c r="AG58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4473.3333333333721</v>
      </c>
      <c r="AH580">
        <f>IFERROR(AG580/(Z580+Table5[[#This Row],[Rider Penalty (Claim, Other Denda to Riders)]]),0)</f>
        <v>5.4810857614298678E-4</v>
      </c>
      <c r="AI580" s="12">
        <f t="shared" ref="AI580:AI584" si="249">AA580+AB580-V580</f>
        <v>-1300000</v>
      </c>
      <c r="AJ580">
        <f t="shared" ref="AJ580:AJ584" si="250">IFERROR(AI580/(AA580+AB580),0)</f>
        <v>-0.4896421845574388</v>
      </c>
    </row>
    <row r="581" spans="1:36" hidden="1">
      <c r="A581" s="63">
        <v>2025</v>
      </c>
      <c r="B581" s="64" t="s">
        <v>23</v>
      </c>
      <c r="C581" s="64" t="s">
        <v>173</v>
      </c>
      <c r="D581" s="64" t="s">
        <v>168</v>
      </c>
      <c r="E581" s="64" t="s">
        <v>24</v>
      </c>
      <c r="F581" s="64" t="s">
        <v>282</v>
      </c>
      <c r="G581" s="119">
        <v>50</v>
      </c>
      <c r="H581" s="119" t="s">
        <v>166</v>
      </c>
      <c r="I581" s="119" t="s">
        <v>256</v>
      </c>
      <c r="J581" s="237" t="s">
        <v>413</v>
      </c>
      <c r="K581">
        <v>14</v>
      </c>
      <c r="L581">
        <v>2350</v>
      </c>
      <c r="M581">
        <v>21022000</v>
      </c>
      <c r="N581">
        <v>1775640</v>
      </c>
      <c r="O581">
        <v>2550000</v>
      </c>
      <c r="P581">
        <v>0</v>
      </c>
      <c r="Q581">
        <v>0</v>
      </c>
      <c r="R581">
        <v>0</v>
      </c>
      <c r="T581">
        <f t="shared" si="245"/>
        <v>4325640</v>
      </c>
      <c r="U581">
        <v>0</v>
      </c>
      <c r="V581" s="76">
        <f>74*35000</f>
        <v>2590000</v>
      </c>
      <c r="W581" s="76">
        <v>0</v>
      </c>
      <c r="X581">
        <v>0</v>
      </c>
      <c r="Y581">
        <f t="shared" si="246"/>
        <v>2590000</v>
      </c>
      <c r="Z581" s="12">
        <f>26%*M581</f>
        <v>5465720</v>
      </c>
      <c r="AA581">
        <f>(18*15000)+(68*25000)</f>
        <v>1970000</v>
      </c>
      <c r="AB581">
        <v>0</v>
      </c>
      <c r="AC581">
        <v>0</v>
      </c>
      <c r="AD581">
        <v>0</v>
      </c>
      <c r="AE581">
        <f t="shared" si="247"/>
        <v>7435720</v>
      </c>
      <c r="AF581" s="12">
        <f t="shared" si="248"/>
        <v>520080</v>
      </c>
      <c r="AG58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1140080</v>
      </c>
      <c r="AH581">
        <f>IFERROR(AG581/(Z581+Table5[[#This Row],[Rider Penalty (Claim, Other Denda to Riders)]]),0)</f>
        <v>0.20858734073461502</v>
      </c>
      <c r="AI581" s="12">
        <f t="shared" si="249"/>
        <v>-620000</v>
      </c>
      <c r="AJ581">
        <f t="shared" si="250"/>
        <v>-0.31472081218274112</v>
      </c>
    </row>
    <row r="582" spans="1:36" hidden="1">
      <c r="A582" s="180">
        <v>2025</v>
      </c>
      <c r="B582" s="119" t="s">
        <v>23</v>
      </c>
      <c r="C582" s="119" t="s">
        <v>205</v>
      </c>
      <c r="D582" s="119" t="s">
        <v>168</v>
      </c>
      <c r="E582" s="119" t="s">
        <v>24</v>
      </c>
      <c r="F582" s="119" t="s">
        <v>24</v>
      </c>
      <c r="G582" s="119">
        <v>50</v>
      </c>
      <c r="H582" s="119" t="s">
        <v>166</v>
      </c>
      <c r="I582" s="119" t="s">
        <v>256</v>
      </c>
      <c r="J582" s="237" t="s">
        <v>413</v>
      </c>
      <c r="K582">
        <v>8</v>
      </c>
      <c r="L582">
        <v>1379</v>
      </c>
      <c r="M582">
        <v>2475200</v>
      </c>
      <c r="N582">
        <v>0</v>
      </c>
      <c r="O582">
        <v>0</v>
      </c>
      <c r="P582">
        <v>0</v>
      </c>
      <c r="Q582">
        <v>0</v>
      </c>
      <c r="R582">
        <v>0</v>
      </c>
      <c r="T582">
        <f t="shared" si="245"/>
        <v>0</v>
      </c>
      <c r="U582" s="119">
        <f>((700000)/3)/2</f>
        <v>116666.66666666667</v>
      </c>
      <c r="V582" s="76">
        <v>0</v>
      </c>
      <c r="W582" s="76">
        <v>0</v>
      </c>
      <c r="X582">
        <v>0</v>
      </c>
      <c r="Y582">
        <f t="shared" si="246"/>
        <v>116666.66666666667</v>
      </c>
      <c r="Z582" s="12">
        <f>7%*M582</f>
        <v>173264.00000000003</v>
      </c>
      <c r="AA582">
        <v>0</v>
      </c>
      <c r="AB582">
        <v>0</v>
      </c>
      <c r="AC582">
        <v>0</v>
      </c>
      <c r="AD582">
        <v>0</v>
      </c>
      <c r="AE582">
        <f t="shared" si="247"/>
        <v>173264.00000000003</v>
      </c>
      <c r="AF582" s="12">
        <f t="shared" si="248"/>
        <v>56597.333333333358</v>
      </c>
      <c r="AG58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56597.333333333358</v>
      </c>
      <c r="AH582">
        <f>IFERROR(AG582/(Z582+Table5[[#This Row],[Rider Penalty (Claim, Other Denda to Riders)]]),0)</f>
        <v>0.32665373841844436</v>
      </c>
      <c r="AI582" s="12">
        <f t="shared" si="249"/>
        <v>0</v>
      </c>
      <c r="AJ582">
        <f t="shared" si="250"/>
        <v>0</v>
      </c>
    </row>
    <row r="583" spans="1:36" hidden="1">
      <c r="A583" s="63">
        <v>2025</v>
      </c>
      <c r="B583" s="64" t="s">
        <v>177</v>
      </c>
      <c r="C583" s="64" t="s">
        <v>177</v>
      </c>
      <c r="D583" s="64" t="s">
        <v>168</v>
      </c>
      <c r="E583" s="64" t="s">
        <v>24</v>
      </c>
      <c r="F583" s="64" t="s">
        <v>24</v>
      </c>
      <c r="G583" s="119">
        <v>50</v>
      </c>
      <c r="H583" s="119" t="s">
        <v>166</v>
      </c>
      <c r="I583" s="119" t="s">
        <v>256</v>
      </c>
      <c r="J583" s="237" t="s">
        <v>413</v>
      </c>
      <c r="K583">
        <v>2</v>
      </c>
      <c r="L583">
        <v>115</v>
      </c>
      <c r="M583">
        <v>1235000</v>
      </c>
      <c r="N583">
        <v>61750</v>
      </c>
      <c r="O583">
        <v>225000</v>
      </c>
      <c r="P583">
        <v>0</v>
      </c>
      <c r="Q583">
        <v>0</v>
      </c>
      <c r="R583">
        <v>0</v>
      </c>
      <c r="T583">
        <f t="shared" si="245"/>
        <v>286750</v>
      </c>
      <c r="U583" s="64">
        <f>700000/3</f>
        <v>233333.33333333334</v>
      </c>
      <c r="V583" s="76">
        <f>9*35000</f>
        <v>315000</v>
      </c>
      <c r="W583" s="76">
        <v>0</v>
      </c>
      <c r="X583">
        <v>0</v>
      </c>
      <c r="Y583">
        <f t="shared" si="246"/>
        <v>548333.33333333337</v>
      </c>
      <c r="Z583" s="12">
        <f>30%*M583</f>
        <v>370500</v>
      </c>
      <c r="AA583">
        <f>9*25000</f>
        <v>225000</v>
      </c>
      <c r="AB583">
        <v>0</v>
      </c>
      <c r="AC583">
        <v>0</v>
      </c>
      <c r="AD583">
        <v>0</v>
      </c>
      <c r="AE583">
        <f t="shared" si="247"/>
        <v>595500</v>
      </c>
      <c r="AF583" s="12">
        <f t="shared" si="248"/>
        <v>-239583.33333333337</v>
      </c>
      <c r="AG58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-149583.33333333334</v>
      </c>
      <c r="AH583">
        <f>IFERROR(AG583/(Z583+Table5[[#This Row],[Rider Penalty (Claim, Other Denda to Riders)]]),0)</f>
        <v>-0.40373369320737745</v>
      </c>
      <c r="AI583" s="12">
        <f t="shared" si="249"/>
        <v>-90000</v>
      </c>
      <c r="AJ583">
        <f t="shared" si="250"/>
        <v>-0.4</v>
      </c>
    </row>
    <row r="584" spans="1:36" hidden="1">
      <c r="A584" s="238">
        <v>2025</v>
      </c>
      <c r="B584" s="191" t="s">
        <v>202</v>
      </c>
      <c r="C584" s="191" t="s">
        <v>202</v>
      </c>
      <c r="D584" s="191" t="s">
        <v>168</v>
      </c>
      <c r="E584" s="191" t="s">
        <v>24</v>
      </c>
      <c r="F584" s="191" t="s">
        <v>24</v>
      </c>
      <c r="G584" s="119">
        <v>50</v>
      </c>
      <c r="H584" s="119" t="s">
        <v>166</v>
      </c>
      <c r="I584" s="119" t="s">
        <v>256</v>
      </c>
      <c r="J584" s="237" t="s">
        <v>413</v>
      </c>
      <c r="K584">
        <v>1</v>
      </c>
      <c r="L584">
        <v>144</v>
      </c>
      <c r="M584">
        <v>1391000</v>
      </c>
      <c r="N584">
        <v>0</v>
      </c>
      <c r="O584">
        <v>0</v>
      </c>
      <c r="P584">
        <v>0</v>
      </c>
      <c r="Q584">
        <v>0</v>
      </c>
      <c r="R584">
        <v>0</v>
      </c>
      <c r="T584">
        <v>0</v>
      </c>
      <c r="U584" s="119">
        <f>700000/3</f>
        <v>233333.33333333334</v>
      </c>
      <c r="V584" s="76">
        <v>0</v>
      </c>
      <c r="W584" s="76">
        <v>0</v>
      </c>
      <c r="X584">
        <v>0</v>
      </c>
      <c r="Y584">
        <f t="shared" si="246"/>
        <v>233333.33333333334</v>
      </c>
      <c r="Z584" s="12">
        <f>10%*M584</f>
        <v>139100</v>
      </c>
      <c r="AA584">
        <v>0</v>
      </c>
      <c r="AB584">
        <v>0</v>
      </c>
      <c r="AC584">
        <v>0</v>
      </c>
      <c r="AD584">
        <v>0</v>
      </c>
      <c r="AE584">
        <f t="shared" si="247"/>
        <v>139100</v>
      </c>
      <c r="AF584" s="12">
        <f t="shared" si="248"/>
        <v>-94233.333333333343</v>
      </c>
      <c r="AG58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-94233.333333333343</v>
      </c>
      <c r="AH584">
        <f>IFERROR(AG584/(Z584+Table5[[#This Row],[Rider Penalty (Claim, Other Denda to Riders)]]),0)</f>
        <v>-0.67745027558111681</v>
      </c>
      <c r="AI584" s="12">
        <f t="shared" si="249"/>
        <v>0</v>
      </c>
      <c r="AJ584">
        <f t="shared" si="250"/>
        <v>0</v>
      </c>
    </row>
    <row r="585" spans="1:36" hidden="1">
      <c r="A585">
        <v>2025</v>
      </c>
      <c r="B585" s="179" t="s">
        <v>23</v>
      </c>
      <c r="C585" s="64" t="s">
        <v>23</v>
      </c>
      <c r="D585" t="s">
        <v>168</v>
      </c>
      <c r="E585" t="s">
        <v>28</v>
      </c>
      <c r="F585" t="s">
        <v>28</v>
      </c>
      <c r="G585" s="119">
        <v>50</v>
      </c>
      <c r="H585" s="119" t="s">
        <v>166</v>
      </c>
      <c r="I585" s="119" t="s">
        <v>256</v>
      </c>
      <c r="J585" s="237" t="s">
        <v>413</v>
      </c>
      <c r="K585">
        <v>226</v>
      </c>
      <c r="L585">
        <v>67086</v>
      </c>
      <c r="M585">
        <v>589426000</v>
      </c>
      <c r="N585">
        <v>66355070</v>
      </c>
      <c r="O585">
        <f>64070000+95000</f>
        <v>64165000</v>
      </c>
      <c r="P585">
        <v>0</v>
      </c>
      <c r="Q585">
        <v>0</v>
      </c>
      <c r="R585">
        <v>0</v>
      </c>
      <c r="T585">
        <f t="shared" ref="T585:T587" si="251">SUM(N585:R585)</f>
        <v>130520070</v>
      </c>
      <c r="U585">
        <v>4350000</v>
      </c>
      <c r="V585" s="76">
        <v>55370000</v>
      </c>
      <c r="W585" s="76"/>
      <c r="X585" s="188">
        <v>289348.17784946243</v>
      </c>
      <c r="Y585">
        <f t="shared" ref="Y585:Y586" si="252">SUM(U585:X585)</f>
        <v>60009348.177849464</v>
      </c>
      <c r="Z585" s="12">
        <f>26%*M585</f>
        <v>153250760</v>
      </c>
      <c r="AA585">
        <f>35775000+2175000</f>
        <v>37950000</v>
      </c>
      <c r="AB585">
        <v>0</v>
      </c>
      <c r="AC585">
        <v>2175000</v>
      </c>
      <c r="AD585">
        <v>0</v>
      </c>
      <c r="AE585">
        <f t="shared" ref="AE585:AE587" si="253">SUM(Z585:AD585)</f>
        <v>193375760</v>
      </c>
      <c r="AF585" s="12">
        <f t="shared" ref="AF585:AF587" si="254">AE585-(T585+Y585)</f>
        <v>2846341.8221505284</v>
      </c>
      <c r="AG58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18091341.822150536</v>
      </c>
      <c r="AH585">
        <f>IFERROR(AG585/(Z585+Table5[[#This Row],[Rider Penalty (Claim, Other Denda to Riders)]]),0)</f>
        <v>0.11805058468976294</v>
      </c>
      <c r="AI585" s="12">
        <f t="shared" ref="AI585:AI587" si="255">AA585+AB585-V585</f>
        <v>-17420000</v>
      </c>
      <c r="AJ585">
        <f t="shared" ref="AJ585:AJ587" si="256">IFERROR(AI585/(AA585+AB585),0)</f>
        <v>-0.45902503293807639</v>
      </c>
    </row>
    <row r="586" spans="1:36" hidden="1">
      <c r="A586">
        <v>2025</v>
      </c>
      <c r="B586" s="179" t="s">
        <v>23</v>
      </c>
      <c r="C586" s="64" t="s">
        <v>172</v>
      </c>
      <c r="D586" t="s">
        <v>168</v>
      </c>
      <c r="E586" t="s">
        <v>28</v>
      </c>
      <c r="F586" t="s">
        <v>28</v>
      </c>
      <c r="G586" s="119">
        <v>50</v>
      </c>
      <c r="H586" s="119" t="s">
        <v>166</v>
      </c>
      <c r="I586" s="119" t="s">
        <v>256</v>
      </c>
      <c r="J586" s="237" t="s">
        <v>413</v>
      </c>
      <c r="K586">
        <v>20</v>
      </c>
      <c r="L586">
        <v>6349</v>
      </c>
      <c r="M586">
        <v>55980000</v>
      </c>
      <c r="N586">
        <v>6358065</v>
      </c>
      <c r="O586">
        <v>6415000</v>
      </c>
      <c r="P586">
        <v>0</v>
      </c>
      <c r="Q586">
        <v>0</v>
      </c>
      <c r="R586">
        <v>0</v>
      </c>
      <c r="T586">
        <f t="shared" si="251"/>
        <v>12773065</v>
      </c>
      <c r="U586">
        <v>600000</v>
      </c>
      <c r="V586" s="76">
        <v>4900000</v>
      </c>
      <c r="W586" s="76"/>
      <c r="X586" s="188">
        <v>286021.50537634408</v>
      </c>
      <c r="Y586">
        <f t="shared" si="252"/>
        <v>5786021.5053763445</v>
      </c>
      <c r="Z586" s="12">
        <f>26%*M586</f>
        <v>14554800</v>
      </c>
      <c r="AA586">
        <v>3025000</v>
      </c>
      <c r="AB586">
        <v>0</v>
      </c>
      <c r="AC586">
        <v>75000</v>
      </c>
      <c r="AD586">
        <v>0</v>
      </c>
      <c r="AE586">
        <f t="shared" si="253"/>
        <v>17654800</v>
      </c>
      <c r="AF586" s="12">
        <f t="shared" si="254"/>
        <v>-904286.50537634641</v>
      </c>
      <c r="AG58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895713.49462365592</v>
      </c>
      <c r="AH586">
        <f>IFERROR(AG586/(Z586+Table5[[#This Row],[Rider Penalty (Claim, Other Denda to Riders)]]),0)</f>
        <v>6.1540762815267533E-2</v>
      </c>
      <c r="AI586" s="12">
        <f t="shared" si="255"/>
        <v>-1875000</v>
      </c>
      <c r="AJ586">
        <f t="shared" si="256"/>
        <v>-0.6198347107438017</v>
      </c>
    </row>
    <row r="587" spans="1:36" hidden="1">
      <c r="A587">
        <v>2025</v>
      </c>
      <c r="B587" t="s">
        <v>176</v>
      </c>
      <c r="C587" t="s">
        <v>176</v>
      </c>
      <c r="D587" t="s">
        <v>169</v>
      </c>
      <c r="E587" t="s">
        <v>28</v>
      </c>
      <c r="F587" t="s">
        <v>28</v>
      </c>
      <c r="G587" s="119">
        <v>50</v>
      </c>
      <c r="H587" s="119" t="s">
        <v>166</v>
      </c>
      <c r="I587" s="119" t="s">
        <v>256</v>
      </c>
      <c r="J587" s="237" t="s">
        <v>413</v>
      </c>
      <c r="K587">
        <v>12</v>
      </c>
      <c r="L587">
        <v>704</v>
      </c>
      <c r="M587">
        <v>6732000</v>
      </c>
      <c r="N587">
        <v>0</v>
      </c>
      <c r="O587">
        <v>0</v>
      </c>
      <c r="P587">
        <v>0</v>
      </c>
      <c r="Q587">
        <v>0</v>
      </c>
      <c r="R587">
        <v>0</v>
      </c>
      <c r="T587">
        <f t="shared" si="251"/>
        <v>0</v>
      </c>
      <c r="U587">
        <v>0</v>
      </c>
      <c r="V587" s="76">
        <v>0</v>
      </c>
      <c r="W587" s="76">
        <v>0</v>
      </c>
      <c r="X587">
        <v>0</v>
      </c>
      <c r="Y587">
        <v>0</v>
      </c>
      <c r="Z587" s="12">
        <f>7%*M587</f>
        <v>471240.00000000006</v>
      </c>
      <c r="AA587">
        <v>0</v>
      </c>
      <c r="AB587">
        <v>0</v>
      </c>
      <c r="AC587">
        <v>0</v>
      </c>
      <c r="AD587">
        <v>0</v>
      </c>
      <c r="AE587">
        <f t="shared" si="253"/>
        <v>471240.00000000006</v>
      </c>
      <c r="AF587" s="12">
        <f t="shared" si="254"/>
        <v>471240.00000000006</v>
      </c>
      <c r="AG58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471240.00000000006</v>
      </c>
      <c r="AH587">
        <f>IFERROR(AG587/(Z587+Table5[[#This Row],[Rider Penalty (Claim, Other Denda to Riders)]]),0)</f>
        <v>1</v>
      </c>
      <c r="AI587" s="12">
        <f t="shared" si="255"/>
        <v>0</v>
      </c>
      <c r="AJ587">
        <f t="shared" si="256"/>
        <v>0</v>
      </c>
    </row>
    <row r="588" spans="1:36" hidden="1">
      <c r="A588" s="180">
        <v>2025</v>
      </c>
      <c r="B588" s="119" t="s">
        <v>23</v>
      </c>
      <c r="C588" s="119" t="s">
        <v>174</v>
      </c>
      <c r="D588" s="119" t="s">
        <v>168</v>
      </c>
      <c r="E588" s="119" t="s">
        <v>24</v>
      </c>
      <c r="F588" s="119" t="s">
        <v>24</v>
      </c>
      <c r="G588" s="119">
        <v>51</v>
      </c>
      <c r="H588" s="119" t="s">
        <v>166</v>
      </c>
      <c r="I588" s="119" t="s">
        <v>278</v>
      </c>
      <c r="J588" s="237" t="s">
        <v>414</v>
      </c>
      <c r="K588">
        <v>20</v>
      </c>
      <c r="L588">
        <v>3113</v>
      </c>
      <c r="M588">
        <v>28476000</v>
      </c>
      <c r="N588">
        <v>2550660</v>
      </c>
      <c r="O588">
        <v>3575000</v>
      </c>
      <c r="P588">
        <v>0</v>
      </c>
      <c r="Q588">
        <v>0</v>
      </c>
      <c r="R588">
        <v>0</v>
      </c>
      <c r="T588">
        <f>SUM(N588:R588)</f>
        <v>6125660</v>
      </c>
      <c r="U588" s="119">
        <f>700000+((700000/3)/2)</f>
        <v>816666.66666666663</v>
      </c>
      <c r="V588" s="1">
        <f>98*35000</f>
        <v>3430000</v>
      </c>
      <c r="W588" s="1">
        <v>0</v>
      </c>
      <c r="X588">
        <v>0</v>
      </c>
      <c r="Y588">
        <f>SUM(U588:X588)</f>
        <v>4246666.666666667</v>
      </c>
      <c r="Z588" s="12">
        <f>26%*M588</f>
        <v>7403760</v>
      </c>
      <c r="AA588">
        <f>(40*15000)+(70*25000)</f>
        <v>2350000</v>
      </c>
      <c r="AB588">
        <v>0</v>
      </c>
      <c r="AC588">
        <v>0</v>
      </c>
      <c r="AD588">
        <v>0</v>
      </c>
      <c r="AE588">
        <f>SUM(Z588:AD588)</f>
        <v>9753760</v>
      </c>
      <c r="AF588" s="12">
        <f>AE588-(T588+Y588)</f>
        <v>-618566.66666666791</v>
      </c>
      <c r="AG58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461433.33333333337</v>
      </c>
      <c r="AH588">
        <f>IFERROR(AG588/(Z588+Table5[[#This Row],[Rider Penalty (Claim, Other Denda to Riders)]]),0)</f>
        <v>6.2324188430383128E-2</v>
      </c>
      <c r="AI588" s="12">
        <f>AA588+AB588-V588</f>
        <v>-1080000</v>
      </c>
      <c r="AJ588">
        <f>IFERROR(AI588/(AA588+AB588),0)</f>
        <v>-0.45957446808510638</v>
      </c>
    </row>
    <row r="589" spans="1:36" hidden="1">
      <c r="A589" s="63">
        <v>2025</v>
      </c>
      <c r="B589" s="64" t="s">
        <v>23</v>
      </c>
      <c r="C589" s="64" t="s">
        <v>173</v>
      </c>
      <c r="D589" s="64" t="s">
        <v>168</v>
      </c>
      <c r="E589" s="64" t="s">
        <v>24</v>
      </c>
      <c r="F589" s="64" t="s">
        <v>282</v>
      </c>
      <c r="G589" s="119">
        <v>51</v>
      </c>
      <c r="H589" s="119" t="s">
        <v>166</v>
      </c>
      <c r="I589" s="119" t="s">
        <v>278</v>
      </c>
      <c r="J589" s="237" t="s">
        <v>414</v>
      </c>
      <c r="K589">
        <v>18</v>
      </c>
      <c r="L589">
        <v>2705</v>
      </c>
      <c r="M589">
        <v>24200000</v>
      </c>
      <c r="N589">
        <v>2083380</v>
      </c>
      <c r="O589">
        <v>3300000</v>
      </c>
      <c r="P589">
        <v>0</v>
      </c>
      <c r="Q589">
        <v>0</v>
      </c>
      <c r="R589">
        <v>0</v>
      </c>
      <c r="T589">
        <f t="shared" ref="T589:T592" si="257">SUM(N589:R589)</f>
        <v>5383380</v>
      </c>
      <c r="U589">
        <v>0</v>
      </c>
      <c r="V589" s="1">
        <f>87*35000</f>
        <v>3045000</v>
      </c>
      <c r="W589" s="1">
        <v>0</v>
      </c>
      <c r="X589">
        <v>0</v>
      </c>
      <c r="Y589">
        <f t="shared" ref="Y589:Y592" si="258">SUM(U589:X589)</f>
        <v>3045000</v>
      </c>
      <c r="Z589" s="12">
        <f>26%*M589</f>
        <v>6292000</v>
      </c>
      <c r="AA589">
        <f>(38*15000)+(65*25000)</f>
        <v>2195000</v>
      </c>
      <c r="AB589">
        <v>0</v>
      </c>
      <c r="AC589">
        <v>0</v>
      </c>
      <c r="AD589">
        <v>0</v>
      </c>
      <c r="AE589">
        <f t="shared" ref="AE589:AE592" si="259">SUM(Z589:AD589)</f>
        <v>8487000</v>
      </c>
      <c r="AF589" s="12">
        <f t="shared" ref="AF589:AF592" si="260">AE589-(T589+Y589)</f>
        <v>58620</v>
      </c>
      <c r="AG58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908620</v>
      </c>
      <c r="AH589">
        <f>IFERROR(AG589/(Z589+Table5[[#This Row],[Rider Penalty (Claim, Other Denda to Riders)]]),0)</f>
        <v>0.14440877304513669</v>
      </c>
      <c r="AI589" s="12">
        <f t="shared" ref="AI589:AI592" si="261">AA589+AB589-V589</f>
        <v>-850000</v>
      </c>
      <c r="AJ589">
        <f t="shared" ref="AJ589:AJ592" si="262">IFERROR(AI589/(AA589+AB589),0)</f>
        <v>-0.38724373576309795</v>
      </c>
    </row>
    <row r="590" spans="1:36" hidden="1">
      <c r="A590" s="180">
        <v>2025</v>
      </c>
      <c r="B590" s="119" t="s">
        <v>23</v>
      </c>
      <c r="C590" s="119" t="s">
        <v>205</v>
      </c>
      <c r="D590" s="119" t="s">
        <v>168</v>
      </c>
      <c r="E590" s="119" t="s">
        <v>24</v>
      </c>
      <c r="F590" s="119" t="s">
        <v>24</v>
      </c>
      <c r="G590" s="119">
        <v>51</v>
      </c>
      <c r="H590" s="119" t="s">
        <v>166</v>
      </c>
      <c r="I590" s="119" t="s">
        <v>278</v>
      </c>
      <c r="J590" s="237" t="s">
        <v>414</v>
      </c>
      <c r="K590">
        <v>11</v>
      </c>
      <c r="L590">
        <v>1209</v>
      </c>
      <c r="M590">
        <v>2464200</v>
      </c>
      <c r="N590">
        <v>0</v>
      </c>
      <c r="O590">
        <v>0</v>
      </c>
      <c r="P590">
        <v>0</v>
      </c>
      <c r="Q590">
        <v>0</v>
      </c>
      <c r="R590">
        <v>0</v>
      </c>
      <c r="T590">
        <f t="shared" si="257"/>
        <v>0</v>
      </c>
      <c r="U590" s="119">
        <f>((700000)/3)/2</f>
        <v>116666.66666666667</v>
      </c>
      <c r="V590" s="1">
        <v>0</v>
      </c>
      <c r="W590" s="1">
        <v>0</v>
      </c>
      <c r="X590">
        <v>0</v>
      </c>
      <c r="Y590">
        <f t="shared" si="258"/>
        <v>116666.66666666667</v>
      </c>
      <c r="Z590" s="12">
        <f>10%*M590</f>
        <v>246420</v>
      </c>
      <c r="AA590">
        <v>0</v>
      </c>
      <c r="AB590">
        <v>0</v>
      </c>
      <c r="AC590">
        <v>0</v>
      </c>
      <c r="AD590">
        <v>0</v>
      </c>
      <c r="AE590">
        <f t="shared" si="259"/>
        <v>246420</v>
      </c>
      <c r="AF590" s="12">
        <f t="shared" si="260"/>
        <v>129753.33333333333</v>
      </c>
      <c r="AG59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129753.33333333333</v>
      </c>
      <c r="AH590">
        <f>IFERROR(AG590/(Z590+Table5[[#This Row],[Rider Penalty (Claim, Other Denda to Riders)]]),0)</f>
        <v>0.52655358060763469</v>
      </c>
      <c r="AI590" s="12">
        <f t="shared" si="261"/>
        <v>0</v>
      </c>
      <c r="AJ590">
        <f t="shared" si="262"/>
        <v>0</v>
      </c>
    </row>
    <row r="591" spans="1:36" hidden="1">
      <c r="A591" s="63">
        <v>2025</v>
      </c>
      <c r="B591" s="64" t="s">
        <v>177</v>
      </c>
      <c r="C591" s="64" t="s">
        <v>177</v>
      </c>
      <c r="D591" s="64" t="s">
        <v>168</v>
      </c>
      <c r="E591" s="64" t="s">
        <v>24</v>
      </c>
      <c r="F591" s="64" t="s">
        <v>24</v>
      </c>
      <c r="G591" s="119">
        <v>51</v>
      </c>
      <c r="H591" s="119" t="s">
        <v>166</v>
      </c>
      <c r="I591" s="119" t="s">
        <v>278</v>
      </c>
      <c r="J591" s="237" t="s">
        <v>414</v>
      </c>
      <c r="K591">
        <v>2</v>
      </c>
      <c r="L591">
        <v>110</v>
      </c>
      <c r="M591">
        <v>1196000</v>
      </c>
      <c r="N591">
        <v>59800</v>
      </c>
      <c r="O591">
        <v>225000</v>
      </c>
      <c r="P591">
        <v>0</v>
      </c>
      <c r="Q591">
        <v>0</v>
      </c>
      <c r="R591">
        <v>0</v>
      </c>
      <c r="T591">
        <f t="shared" si="257"/>
        <v>284800</v>
      </c>
      <c r="U591" s="119">
        <f>700000/3</f>
        <v>233333.33333333334</v>
      </c>
      <c r="V591" s="1">
        <f>9*35000</f>
        <v>315000</v>
      </c>
      <c r="W591" s="1">
        <v>0</v>
      </c>
      <c r="X591">
        <v>0</v>
      </c>
      <c r="Y591">
        <f t="shared" si="258"/>
        <v>548333.33333333337</v>
      </c>
      <c r="Z591" s="12">
        <f>30%*M591</f>
        <v>358800</v>
      </c>
      <c r="AA591">
        <f>9*25000</f>
        <v>225000</v>
      </c>
      <c r="AB591">
        <v>0</v>
      </c>
      <c r="AC591">
        <v>0</v>
      </c>
      <c r="AD591">
        <v>0</v>
      </c>
      <c r="AE591">
        <f t="shared" si="259"/>
        <v>583800</v>
      </c>
      <c r="AF591" s="12">
        <f t="shared" si="260"/>
        <v>-249333.33333333337</v>
      </c>
      <c r="AG59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-159333.33333333334</v>
      </c>
      <c r="AH591">
        <f>IFERROR(AG591/(Z591+Table5[[#This Row],[Rider Penalty (Claim, Other Denda to Riders)]]),0)</f>
        <v>-0.44407283537718323</v>
      </c>
      <c r="AI591" s="12">
        <f t="shared" si="261"/>
        <v>-90000</v>
      </c>
      <c r="AJ591">
        <f t="shared" si="262"/>
        <v>-0.4</v>
      </c>
    </row>
    <row r="592" spans="1:36" hidden="1">
      <c r="A592" s="238">
        <v>2025</v>
      </c>
      <c r="B592" s="191" t="s">
        <v>202</v>
      </c>
      <c r="C592" s="191" t="s">
        <v>202</v>
      </c>
      <c r="D592" s="191" t="s">
        <v>168</v>
      </c>
      <c r="E592" s="191" t="s">
        <v>24</v>
      </c>
      <c r="F592" s="191" t="s">
        <v>24</v>
      </c>
      <c r="G592" s="119">
        <v>51</v>
      </c>
      <c r="H592" s="119" t="s">
        <v>166</v>
      </c>
      <c r="I592" s="119" t="s">
        <v>278</v>
      </c>
      <c r="J592" s="237" t="s">
        <v>414</v>
      </c>
      <c r="K592">
        <v>1</v>
      </c>
      <c r="L592">
        <v>136</v>
      </c>
      <c r="M592">
        <v>1317000</v>
      </c>
      <c r="N592">
        <v>0</v>
      </c>
      <c r="O592">
        <v>0</v>
      </c>
      <c r="P592">
        <v>0</v>
      </c>
      <c r="Q592">
        <v>0</v>
      </c>
      <c r="R592">
        <v>0</v>
      </c>
      <c r="T592">
        <f t="shared" si="257"/>
        <v>0</v>
      </c>
      <c r="U592" s="119">
        <f>700000/3</f>
        <v>233333.33333333334</v>
      </c>
      <c r="V592" s="1">
        <v>0</v>
      </c>
      <c r="W592" s="1">
        <v>0</v>
      </c>
      <c r="X592">
        <v>0</v>
      </c>
      <c r="Y592">
        <f t="shared" si="258"/>
        <v>233333.33333333334</v>
      </c>
      <c r="Z592" s="12">
        <f>10%*M592</f>
        <v>131700</v>
      </c>
      <c r="AA592">
        <v>0</v>
      </c>
      <c r="AB592">
        <v>0</v>
      </c>
      <c r="AC592">
        <v>0</v>
      </c>
      <c r="AD592">
        <v>0</v>
      </c>
      <c r="AE592">
        <f t="shared" si="259"/>
        <v>131700</v>
      </c>
      <c r="AF592" s="12">
        <f t="shared" si="260"/>
        <v>-101633.33333333334</v>
      </c>
      <c r="AG59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-101633.33333333334</v>
      </c>
      <c r="AH592">
        <f>IFERROR(AG592/(Z592+Table5[[#This Row],[Rider Penalty (Claim, Other Denda to Riders)]]),0)</f>
        <v>-0.7717033662363959</v>
      </c>
      <c r="AI592" s="12">
        <f t="shared" si="261"/>
        <v>0</v>
      </c>
      <c r="AJ592">
        <f t="shared" si="262"/>
        <v>0</v>
      </c>
    </row>
    <row r="593" spans="1:36" hidden="1">
      <c r="A593">
        <v>2025</v>
      </c>
      <c r="B593" s="179" t="s">
        <v>23</v>
      </c>
      <c r="C593" s="64" t="s">
        <v>23</v>
      </c>
      <c r="D593" t="s">
        <v>168</v>
      </c>
      <c r="E593" t="s">
        <v>28</v>
      </c>
      <c r="F593" t="s">
        <v>28</v>
      </c>
      <c r="G593" s="119">
        <v>51</v>
      </c>
      <c r="H593" s="119" t="s">
        <v>166</v>
      </c>
      <c r="I593" s="119" t="s">
        <v>278</v>
      </c>
      <c r="J593" s="237" t="s">
        <v>414</v>
      </c>
      <c r="K593">
        <v>222</v>
      </c>
      <c r="L593">
        <v>55698</v>
      </c>
      <c r="M593">
        <v>488470000</v>
      </c>
      <c r="N593">
        <v>50225215</v>
      </c>
      <c r="O593">
        <v>60680000</v>
      </c>
      <c r="P593">
        <v>0</v>
      </c>
      <c r="Q593">
        <v>0</v>
      </c>
      <c r="R593">
        <v>0</v>
      </c>
      <c r="T593">
        <f t="shared" ref="T593:T595" si="263">SUM(N593:R593)</f>
        <v>110905215</v>
      </c>
      <c r="U593">
        <v>3825000</v>
      </c>
      <c r="V593" s="76">
        <v>54390000</v>
      </c>
      <c r="W593" s="76">
        <v>0</v>
      </c>
      <c r="X593" s="188">
        <v>289348.17784946243</v>
      </c>
      <c r="Y593">
        <f t="shared" ref="Y593:Y595" si="264">SUM(U593:X593)</f>
        <v>58504348.177849464</v>
      </c>
      <c r="Z593" s="12">
        <f>26%*M593</f>
        <v>127002200</v>
      </c>
      <c r="AA593">
        <v>34250000</v>
      </c>
      <c r="AB593">
        <v>0</v>
      </c>
      <c r="AC593">
        <v>2025000</v>
      </c>
      <c r="AD593">
        <v>0</v>
      </c>
      <c r="AE593">
        <f t="shared" ref="AE593:AE595" si="265">SUM(Z593:AD593)</f>
        <v>163277200</v>
      </c>
      <c r="AF593" s="12">
        <f t="shared" ref="AF593:AF595" si="266">AE593-(T593+Y593)</f>
        <v>-6132363.1778494716</v>
      </c>
      <c r="AG59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11982636.822150538</v>
      </c>
      <c r="AH593">
        <f>IFERROR(AG593/(Z593+Table5[[#This Row],[Rider Penalty (Claim, Other Denda to Riders)]]),0)</f>
        <v>9.4349836633936562E-2</v>
      </c>
      <c r="AI593" s="12">
        <f t="shared" ref="AI593:AI595" si="267">AA593+AB593-V593</f>
        <v>-20140000</v>
      </c>
      <c r="AJ593">
        <f t="shared" ref="AJ593:AJ595" si="268">IFERROR(AI593/(AA593+AB593),0)</f>
        <v>-0.588029197080292</v>
      </c>
    </row>
    <row r="594" spans="1:36" hidden="1">
      <c r="A594">
        <v>2025</v>
      </c>
      <c r="B594" s="179" t="s">
        <v>23</v>
      </c>
      <c r="C594" s="64" t="s">
        <v>172</v>
      </c>
      <c r="D594" t="s">
        <v>168</v>
      </c>
      <c r="E594" t="s">
        <v>28</v>
      </c>
      <c r="F594" t="s">
        <v>28</v>
      </c>
      <c r="G594" s="119">
        <v>51</v>
      </c>
      <c r="H594" s="119" t="s">
        <v>166</v>
      </c>
      <c r="I594" s="119" t="s">
        <v>278</v>
      </c>
      <c r="J594" s="237" t="s">
        <v>414</v>
      </c>
      <c r="K594">
        <v>21</v>
      </c>
      <c r="L594">
        <v>6189</v>
      </c>
      <c r="M594">
        <v>54366000</v>
      </c>
      <c r="N594">
        <v>6109005</v>
      </c>
      <c r="O594">
        <v>6605000</v>
      </c>
      <c r="P594">
        <v>0</v>
      </c>
      <c r="Q594">
        <v>0</v>
      </c>
      <c r="R594">
        <v>0</v>
      </c>
      <c r="T594">
        <f t="shared" si="263"/>
        <v>12714005</v>
      </c>
      <c r="U594">
        <v>900000</v>
      </c>
      <c r="V594" s="76">
        <v>5145000</v>
      </c>
      <c r="W594" s="76">
        <v>0</v>
      </c>
      <c r="X594" s="188">
        <v>286021.50537634408</v>
      </c>
      <c r="Y594">
        <f t="shared" si="264"/>
        <v>6331021.5053763445</v>
      </c>
      <c r="Z594" s="12">
        <f>26%*M594</f>
        <v>14135160</v>
      </c>
      <c r="AA594">
        <v>3100000</v>
      </c>
      <c r="AB594">
        <v>0</v>
      </c>
      <c r="AC594">
        <v>100000</v>
      </c>
      <c r="AD594">
        <v>0</v>
      </c>
      <c r="AE594">
        <f t="shared" si="265"/>
        <v>17335160</v>
      </c>
      <c r="AF594" s="12">
        <f t="shared" si="266"/>
        <v>-1709866.5053763464</v>
      </c>
      <c r="AG59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235133.49462365592</v>
      </c>
      <c r="AH594">
        <f>IFERROR(AG594/(Z594+Table5[[#This Row],[Rider Penalty (Claim, Other Denda to Riders)]]),0)</f>
        <v>1.6634653914328237E-2</v>
      </c>
      <c r="AI594" s="12">
        <f t="shared" si="267"/>
        <v>-2045000</v>
      </c>
      <c r="AJ594">
        <f t="shared" si="268"/>
        <v>-0.6596774193548387</v>
      </c>
    </row>
    <row r="595" spans="1:36" hidden="1">
      <c r="A595">
        <v>2025</v>
      </c>
      <c r="B595" t="s">
        <v>176</v>
      </c>
      <c r="C595" t="s">
        <v>176</v>
      </c>
      <c r="D595" t="s">
        <v>169</v>
      </c>
      <c r="E595" t="s">
        <v>28</v>
      </c>
      <c r="F595" t="s">
        <v>28</v>
      </c>
      <c r="G595" s="119">
        <v>51</v>
      </c>
      <c r="H595" s="119" t="s">
        <v>166</v>
      </c>
      <c r="I595" s="119" t="s">
        <v>278</v>
      </c>
      <c r="J595" s="237" t="s">
        <v>414</v>
      </c>
      <c r="K595">
        <v>11</v>
      </c>
      <c r="L595">
        <v>530</v>
      </c>
      <c r="M595">
        <v>5085000</v>
      </c>
      <c r="N595">
        <v>0</v>
      </c>
      <c r="O595">
        <v>0</v>
      </c>
      <c r="P595">
        <v>0</v>
      </c>
      <c r="Q595">
        <v>0</v>
      </c>
      <c r="R595">
        <v>0</v>
      </c>
      <c r="T595">
        <f t="shared" si="263"/>
        <v>0</v>
      </c>
      <c r="U595">
        <v>0</v>
      </c>
      <c r="V595" s="76">
        <v>0</v>
      </c>
      <c r="W595" s="76">
        <v>0</v>
      </c>
      <c r="X595">
        <v>0</v>
      </c>
      <c r="Y595">
        <f t="shared" si="264"/>
        <v>0</v>
      </c>
      <c r="Z595" s="12">
        <f>7%*M595</f>
        <v>355950.00000000006</v>
      </c>
      <c r="AA595">
        <v>0</v>
      </c>
      <c r="AB595">
        <v>0</v>
      </c>
      <c r="AC595">
        <v>0</v>
      </c>
      <c r="AD595">
        <v>0</v>
      </c>
      <c r="AE595">
        <f t="shared" si="265"/>
        <v>355950.00000000006</v>
      </c>
      <c r="AF595" s="12">
        <f t="shared" si="266"/>
        <v>355950.00000000006</v>
      </c>
      <c r="AG59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355950.00000000006</v>
      </c>
      <c r="AH595">
        <f>IFERROR(AG595/(Z595+Table5[[#This Row],[Rider Penalty (Claim, Other Denda to Riders)]]),0)</f>
        <v>1</v>
      </c>
      <c r="AI595" s="12">
        <f t="shared" si="267"/>
        <v>0</v>
      </c>
      <c r="AJ595">
        <f t="shared" si="268"/>
        <v>0</v>
      </c>
    </row>
    <row r="596" spans="1:36" hidden="1">
      <c r="A596" s="180">
        <v>2025</v>
      </c>
      <c r="B596" s="119" t="s">
        <v>23</v>
      </c>
      <c r="C596" s="119" t="s">
        <v>174</v>
      </c>
      <c r="D596" s="119" t="s">
        <v>168</v>
      </c>
      <c r="E596" s="119" t="s">
        <v>24</v>
      </c>
      <c r="F596" s="119" t="s">
        <v>24</v>
      </c>
      <c r="G596" s="119">
        <v>52</v>
      </c>
      <c r="H596" s="119" t="s">
        <v>166</v>
      </c>
      <c r="I596" s="119" t="s">
        <v>279</v>
      </c>
      <c r="J596" s="237" t="s">
        <v>415</v>
      </c>
      <c r="K596">
        <v>18</v>
      </c>
      <c r="L596">
        <v>2939</v>
      </c>
      <c r="M596">
        <v>26768000</v>
      </c>
      <c r="N596">
        <v>2465220</v>
      </c>
      <c r="O596">
        <v>3375000</v>
      </c>
      <c r="P596">
        <v>0</v>
      </c>
      <c r="Q596">
        <v>0</v>
      </c>
      <c r="R596">
        <v>0</v>
      </c>
      <c r="T596">
        <f t="shared" ref="T596:T600" si="269">SUM(N596:R596)</f>
        <v>5840220</v>
      </c>
      <c r="U596" s="119">
        <f>760000+((700000/3)/2)</f>
        <v>876666.66666666663</v>
      </c>
      <c r="V596" s="76">
        <f>96*35000</f>
        <v>3360000</v>
      </c>
      <c r="W596" s="76">
        <v>0</v>
      </c>
      <c r="X596">
        <v>0</v>
      </c>
      <c r="Y596">
        <f t="shared" ref="Y596:Y600" si="270">SUM(U596:X596)</f>
        <v>4236666.666666667</v>
      </c>
      <c r="Z596" s="12">
        <f>26%*M596</f>
        <v>6959680</v>
      </c>
      <c r="AA596">
        <f>(11*15000)+(97*25000)</f>
        <v>2590000</v>
      </c>
      <c r="AB596">
        <v>0</v>
      </c>
      <c r="AC596">
        <v>0</v>
      </c>
      <c r="AD596">
        <v>0</v>
      </c>
      <c r="AE596">
        <f t="shared" ref="AE596:AE600" si="271">SUM(Z596:AD596)</f>
        <v>9549680</v>
      </c>
      <c r="AF596" s="12">
        <f t="shared" ref="AF596:AF600" si="272">AE596-(T596+Y596)</f>
        <v>-527206.66666666791</v>
      </c>
      <c r="AG59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242793.33333333337</v>
      </c>
      <c r="AH596">
        <f>IFERROR(AG596/(Z596+Table5[[#This Row],[Rider Penalty (Claim, Other Denda to Riders)]]),0)</f>
        <v>3.4885703557251679E-2</v>
      </c>
      <c r="AI596" s="12">
        <f t="shared" ref="AI596:AI600" si="273">AA596+AB596-V596</f>
        <v>-770000</v>
      </c>
      <c r="AJ596">
        <f t="shared" ref="AJ596:AJ600" si="274">IFERROR(AI596/(AA596+AB596),0)</f>
        <v>-0.29729729729729731</v>
      </c>
    </row>
    <row r="597" spans="1:36" hidden="1">
      <c r="A597" s="63">
        <v>2025</v>
      </c>
      <c r="B597" s="64" t="s">
        <v>23</v>
      </c>
      <c r="C597" s="64" t="s">
        <v>173</v>
      </c>
      <c r="D597" s="64" t="s">
        <v>168</v>
      </c>
      <c r="E597" s="64" t="s">
        <v>24</v>
      </c>
      <c r="F597" s="64" t="s">
        <v>282</v>
      </c>
      <c r="G597" s="119">
        <v>52</v>
      </c>
      <c r="H597" s="119" t="s">
        <v>166</v>
      </c>
      <c r="I597" s="119" t="s">
        <v>279</v>
      </c>
      <c r="J597" s="237" t="s">
        <v>415</v>
      </c>
      <c r="K597">
        <v>16</v>
      </c>
      <c r="L597">
        <v>2080</v>
      </c>
      <c r="M597">
        <v>18630000</v>
      </c>
      <c r="N597">
        <v>1386340</v>
      </c>
      <c r="O597">
        <v>2500000</v>
      </c>
      <c r="P597">
        <v>0</v>
      </c>
      <c r="Q597">
        <v>0</v>
      </c>
      <c r="R597">
        <v>0</v>
      </c>
      <c r="T597">
        <f t="shared" si="269"/>
        <v>3886340</v>
      </c>
      <c r="U597">
        <v>0</v>
      </c>
      <c r="V597" s="76">
        <f>77*35000</f>
        <v>2695000</v>
      </c>
      <c r="W597" s="76">
        <v>0</v>
      </c>
      <c r="X597">
        <v>0</v>
      </c>
      <c r="Y597">
        <f t="shared" si="270"/>
        <v>2695000</v>
      </c>
      <c r="Z597" s="12">
        <f>26%*M597</f>
        <v>4843800</v>
      </c>
      <c r="AA597">
        <f>(16*15000)+(74*25000)</f>
        <v>2090000</v>
      </c>
      <c r="AB597">
        <v>0</v>
      </c>
      <c r="AC597">
        <v>0</v>
      </c>
      <c r="AD597">
        <v>0</v>
      </c>
      <c r="AE597">
        <f t="shared" si="271"/>
        <v>6933800</v>
      </c>
      <c r="AF597" s="12">
        <f t="shared" si="272"/>
        <v>352460</v>
      </c>
      <c r="AG59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957460</v>
      </c>
      <c r="AH597">
        <f>IFERROR(AG597/(Z597+Table5[[#This Row],[Rider Penalty (Claim, Other Denda to Riders)]]),0)</f>
        <v>0.19766712085552665</v>
      </c>
      <c r="AI597" s="12">
        <f t="shared" si="273"/>
        <v>-605000</v>
      </c>
      <c r="AJ597">
        <f t="shared" si="274"/>
        <v>-0.28947368421052633</v>
      </c>
    </row>
    <row r="598" spans="1:36" hidden="1">
      <c r="A598" s="180">
        <v>2025</v>
      </c>
      <c r="B598" s="119" t="s">
        <v>23</v>
      </c>
      <c r="C598" s="119" t="s">
        <v>205</v>
      </c>
      <c r="D598" s="119" t="s">
        <v>168</v>
      </c>
      <c r="E598" s="119" t="s">
        <v>24</v>
      </c>
      <c r="F598" s="119" t="s">
        <v>24</v>
      </c>
      <c r="G598" s="119">
        <v>52</v>
      </c>
      <c r="H598" s="119" t="s">
        <v>166</v>
      </c>
      <c r="I598" s="119" t="s">
        <v>279</v>
      </c>
      <c r="J598" s="237" t="s">
        <v>415</v>
      </c>
      <c r="K598">
        <v>12</v>
      </c>
      <c r="L598">
        <v>1299</v>
      </c>
      <c r="M598">
        <v>2785600</v>
      </c>
      <c r="N598">
        <v>0</v>
      </c>
      <c r="O598">
        <v>0</v>
      </c>
      <c r="P598">
        <v>0</v>
      </c>
      <c r="Q598">
        <v>0</v>
      </c>
      <c r="R598">
        <v>0</v>
      </c>
      <c r="T598">
        <f t="shared" si="269"/>
        <v>0</v>
      </c>
      <c r="U598" s="119">
        <f>((700000)/3)/2</f>
        <v>116666.66666666667</v>
      </c>
      <c r="V598" s="76">
        <v>0</v>
      </c>
      <c r="W598" s="76">
        <v>0</v>
      </c>
      <c r="X598">
        <v>0</v>
      </c>
      <c r="Y598">
        <f t="shared" si="270"/>
        <v>116666.66666666667</v>
      </c>
      <c r="Z598" s="12">
        <f>7%*M598</f>
        <v>194992.00000000003</v>
      </c>
      <c r="AA598">
        <v>0</v>
      </c>
      <c r="AB598">
        <v>0</v>
      </c>
      <c r="AC598">
        <v>0</v>
      </c>
      <c r="AD598">
        <v>0</v>
      </c>
      <c r="AE598">
        <f t="shared" si="271"/>
        <v>194992.00000000003</v>
      </c>
      <c r="AF598" s="12">
        <f t="shared" si="272"/>
        <v>78325.333333333358</v>
      </c>
      <c r="AG59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78325.333333333358</v>
      </c>
      <c r="AH598">
        <f>IFERROR(AG598/(Z598+Table5[[#This Row],[Rider Penalty (Claim, Other Denda to Riders)]]),0)</f>
        <v>0.40168485544706112</v>
      </c>
      <c r="AI598" s="12">
        <f t="shared" si="273"/>
        <v>0</v>
      </c>
      <c r="AJ598">
        <f t="shared" si="274"/>
        <v>0</v>
      </c>
    </row>
    <row r="599" spans="1:36" hidden="1">
      <c r="A599" s="63">
        <v>2025</v>
      </c>
      <c r="B599" s="64" t="s">
        <v>177</v>
      </c>
      <c r="C599" s="64" t="s">
        <v>177</v>
      </c>
      <c r="D599" s="64" t="s">
        <v>168</v>
      </c>
      <c r="E599" s="64" t="s">
        <v>24</v>
      </c>
      <c r="F599" s="64" t="s">
        <v>24</v>
      </c>
      <c r="G599" s="119">
        <v>52</v>
      </c>
      <c r="H599" s="119" t="s">
        <v>166</v>
      </c>
      <c r="I599" s="119" t="s">
        <v>279</v>
      </c>
      <c r="J599" s="237" t="s">
        <v>415</v>
      </c>
      <c r="K599">
        <v>1</v>
      </c>
      <c r="L599">
        <v>8</v>
      </c>
      <c r="M599">
        <v>77000</v>
      </c>
      <c r="N599">
        <v>0</v>
      </c>
      <c r="O599">
        <v>25000</v>
      </c>
      <c r="P599">
        <v>0</v>
      </c>
      <c r="Q599">
        <v>0</v>
      </c>
      <c r="R599">
        <v>0</v>
      </c>
      <c r="T599">
        <f t="shared" si="269"/>
        <v>25000</v>
      </c>
      <c r="U599" s="119">
        <f>700000/3</f>
        <v>233333.33333333334</v>
      </c>
      <c r="V599" s="76">
        <v>35000</v>
      </c>
      <c r="W599" s="76">
        <v>0</v>
      </c>
      <c r="X599">
        <v>0</v>
      </c>
      <c r="Y599">
        <f t="shared" si="270"/>
        <v>268333.33333333337</v>
      </c>
      <c r="Z599" s="12">
        <f>30%*M599</f>
        <v>23100</v>
      </c>
      <c r="AA599">
        <v>25000</v>
      </c>
      <c r="AB599">
        <v>0</v>
      </c>
      <c r="AC599">
        <v>0</v>
      </c>
      <c r="AD599">
        <v>0</v>
      </c>
      <c r="AE599">
        <f t="shared" si="271"/>
        <v>48100</v>
      </c>
      <c r="AF599" s="12">
        <f t="shared" si="272"/>
        <v>-245233.33333333337</v>
      </c>
      <c r="AG59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-235233.33333333334</v>
      </c>
      <c r="AH599">
        <f>IFERROR(AG599/(Z599+Table5[[#This Row],[Rider Penalty (Claim, Other Denda to Riders)]]),0)</f>
        <v>-10.183261183261184</v>
      </c>
      <c r="AI599" s="12">
        <f t="shared" si="273"/>
        <v>-10000</v>
      </c>
      <c r="AJ599">
        <f t="shared" si="274"/>
        <v>-0.4</v>
      </c>
    </row>
    <row r="600" spans="1:36" hidden="1">
      <c r="A600" s="238">
        <v>2025</v>
      </c>
      <c r="B600" s="191" t="s">
        <v>202</v>
      </c>
      <c r="C600" s="191" t="s">
        <v>202</v>
      </c>
      <c r="D600" s="191" t="s">
        <v>168</v>
      </c>
      <c r="E600" s="191" t="s">
        <v>24</v>
      </c>
      <c r="F600" s="191" t="s">
        <v>24</v>
      </c>
      <c r="G600" s="119">
        <v>52</v>
      </c>
      <c r="H600" s="191" t="s">
        <v>166</v>
      </c>
      <c r="I600" s="119" t="s">
        <v>279</v>
      </c>
      <c r="J600" s="237" t="s">
        <v>415</v>
      </c>
      <c r="K600">
        <v>1</v>
      </c>
      <c r="L600">
        <v>107</v>
      </c>
      <c r="M600">
        <v>1015000</v>
      </c>
      <c r="N600">
        <v>0</v>
      </c>
      <c r="O600">
        <v>0</v>
      </c>
      <c r="P600">
        <v>0</v>
      </c>
      <c r="Q600">
        <v>0</v>
      </c>
      <c r="R600">
        <v>0</v>
      </c>
      <c r="T600">
        <f t="shared" si="269"/>
        <v>0</v>
      </c>
      <c r="U600" s="119">
        <f>700000/3</f>
        <v>233333.33333333334</v>
      </c>
      <c r="V600" s="76">
        <v>0</v>
      </c>
      <c r="W600" s="76">
        <v>0</v>
      </c>
      <c r="X600">
        <v>0</v>
      </c>
      <c r="Y600">
        <f t="shared" si="270"/>
        <v>233333.33333333334</v>
      </c>
      <c r="Z600" s="12">
        <f>10%*M600</f>
        <v>101500</v>
      </c>
      <c r="AA600">
        <v>0</v>
      </c>
      <c r="AB600">
        <v>0</v>
      </c>
      <c r="AC600">
        <v>0</v>
      </c>
      <c r="AD600">
        <v>0</v>
      </c>
      <c r="AE600">
        <f t="shared" si="271"/>
        <v>101500</v>
      </c>
      <c r="AF600" s="12">
        <f t="shared" si="272"/>
        <v>-131833.33333333334</v>
      </c>
      <c r="AG60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-131833.33333333334</v>
      </c>
      <c r="AH600">
        <f>IFERROR(AG600/(Z600+Table5[[#This Row],[Rider Penalty (Claim, Other Denda to Riders)]]),0)</f>
        <v>-1.2988505747126438</v>
      </c>
      <c r="AI600" s="12">
        <f t="shared" si="273"/>
        <v>0</v>
      </c>
      <c r="AJ600">
        <f t="shared" si="274"/>
        <v>0</v>
      </c>
    </row>
    <row r="601" spans="1:36" hidden="1">
      <c r="A601">
        <v>2025</v>
      </c>
      <c r="B601" s="179" t="s">
        <v>23</v>
      </c>
      <c r="C601" s="64" t="s">
        <v>23</v>
      </c>
      <c r="D601" t="s">
        <v>168</v>
      </c>
      <c r="E601" t="s">
        <v>28</v>
      </c>
      <c r="F601" t="s">
        <v>28</v>
      </c>
      <c r="G601" s="119">
        <v>52</v>
      </c>
      <c r="H601" s="119" t="s">
        <v>166</v>
      </c>
      <c r="I601" s="119" t="s">
        <v>279</v>
      </c>
      <c r="J601" s="237" t="s">
        <v>415</v>
      </c>
      <c r="K601">
        <v>226</v>
      </c>
      <c r="L601">
        <v>63381</v>
      </c>
      <c r="M601">
        <v>555702000</v>
      </c>
      <c r="N601">
        <v>61322310</v>
      </c>
      <c r="O601">
        <f>62540000+530000</f>
        <v>63070000</v>
      </c>
      <c r="P601">
        <v>0</v>
      </c>
      <c r="Q601">
        <v>2200000</v>
      </c>
      <c r="R601">
        <v>1200000</v>
      </c>
      <c r="S601">
        <f>184000+240210</f>
        <v>424210</v>
      </c>
      <c r="T601">
        <f t="shared" ref="T601:T602" si="275">SUM(N601:R601)</f>
        <v>127792310</v>
      </c>
      <c r="U601">
        <v>3625000</v>
      </c>
      <c r="V601" s="76">
        <v>55370000</v>
      </c>
      <c r="W601" s="76"/>
      <c r="X601" s="188">
        <v>289348.17784946243</v>
      </c>
      <c r="Y601">
        <f t="shared" ref="Y601:Y602" si="276">SUM(U601:X601)</f>
        <v>59284348.177849464</v>
      </c>
      <c r="Z601" s="12">
        <f>26%*M601</f>
        <v>144482520</v>
      </c>
      <c r="AA601">
        <f>32925000+2050000</f>
        <v>34975000</v>
      </c>
      <c r="AB601">
        <v>0</v>
      </c>
      <c r="AC601">
        <v>2025000</v>
      </c>
      <c r="AD601">
        <v>0</v>
      </c>
      <c r="AE601">
        <f t="shared" ref="AE601:AE603" si="277">SUM(Z601:AD601)</f>
        <v>181482520</v>
      </c>
      <c r="AF601" s="12">
        <f t="shared" ref="AF601:AF603" si="278">AE601-(T601+Y601)</f>
        <v>-5594138.1778494716</v>
      </c>
      <c r="AG60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12775861.822150538</v>
      </c>
      <c r="AH601">
        <f>IFERROR(AG601/(Z601+Table5[[#This Row],[Rider Penalty (Claim, Other Denda to Riders)]]),0)</f>
        <v>8.842496533248824E-2</v>
      </c>
      <c r="AI601" s="12">
        <f t="shared" ref="AI601:AI603" si="279">AA601+AB601-V601</f>
        <v>-20395000</v>
      </c>
      <c r="AJ601">
        <f t="shared" ref="AJ601:AJ603" si="280">IFERROR(AI601/(AA601+AB601),0)</f>
        <v>-0.58313080771979986</v>
      </c>
    </row>
    <row r="602" spans="1:36" hidden="1">
      <c r="A602">
        <v>2025</v>
      </c>
      <c r="B602" s="179" t="s">
        <v>23</v>
      </c>
      <c r="C602" s="64" t="s">
        <v>172</v>
      </c>
      <c r="D602" t="s">
        <v>168</v>
      </c>
      <c r="E602" t="s">
        <v>28</v>
      </c>
      <c r="F602" t="s">
        <v>28</v>
      </c>
      <c r="G602" s="119">
        <v>52</v>
      </c>
      <c r="H602" s="119" t="s">
        <v>166</v>
      </c>
      <c r="I602" s="119" t="s">
        <v>279</v>
      </c>
      <c r="J602" s="237" t="s">
        <v>415</v>
      </c>
      <c r="K602">
        <v>23</v>
      </c>
      <c r="L602">
        <v>6463</v>
      </c>
      <c r="M602">
        <v>56926000</v>
      </c>
      <c r="N602">
        <v>6254690</v>
      </c>
      <c r="O602">
        <f>6885000+70000</f>
        <v>6955000</v>
      </c>
      <c r="P602">
        <v>0</v>
      </c>
      <c r="Q602">
        <v>200000</v>
      </c>
      <c r="R602">
        <v>200000</v>
      </c>
      <c r="T602">
        <f t="shared" si="275"/>
        <v>13609690</v>
      </c>
      <c r="U602">
        <v>900000</v>
      </c>
      <c r="V602" s="76">
        <v>5635000</v>
      </c>
      <c r="W602" s="76"/>
      <c r="X602" s="188">
        <v>286021.50537634408</v>
      </c>
      <c r="Y602">
        <f t="shared" si="276"/>
        <v>6821021.5053763445</v>
      </c>
      <c r="Z602" s="12">
        <f>26%*M602</f>
        <v>14800760</v>
      </c>
      <c r="AA602">
        <f>125000+3250000</f>
        <v>3375000</v>
      </c>
      <c r="AB602">
        <v>0</v>
      </c>
      <c r="AC602">
        <v>150000</v>
      </c>
      <c r="AD602">
        <v>0</v>
      </c>
      <c r="AE602">
        <f t="shared" si="277"/>
        <v>18325760</v>
      </c>
      <c r="AF602" s="12">
        <f t="shared" si="278"/>
        <v>-2104951.5053763464</v>
      </c>
      <c r="AG60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5048.494623655919</v>
      </c>
      <c r="AH602">
        <f>IFERROR(AG602/(Z602+Table5[[#This Row],[Rider Penalty (Claim, Other Denda to Riders)]]),0)</f>
        <v>3.4109698580720983E-4</v>
      </c>
      <c r="AI602" s="12">
        <f t="shared" si="279"/>
        <v>-2260000</v>
      </c>
      <c r="AJ602">
        <f t="shared" si="280"/>
        <v>-0.66962962962962957</v>
      </c>
    </row>
    <row r="603" spans="1:36" hidden="1">
      <c r="A603">
        <v>2025</v>
      </c>
      <c r="B603" t="s">
        <v>176</v>
      </c>
      <c r="C603" t="s">
        <v>176</v>
      </c>
      <c r="D603" t="s">
        <v>169</v>
      </c>
      <c r="E603" t="s">
        <v>28</v>
      </c>
      <c r="F603" t="s">
        <v>28</v>
      </c>
      <c r="G603" s="119">
        <v>52</v>
      </c>
      <c r="H603" s="119" t="s">
        <v>166</v>
      </c>
      <c r="I603" s="119" t="s">
        <v>279</v>
      </c>
      <c r="J603" s="237" t="s">
        <v>415</v>
      </c>
      <c r="K603">
        <v>11</v>
      </c>
      <c r="L603">
        <v>545</v>
      </c>
      <c r="M603">
        <v>5231000</v>
      </c>
      <c r="N603">
        <v>0</v>
      </c>
      <c r="O603">
        <v>0</v>
      </c>
      <c r="P603">
        <v>0</v>
      </c>
      <c r="Q603">
        <v>0</v>
      </c>
      <c r="R603">
        <v>0</v>
      </c>
      <c r="T603">
        <v>0</v>
      </c>
      <c r="U603">
        <v>0</v>
      </c>
      <c r="V603" s="76">
        <v>0</v>
      </c>
      <c r="W603" s="76">
        <v>0</v>
      </c>
      <c r="X603">
        <v>0</v>
      </c>
      <c r="Y603">
        <v>0</v>
      </c>
      <c r="Z603" s="12">
        <f>7%*M603</f>
        <v>366170.00000000006</v>
      </c>
      <c r="AA603">
        <v>0</v>
      </c>
      <c r="AB603">
        <v>0</v>
      </c>
      <c r="AC603">
        <v>0</v>
      </c>
      <c r="AD603">
        <v>0</v>
      </c>
      <c r="AE603">
        <f t="shared" si="277"/>
        <v>366170.00000000006</v>
      </c>
      <c r="AF603" s="12">
        <f t="shared" si="278"/>
        <v>366170.00000000006</v>
      </c>
      <c r="AG60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366170.00000000006</v>
      </c>
      <c r="AH603">
        <f>IFERROR(AG603/(Z603+Table5[[#This Row],[Rider Penalty (Claim, Other Denda to Riders)]]),0)</f>
        <v>1</v>
      </c>
      <c r="AI603" s="12">
        <f t="shared" si="279"/>
        <v>0</v>
      </c>
      <c r="AJ603">
        <f t="shared" si="280"/>
        <v>0</v>
      </c>
    </row>
    <row r="604" spans="1:36" hidden="1">
      <c r="A604">
        <v>2025</v>
      </c>
      <c r="B604" t="s">
        <v>204</v>
      </c>
      <c r="C604" t="s">
        <v>204</v>
      </c>
      <c r="D604" t="s">
        <v>169</v>
      </c>
      <c r="E604" t="s">
        <v>28</v>
      </c>
      <c r="F604" t="s">
        <v>28</v>
      </c>
      <c r="G604" s="119">
        <v>51</v>
      </c>
      <c r="H604" s="119" t="s">
        <v>166</v>
      </c>
      <c r="I604" s="119" t="s">
        <v>278</v>
      </c>
      <c r="J604" s="237" t="s">
        <v>414</v>
      </c>
      <c r="K604" s="237">
        <v>3</v>
      </c>
      <c r="L604">
        <v>56</v>
      </c>
      <c r="M604">
        <v>516000</v>
      </c>
      <c r="N604">
        <v>15480</v>
      </c>
      <c r="O604">
        <v>200000</v>
      </c>
      <c r="P604">
        <v>0</v>
      </c>
      <c r="Q604">
        <v>0</v>
      </c>
      <c r="R604">
        <v>0</v>
      </c>
      <c r="T604">
        <f t="shared" ref="T604:T605" si="281">SUM(N604:R604)</f>
        <v>215480</v>
      </c>
      <c r="U604">
        <v>0</v>
      </c>
      <c r="V604" s="1">
        <v>0</v>
      </c>
      <c r="W604" s="1">
        <v>0</v>
      </c>
      <c r="X604">
        <v>0</v>
      </c>
      <c r="Y604">
        <f t="shared" ref="Y604" si="282">SUM(U604:X604)</f>
        <v>0</v>
      </c>
      <c r="Z604" s="12">
        <f>30%*M604</f>
        <v>154800</v>
      </c>
      <c r="AA604">
        <v>0</v>
      </c>
      <c r="AB604">
        <v>0</v>
      </c>
      <c r="AC604">
        <v>0</v>
      </c>
      <c r="AD604">
        <v>0</v>
      </c>
      <c r="AE604">
        <f t="shared" ref="AE604:AE605" si="283">SUM(Z604:AD604)</f>
        <v>154800</v>
      </c>
      <c r="AF604" s="12">
        <f t="shared" ref="AF604:AF605" si="284">AE604-(T604+Y604)</f>
        <v>-60680</v>
      </c>
      <c r="AG60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-60680</v>
      </c>
      <c r="AH604">
        <f>IFERROR(AG604/(Z604+Table5[[#This Row],[Rider Penalty (Claim, Other Denda to Riders)]]),0)</f>
        <v>-0.39198966408268732</v>
      </c>
      <c r="AI604" s="12">
        <f t="shared" ref="AI604:AI605" si="285">AA604+AB604-V604</f>
        <v>0</v>
      </c>
      <c r="AJ604">
        <f t="shared" ref="AJ604:AJ605" si="286">IFERROR(AI604/(AA604+AB604),0)</f>
        <v>0</v>
      </c>
    </row>
    <row r="605" spans="1:36" hidden="1">
      <c r="A605">
        <v>2025</v>
      </c>
      <c r="B605" t="s">
        <v>204</v>
      </c>
      <c r="C605" t="s">
        <v>204</v>
      </c>
      <c r="D605" t="s">
        <v>169</v>
      </c>
      <c r="E605" t="s">
        <v>28</v>
      </c>
      <c r="F605" t="s">
        <v>28</v>
      </c>
      <c r="G605" s="119">
        <v>52</v>
      </c>
      <c r="H605" s="119" t="s">
        <v>166</v>
      </c>
      <c r="I605" s="119" t="s">
        <v>279</v>
      </c>
      <c r="J605" s="237" t="s">
        <v>415</v>
      </c>
      <c r="K605">
        <v>3</v>
      </c>
      <c r="L605">
        <v>143</v>
      </c>
      <c r="M605">
        <v>1224000</v>
      </c>
      <c r="N605">
        <v>36720</v>
      </c>
      <c r="O605">
        <f>350000+300000</f>
        <v>650000</v>
      </c>
      <c r="T605">
        <f t="shared" si="281"/>
        <v>686720</v>
      </c>
      <c r="U605">
        <v>0</v>
      </c>
      <c r="V605" s="1">
        <v>0</v>
      </c>
      <c r="W605" s="1">
        <v>0</v>
      </c>
      <c r="X605">
        <v>0</v>
      </c>
      <c r="Y605">
        <v>0</v>
      </c>
      <c r="Z605" s="12">
        <f>30%*M605</f>
        <v>367200</v>
      </c>
      <c r="AA605">
        <v>0</v>
      </c>
      <c r="AB605">
        <v>0</v>
      </c>
      <c r="AC605">
        <v>0</v>
      </c>
      <c r="AD605">
        <v>0</v>
      </c>
      <c r="AE605">
        <f t="shared" si="283"/>
        <v>367200</v>
      </c>
      <c r="AF605" s="12">
        <f t="shared" si="284"/>
        <v>-319520</v>
      </c>
      <c r="AG60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-319520</v>
      </c>
      <c r="AH605">
        <f>IFERROR(AG605/(Z605+Table5[[#This Row],[Rider Penalty (Claim, Other Denda to Riders)]]),0)</f>
        <v>-0.87015250544662315</v>
      </c>
      <c r="AI605" s="12">
        <f t="shared" si="285"/>
        <v>0</v>
      </c>
      <c r="AJ605">
        <f t="shared" si="286"/>
        <v>0</v>
      </c>
    </row>
    <row r="606" spans="1:36" hidden="1">
      <c r="A606" s="180">
        <v>2025</v>
      </c>
      <c r="B606" s="119" t="s">
        <v>23</v>
      </c>
      <c r="C606" s="119" t="s">
        <v>174</v>
      </c>
      <c r="D606" s="119" t="s">
        <v>168</v>
      </c>
      <c r="E606" s="119" t="s">
        <v>24</v>
      </c>
      <c r="F606" s="119" t="s">
        <v>24</v>
      </c>
      <c r="G606" s="119">
        <v>12026</v>
      </c>
      <c r="H606" s="119" t="s">
        <v>166</v>
      </c>
      <c r="I606" s="119" t="s">
        <v>280</v>
      </c>
      <c r="J606" s="237" t="s">
        <v>416</v>
      </c>
      <c r="K606">
        <v>18</v>
      </c>
      <c r="L606">
        <v>1706</v>
      </c>
      <c r="M606">
        <v>15574000</v>
      </c>
      <c r="N606">
        <v>1579160</v>
      </c>
      <c r="O606">
        <v>1625000</v>
      </c>
      <c r="P606">
        <v>0</v>
      </c>
      <c r="Q606">
        <v>0</v>
      </c>
      <c r="R606">
        <v>0</v>
      </c>
      <c r="T606">
        <f t="shared" ref="T606:T608" si="287">SUM(N606:R606)</f>
        <v>3204160</v>
      </c>
      <c r="U606" s="119">
        <f>300000+((300000/2)/2)</f>
        <v>375000</v>
      </c>
      <c r="V606" s="76">
        <f>49*35000</f>
        <v>1715000</v>
      </c>
      <c r="W606" s="76">
        <v>0</v>
      </c>
      <c r="X606">
        <v>0</v>
      </c>
      <c r="Y606">
        <f t="shared" ref="Y606:Y608" si="288">SUM(U606:X606)</f>
        <v>2090000</v>
      </c>
      <c r="Z606" s="12">
        <f>26%*M606</f>
        <v>4049240</v>
      </c>
      <c r="AA606">
        <f>49*25000</f>
        <v>1225000</v>
      </c>
      <c r="AB606">
        <v>0</v>
      </c>
      <c r="AC606">
        <v>0</v>
      </c>
      <c r="AD606">
        <v>0</v>
      </c>
      <c r="AE606">
        <f t="shared" ref="AE606:AE608" si="289">SUM(Z606:AD606)</f>
        <v>5274240</v>
      </c>
      <c r="AF606" s="12">
        <f t="shared" ref="AF606:AF608" si="290">AE606-(T606+Y606)</f>
        <v>-19920</v>
      </c>
      <c r="AG60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470080</v>
      </c>
      <c r="AH606">
        <f>IFERROR(AG606/(Z606+Table5[[#This Row],[Rider Penalty (Claim, Other Denda to Riders)]]),0)</f>
        <v>0.11609092076537819</v>
      </c>
      <c r="AI606" s="12">
        <f t="shared" ref="AI606:AI608" si="291">AA606+AB606-V606</f>
        <v>-490000</v>
      </c>
      <c r="AJ606">
        <f t="shared" ref="AJ606:AJ608" si="292">IFERROR(AI606/(AA606+AB606),0)</f>
        <v>-0.4</v>
      </c>
    </row>
    <row r="607" spans="1:36" hidden="1">
      <c r="A607" s="63">
        <v>2025</v>
      </c>
      <c r="B607" s="64" t="s">
        <v>23</v>
      </c>
      <c r="C607" s="64" t="s">
        <v>173</v>
      </c>
      <c r="D607" s="64" t="s">
        <v>168</v>
      </c>
      <c r="E607" s="64" t="s">
        <v>24</v>
      </c>
      <c r="F607" s="64" t="s">
        <v>282</v>
      </c>
      <c r="G607" s="119">
        <v>12026</v>
      </c>
      <c r="H607" s="119" t="s">
        <v>166</v>
      </c>
      <c r="I607" s="119" t="s">
        <v>280</v>
      </c>
      <c r="J607" s="237" t="s">
        <v>416</v>
      </c>
      <c r="K607">
        <v>13</v>
      </c>
      <c r="L607">
        <v>901</v>
      </c>
      <c r="M607">
        <v>8120000</v>
      </c>
      <c r="N607">
        <v>722400</v>
      </c>
      <c r="O607">
        <v>925000</v>
      </c>
      <c r="P607">
        <v>0</v>
      </c>
      <c r="Q607">
        <v>0</v>
      </c>
      <c r="R607">
        <v>0</v>
      </c>
      <c r="T607">
        <f t="shared" si="287"/>
        <v>1647400</v>
      </c>
      <c r="U607">
        <v>0</v>
      </c>
      <c r="V607" s="76">
        <f>29*35000</f>
        <v>1015000</v>
      </c>
      <c r="W607" s="76">
        <v>0</v>
      </c>
      <c r="X607">
        <v>0</v>
      </c>
      <c r="Y607">
        <f t="shared" si="288"/>
        <v>1015000</v>
      </c>
      <c r="Z607" s="12">
        <f>26%*M607</f>
        <v>2111200</v>
      </c>
      <c r="AA607">
        <f>29*35000</f>
        <v>1015000</v>
      </c>
      <c r="AB607">
        <v>0</v>
      </c>
      <c r="AC607">
        <v>0</v>
      </c>
      <c r="AD607">
        <v>0</v>
      </c>
      <c r="AE607">
        <f t="shared" si="289"/>
        <v>3126200</v>
      </c>
      <c r="AF607" s="12">
        <f t="shared" si="290"/>
        <v>463800</v>
      </c>
      <c r="AG60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463800</v>
      </c>
      <c r="AH607">
        <f>IFERROR(AG607/(Z607+Table5[[#This Row],[Rider Penalty (Claim, Other Denda to Riders)]]),0)</f>
        <v>0.21968548692686624</v>
      </c>
      <c r="AI607" s="12">
        <f t="shared" si="291"/>
        <v>0</v>
      </c>
      <c r="AJ607">
        <f t="shared" si="292"/>
        <v>0</v>
      </c>
    </row>
    <row r="608" spans="1:36" hidden="1">
      <c r="A608" s="238">
        <v>2025</v>
      </c>
      <c r="B608" s="191" t="s">
        <v>23</v>
      </c>
      <c r="C608" s="191" t="s">
        <v>205</v>
      </c>
      <c r="D608" s="191" t="s">
        <v>168</v>
      </c>
      <c r="E608" s="191" t="s">
        <v>24</v>
      </c>
      <c r="F608" s="191" t="s">
        <v>24</v>
      </c>
      <c r="G608" s="119">
        <v>12026</v>
      </c>
      <c r="H608" s="119" t="s">
        <v>166</v>
      </c>
      <c r="I608" s="119" t="s">
        <v>280</v>
      </c>
      <c r="J608" s="237" t="s">
        <v>416</v>
      </c>
      <c r="K608">
        <v>7</v>
      </c>
      <c r="L608">
        <v>536</v>
      </c>
      <c r="M608">
        <f>970200+150000</f>
        <v>1120200</v>
      </c>
      <c r="N608">
        <v>0</v>
      </c>
      <c r="O608">
        <v>0</v>
      </c>
      <c r="P608">
        <v>0</v>
      </c>
      <c r="Q608">
        <v>0</v>
      </c>
      <c r="R608">
        <v>0</v>
      </c>
      <c r="T608">
        <f t="shared" si="287"/>
        <v>0</v>
      </c>
      <c r="U608" s="119">
        <f>(300000/2)/2</f>
        <v>75000</v>
      </c>
      <c r="V608" s="76">
        <v>0</v>
      </c>
      <c r="W608" s="76">
        <v>0</v>
      </c>
      <c r="X608">
        <v>0</v>
      </c>
      <c r="Y608">
        <f t="shared" si="288"/>
        <v>75000</v>
      </c>
      <c r="Z608" s="12">
        <f>10%*M608</f>
        <v>112020</v>
      </c>
      <c r="AA608">
        <v>0</v>
      </c>
      <c r="AB608">
        <v>0</v>
      </c>
      <c r="AC608">
        <v>0</v>
      </c>
      <c r="AD608">
        <v>0</v>
      </c>
      <c r="AE608">
        <f t="shared" si="289"/>
        <v>112020</v>
      </c>
      <c r="AF608" s="12">
        <f t="shared" si="290"/>
        <v>37020</v>
      </c>
      <c r="AG60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37020</v>
      </c>
      <c r="AH608">
        <f>IFERROR(AG608/(Z608+Table5[[#This Row],[Rider Penalty (Claim, Other Denda to Riders)]]),0)</f>
        <v>0.33047670058918049</v>
      </c>
      <c r="AI608" s="12">
        <f t="shared" si="291"/>
        <v>0</v>
      </c>
      <c r="AJ608">
        <f t="shared" si="292"/>
        <v>0</v>
      </c>
    </row>
    <row r="609" spans="1:36" hidden="1">
      <c r="A609" s="238">
        <v>2025</v>
      </c>
      <c r="B609" s="191" t="s">
        <v>202</v>
      </c>
      <c r="C609" s="191" t="s">
        <v>202</v>
      </c>
      <c r="D609" s="191" t="s">
        <v>168</v>
      </c>
      <c r="E609" s="191" t="s">
        <v>24</v>
      </c>
      <c r="F609" s="191" t="s">
        <v>24</v>
      </c>
      <c r="G609" s="119">
        <v>12026</v>
      </c>
      <c r="H609" s="119" t="s">
        <v>166</v>
      </c>
      <c r="I609" s="119" t="s">
        <v>280</v>
      </c>
      <c r="J609" s="237" t="s">
        <v>416</v>
      </c>
      <c r="K609">
        <v>1</v>
      </c>
      <c r="L609">
        <v>56</v>
      </c>
      <c r="M609">
        <v>532000</v>
      </c>
      <c r="N609">
        <v>0</v>
      </c>
      <c r="O609">
        <v>0</v>
      </c>
      <c r="P609">
        <v>0</v>
      </c>
      <c r="Q609">
        <v>0</v>
      </c>
      <c r="R609">
        <v>0</v>
      </c>
      <c r="T609">
        <f>SUM(N609:R609)</f>
        <v>0</v>
      </c>
      <c r="U609" s="119">
        <f>(300000/2)</f>
        <v>150000</v>
      </c>
      <c r="V609" s="76">
        <v>0</v>
      </c>
      <c r="W609" s="76">
        <v>0</v>
      </c>
      <c r="X609">
        <v>0</v>
      </c>
      <c r="Y609">
        <f>SUM(U609:X609)</f>
        <v>150000</v>
      </c>
      <c r="Z609" s="12">
        <f>10%*M609</f>
        <v>53200</v>
      </c>
      <c r="AA609">
        <v>0</v>
      </c>
      <c r="AB609">
        <v>0</v>
      </c>
      <c r="AC609">
        <v>0</v>
      </c>
      <c r="AD609">
        <v>0</v>
      </c>
      <c r="AE609">
        <f>SUM(Z609:AD609)</f>
        <v>53200</v>
      </c>
      <c r="AF609" s="12">
        <f>AE609-(T609+Y609)</f>
        <v>-96800</v>
      </c>
      <c r="AG60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-96800</v>
      </c>
      <c r="AH609">
        <f>IFERROR(AG609/(Z609+Table5[[#This Row],[Rider Penalty (Claim, Other Denda to Riders)]]),0)</f>
        <v>-1.8195488721804511</v>
      </c>
      <c r="AI609" s="12">
        <f>AA609+AB609-V609</f>
        <v>0</v>
      </c>
      <c r="AJ609">
        <f>IFERROR(AI609/(AA609+AB609),0)</f>
        <v>0</v>
      </c>
    </row>
    <row r="610" spans="1:36">
      <c r="A610" s="180">
        <v>2026</v>
      </c>
      <c r="B610" s="119" t="s">
        <v>23</v>
      </c>
      <c r="C610" s="119" t="s">
        <v>174</v>
      </c>
      <c r="D610" s="119" t="s">
        <v>168</v>
      </c>
      <c r="E610" s="119" t="s">
        <v>24</v>
      </c>
      <c r="F610" s="119" t="s">
        <v>24</v>
      </c>
      <c r="G610" s="119">
        <v>12026</v>
      </c>
      <c r="H610" s="119" t="s">
        <v>21</v>
      </c>
      <c r="I610" s="119" t="s">
        <v>275</v>
      </c>
      <c r="J610" s="237" t="s">
        <v>302</v>
      </c>
      <c r="K610">
        <v>18</v>
      </c>
      <c r="L610">
        <v>1727</v>
      </c>
      <c r="M610">
        <v>15786000</v>
      </c>
      <c r="N610">
        <v>1631320</v>
      </c>
      <c r="O610">
        <v>1725000</v>
      </c>
      <c r="P610">
        <v>0</v>
      </c>
      <c r="Q610">
        <v>0</v>
      </c>
      <c r="R610">
        <v>0</v>
      </c>
      <c r="T610">
        <f t="shared" ref="T610:T613" si="293">SUM(N610:R610)</f>
        <v>3356320</v>
      </c>
      <c r="U610">
        <f>300000+((400000/2)/2)</f>
        <v>400000</v>
      </c>
      <c r="V610" s="76">
        <f>51*35000</f>
        <v>1785000</v>
      </c>
      <c r="W610" s="76">
        <v>0</v>
      </c>
      <c r="X610">
        <v>0</v>
      </c>
      <c r="Y610">
        <f t="shared" ref="Y610:Y613" si="294">SUM(U610:X610)</f>
        <v>2185000</v>
      </c>
      <c r="Z610" s="12">
        <f>26%*M610</f>
        <v>4104360</v>
      </c>
      <c r="AA610">
        <f>62*25000</f>
        <v>1550000</v>
      </c>
      <c r="AB610">
        <v>0</v>
      </c>
      <c r="AC610">
        <v>0</v>
      </c>
      <c r="AD610">
        <v>0</v>
      </c>
      <c r="AE610">
        <f t="shared" ref="AE610:AE613" si="295">SUM(Z610:AD610)</f>
        <v>5654360</v>
      </c>
      <c r="AF610" s="12">
        <f t="shared" ref="AF610:AF613" si="296">AE610-(T610+Y610)</f>
        <v>113040</v>
      </c>
      <c r="AG61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348040</v>
      </c>
      <c r="AH610">
        <f>IFERROR(AG610/(Z610+Table5[[#This Row],[Rider Penalty (Claim, Other Denda to Riders)]]),0)</f>
        <v>8.4797629837538621E-2</v>
      </c>
      <c r="AI610" s="12">
        <f t="shared" ref="AI610:AI613" si="297">AA610+AB610-V610</f>
        <v>-235000</v>
      </c>
      <c r="AJ610">
        <f t="shared" ref="AJ610:AJ613" si="298">IFERROR(AI610/(AA610+AB610),0)</f>
        <v>-0.15161290322580645</v>
      </c>
    </row>
    <row r="611" spans="1:36">
      <c r="A611" s="180">
        <v>2026</v>
      </c>
      <c r="B611" s="64" t="s">
        <v>23</v>
      </c>
      <c r="C611" s="64" t="s">
        <v>173</v>
      </c>
      <c r="D611" s="64" t="s">
        <v>168</v>
      </c>
      <c r="E611" s="64" t="s">
        <v>24</v>
      </c>
      <c r="F611" s="64" t="s">
        <v>282</v>
      </c>
      <c r="G611" s="119">
        <v>12026</v>
      </c>
      <c r="H611" s="119" t="s">
        <v>21</v>
      </c>
      <c r="I611" s="119" t="s">
        <v>275</v>
      </c>
      <c r="J611" s="237" t="s">
        <v>302</v>
      </c>
      <c r="K611">
        <v>11</v>
      </c>
      <c r="L611">
        <v>1307</v>
      </c>
      <c r="M611">
        <v>11654000</v>
      </c>
      <c r="N611">
        <v>1048400</v>
      </c>
      <c r="O611">
        <v>1325000</v>
      </c>
      <c r="P611">
        <v>0</v>
      </c>
      <c r="Q611">
        <v>0</v>
      </c>
      <c r="R611">
        <v>0</v>
      </c>
      <c r="T611">
        <f t="shared" si="293"/>
        <v>2373400</v>
      </c>
      <c r="U611">
        <v>0</v>
      </c>
      <c r="V611" s="76">
        <f>37*35000</f>
        <v>1295000</v>
      </c>
      <c r="W611" s="76">
        <v>0</v>
      </c>
      <c r="X611">
        <v>0</v>
      </c>
      <c r="Y611">
        <f t="shared" si="294"/>
        <v>1295000</v>
      </c>
      <c r="Z611" s="12">
        <f>26%*M611</f>
        <v>3030040</v>
      </c>
      <c r="AA611">
        <f>49*25000</f>
        <v>1225000</v>
      </c>
      <c r="AB611">
        <v>0</v>
      </c>
      <c r="AC611">
        <v>0</v>
      </c>
      <c r="AD611">
        <v>0</v>
      </c>
      <c r="AE611">
        <f t="shared" si="295"/>
        <v>4255040</v>
      </c>
      <c r="AF611" s="12">
        <f t="shared" si="296"/>
        <v>586640</v>
      </c>
      <c r="AG61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656640</v>
      </c>
      <c r="AH611">
        <f>IFERROR(AG611/(Z611+Table5[[#This Row],[Rider Penalty (Claim, Other Denda to Riders)]]),0)</f>
        <v>0.21671001042890523</v>
      </c>
      <c r="AI611" s="12">
        <f t="shared" si="297"/>
        <v>-70000</v>
      </c>
      <c r="AJ611">
        <f t="shared" si="298"/>
        <v>-5.7142857142857141E-2</v>
      </c>
    </row>
    <row r="612" spans="1:36">
      <c r="A612" s="180">
        <v>2026</v>
      </c>
      <c r="B612" s="119" t="s">
        <v>23</v>
      </c>
      <c r="C612" s="119" t="s">
        <v>205</v>
      </c>
      <c r="D612" s="119" t="s">
        <v>168</v>
      </c>
      <c r="E612" s="119" t="s">
        <v>24</v>
      </c>
      <c r="F612" s="119" t="s">
        <v>24</v>
      </c>
      <c r="G612" s="119">
        <v>12026</v>
      </c>
      <c r="H612" s="119" t="s">
        <v>21</v>
      </c>
      <c r="I612" s="119" t="s">
        <v>275</v>
      </c>
      <c r="J612" s="237" t="s">
        <v>302</v>
      </c>
      <c r="K612">
        <v>5</v>
      </c>
      <c r="L612">
        <v>654</v>
      </c>
      <c r="M612">
        <f>1046900+150000</f>
        <v>1196900</v>
      </c>
      <c r="N612">
        <v>0</v>
      </c>
      <c r="O612">
        <v>0</v>
      </c>
      <c r="P612">
        <v>0</v>
      </c>
      <c r="Q612">
        <v>0</v>
      </c>
      <c r="R612">
        <v>0</v>
      </c>
      <c r="T612">
        <f t="shared" si="293"/>
        <v>0</v>
      </c>
      <c r="U612" s="119">
        <f>(400000/2)/2</f>
        <v>100000</v>
      </c>
      <c r="V612" s="76">
        <v>0</v>
      </c>
      <c r="W612" s="76">
        <v>0</v>
      </c>
      <c r="X612">
        <v>0</v>
      </c>
      <c r="Y612">
        <f t="shared" si="294"/>
        <v>100000</v>
      </c>
      <c r="Z612" s="12">
        <f>10%*M612</f>
        <v>119690</v>
      </c>
      <c r="AA612">
        <v>0</v>
      </c>
      <c r="AB612">
        <v>0</v>
      </c>
      <c r="AC612">
        <v>0</v>
      </c>
      <c r="AD612">
        <v>0</v>
      </c>
      <c r="AE612">
        <f t="shared" si="295"/>
        <v>119690</v>
      </c>
      <c r="AF612" s="12">
        <f t="shared" si="296"/>
        <v>19690</v>
      </c>
      <c r="AG6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19690</v>
      </c>
      <c r="AH612">
        <f>IFERROR(AG612/(Z612+Table5[[#This Row],[Rider Penalty (Claim, Other Denda to Riders)]]),0)</f>
        <v>0.16450831314228423</v>
      </c>
      <c r="AI612" s="12">
        <f t="shared" si="297"/>
        <v>0</v>
      </c>
      <c r="AJ612">
        <f t="shared" si="298"/>
        <v>0</v>
      </c>
    </row>
    <row r="613" spans="1:36">
      <c r="A613" s="180">
        <v>2026</v>
      </c>
      <c r="B613" s="191" t="s">
        <v>202</v>
      </c>
      <c r="C613" s="191" t="s">
        <v>202</v>
      </c>
      <c r="D613" s="191" t="s">
        <v>168</v>
      </c>
      <c r="E613" s="191" t="s">
        <v>24</v>
      </c>
      <c r="F613" s="191" t="s">
        <v>24</v>
      </c>
      <c r="G613" s="119">
        <v>12026</v>
      </c>
      <c r="H613" s="119" t="s">
        <v>21</v>
      </c>
      <c r="I613" s="119" t="s">
        <v>275</v>
      </c>
      <c r="J613" s="237" t="s">
        <v>302</v>
      </c>
      <c r="K613">
        <v>1</v>
      </c>
      <c r="L613">
        <v>88</v>
      </c>
      <c r="M613">
        <v>841000</v>
      </c>
      <c r="N613">
        <v>0</v>
      </c>
      <c r="O613">
        <v>0</v>
      </c>
      <c r="P613">
        <v>0</v>
      </c>
      <c r="Q613">
        <v>0</v>
      </c>
      <c r="R613">
        <v>0</v>
      </c>
      <c r="T613">
        <f t="shared" si="293"/>
        <v>0</v>
      </c>
      <c r="U613" s="119">
        <f>(400000/2)</f>
        <v>200000</v>
      </c>
      <c r="V613" s="76">
        <v>0</v>
      </c>
      <c r="W613" s="76">
        <v>0</v>
      </c>
      <c r="X613">
        <v>0</v>
      </c>
      <c r="Y613">
        <f t="shared" si="294"/>
        <v>200000</v>
      </c>
      <c r="Z613" s="12">
        <f>10%*M613</f>
        <v>84100</v>
      </c>
      <c r="AA613">
        <v>0</v>
      </c>
      <c r="AB613">
        <v>0</v>
      </c>
      <c r="AC613">
        <v>0</v>
      </c>
      <c r="AD613">
        <v>0</v>
      </c>
      <c r="AE613">
        <f t="shared" si="295"/>
        <v>84100</v>
      </c>
      <c r="AF613" s="12">
        <f t="shared" si="296"/>
        <v>-115900</v>
      </c>
      <c r="AG61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-115900</v>
      </c>
      <c r="AH613">
        <f>IFERROR(AG613/(Z613+Table5[[#This Row],[Rider Penalty (Claim, Other Denda to Riders)]]),0)</f>
        <v>-1.3781212841854935</v>
      </c>
      <c r="AI613" s="12">
        <f t="shared" si="297"/>
        <v>0</v>
      </c>
      <c r="AJ613">
        <f t="shared" si="298"/>
        <v>0</v>
      </c>
    </row>
    <row r="614" spans="1:36" hidden="1">
      <c r="A614">
        <v>2025</v>
      </c>
      <c r="B614" s="179" t="s">
        <v>23</v>
      </c>
      <c r="C614" s="64" t="s">
        <v>23</v>
      </c>
      <c r="D614" t="s">
        <v>168</v>
      </c>
      <c r="E614" t="s">
        <v>28</v>
      </c>
      <c r="F614" t="s">
        <v>28</v>
      </c>
      <c r="G614" s="119">
        <v>12026</v>
      </c>
      <c r="H614" s="119" t="s">
        <v>166</v>
      </c>
      <c r="I614" s="119" t="s">
        <v>280</v>
      </c>
      <c r="J614" s="237" t="s">
        <v>416</v>
      </c>
      <c r="K614">
        <v>215</v>
      </c>
      <c r="L614">
        <v>25858</v>
      </c>
      <c r="M614">
        <v>226562000</v>
      </c>
      <c r="N614">
        <f>58393020*3/7</f>
        <v>25025580</v>
      </c>
      <c r="O614">
        <f>3/7*(60370000+280000)</f>
        <v>25992857.142857142</v>
      </c>
      <c r="P614">
        <v>0</v>
      </c>
      <c r="Q614">
        <v>0</v>
      </c>
      <c r="R614">
        <v>0</v>
      </c>
      <c r="T614">
        <f t="shared" ref="T614:T615" si="299">SUM(N614:R614)</f>
        <v>51018437.142857142</v>
      </c>
      <c r="U614">
        <f>3625000*3/7</f>
        <v>1553571.4285714286</v>
      </c>
      <c r="V614">
        <f>3/7*54145000</f>
        <v>23205000</v>
      </c>
      <c r="W614" s="76">
        <v>0</v>
      </c>
      <c r="X614" s="188">
        <f>3/7*289348.177849462</f>
        <v>124006.36193548371</v>
      </c>
      <c r="Y614">
        <f t="shared" ref="Y614:Y617" si="300">SUM(U614:X614)</f>
        <v>24882577.790506914</v>
      </c>
      <c r="Z614" s="12">
        <f>26%*M614</f>
        <v>58906120</v>
      </c>
      <c r="AA614">
        <f>3/7*(32500000+2375000)</f>
        <v>14946428.571428571</v>
      </c>
      <c r="AB614">
        <v>0</v>
      </c>
      <c r="AC614">
        <f>3/7*1725000</f>
        <v>739285.7142857142</v>
      </c>
      <c r="AD614">
        <v>0</v>
      </c>
      <c r="AE614">
        <f t="shared" ref="AE614:AE617" si="301">SUM(Z614:AD614)</f>
        <v>74591834.285714284</v>
      </c>
      <c r="AF614" s="12">
        <f t="shared" ref="AF614:AF617" si="302">AE614-(T614+Y614)</f>
        <v>-1309180.6476497799</v>
      </c>
      <c r="AG61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6210105.0666359458</v>
      </c>
      <c r="AH614">
        <f>IFERROR(AG614/(Z614+Table5[[#This Row],[Rider Penalty (Claim, Other Denda to Riders)]]),0)</f>
        <v>0.10542376694706672</v>
      </c>
      <c r="AI614" s="12">
        <f t="shared" ref="AI614:AI617" si="303">AA614+AB614-V614</f>
        <v>-8258571.4285714291</v>
      </c>
      <c r="AJ614">
        <f t="shared" ref="AJ614:AJ617" si="304">IFERROR(AI614/(AA614+AB614),0)</f>
        <v>-0.55254480286738361</v>
      </c>
    </row>
    <row r="615" spans="1:36" hidden="1">
      <c r="A615">
        <v>2025</v>
      </c>
      <c r="B615" s="179" t="s">
        <v>23</v>
      </c>
      <c r="C615" s="64" t="s">
        <v>172</v>
      </c>
      <c r="D615" t="s">
        <v>168</v>
      </c>
      <c r="E615" t="s">
        <v>28</v>
      </c>
      <c r="F615" t="s">
        <v>28</v>
      </c>
      <c r="G615" s="119">
        <v>12026</v>
      </c>
      <c r="H615" s="119" t="s">
        <v>166</v>
      </c>
      <c r="I615" s="119" t="s">
        <v>280</v>
      </c>
      <c r="J615" s="237" t="s">
        <v>416</v>
      </c>
      <c r="K615">
        <v>24</v>
      </c>
      <c r="L615">
        <v>2906</v>
      </c>
      <c r="M615">
        <v>25546000</v>
      </c>
      <c r="N615">
        <f>7207040*3/7</f>
        <v>3088731.4285714286</v>
      </c>
      <c r="O615">
        <f>3/7*(7320000+100000)</f>
        <v>3180000</v>
      </c>
      <c r="P615">
        <v>0</v>
      </c>
      <c r="Q615">
        <v>0</v>
      </c>
      <c r="R615">
        <v>0</v>
      </c>
      <c r="T615">
        <f t="shared" si="299"/>
        <v>6268731.4285714291</v>
      </c>
      <c r="U615">
        <f>900000*3/7</f>
        <v>385714.28571428574</v>
      </c>
      <c r="V615">
        <f>3/7*5880000</f>
        <v>2520000</v>
      </c>
      <c r="W615" s="76">
        <v>0</v>
      </c>
      <c r="X615" s="188">
        <f>3/7*286021.505376344</f>
        <v>122580.64516129029</v>
      </c>
      <c r="Y615">
        <f t="shared" si="300"/>
        <v>3028294.9308755761</v>
      </c>
      <c r="Z615" s="12">
        <f>26%*M615</f>
        <v>6641960</v>
      </c>
      <c r="AA615">
        <f>(3450000+100000)*3/7</f>
        <v>1521428.5714285714</v>
      </c>
      <c r="AB615">
        <v>0</v>
      </c>
      <c r="AC615">
        <f>3/7*175000</f>
        <v>75000</v>
      </c>
      <c r="AD615">
        <v>0</v>
      </c>
      <c r="AE615">
        <f t="shared" si="301"/>
        <v>8238388.5714285709</v>
      </c>
      <c r="AF615" s="12">
        <f t="shared" si="302"/>
        <v>-1058637.7880184352</v>
      </c>
      <c r="AG61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-135066.35944700515</v>
      </c>
      <c r="AH615">
        <f>IFERROR(AG615/(Z615+Table5[[#This Row],[Rider Penalty (Claim, Other Denda to Riders)]]),0)</f>
        <v>-2.0335316600371751E-2</v>
      </c>
      <c r="AI615" s="12">
        <f t="shared" si="303"/>
        <v>-998571.42857142864</v>
      </c>
      <c r="AJ615">
        <f t="shared" si="304"/>
        <v>-0.65633802816901421</v>
      </c>
    </row>
    <row r="616" spans="1:36" hidden="1">
      <c r="A616">
        <v>2025</v>
      </c>
      <c r="B616" t="s">
        <v>176</v>
      </c>
      <c r="C616" t="s">
        <v>176</v>
      </c>
      <c r="D616" t="s">
        <v>169</v>
      </c>
      <c r="E616" t="s">
        <v>28</v>
      </c>
      <c r="F616" t="s">
        <v>28</v>
      </c>
      <c r="G616" s="119">
        <v>12026</v>
      </c>
      <c r="H616" s="119" t="s">
        <v>166</v>
      </c>
      <c r="I616" s="119" t="s">
        <v>280</v>
      </c>
      <c r="J616" s="237" t="s">
        <v>416</v>
      </c>
      <c r="K616">
        <v>10</v>
      </c>
      <c r="L616">
        <v>224</v>
      </c>
      <c r="M616">
        <v>2169000</v>
      </c>
      <c r="N616">
        <v>0</v>
      </c>
      <c r="O616">
        <v>0</v>
      </c>
      <c r="P616">
        <v>0</v>
      </c>
      <c r="Q616">
        <v>0</v>
      </c>
      <c r="R616">
        <v>0</v>
      </c>
      <c r="T616">
        <v>0</v>
      </c>
      <c r="U616">
        <v>0</v>
      </c>
      <c r="V616" s="76">
        <v>0</v>
      </c>
      <c r="W616" s="76">
        <v>0</v>
      </c>
      <c r="X616">
        <v>0</v>
      </c>
      <c r="Y616">
        <f t="shared" si="300"/>
        <v>0</v>
      </c>
      <c r="Z616" s="12">
        <f>7%*M616</f>
        <v>151830</v>
      </c>
      <c r="AB616">
        <v>0</v>
      </c>
      <c r="AD616">
        <v>0</v>
      </c>
      <c r="AE616">
        <f t="shared" si="301"/>
        <v>151830</v>
      </c>
      <c r="AF616" s="12">
        <f t="shared" si="302"/>
        <v>151830</v>
      </c>
      <c r="AG6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151830</v>
      </c>
      <c r="AH616">
        <f>IFERROR(AG616/(Z616+Table5[[#This Row],[Rider Penalty (Claim, Other Denda to Riders)]]),0)</f>
        <v>1</v>
      </c>
      <c r="AI616" s="12">
        <f t="shared" si="303"/>
        <v>0</v>
      </c>
      <c r="AJ616">
        <f t="shared" si="304"/>
        <v>0</v>
      </c>
    </row>
    <row r="617" spans="1:36" hidden="1">
      <c r="A617">
        <v>2025</v>
      </c>
      <c r="B617" t="s">
        <v>204</v>
      </c>
      <c r="C617" t="s">
        <v>204</v>
      </c>
      <c r="D617" t="s">
        <v>169</v>
      </c>
      <c r="E617" t="s">
        <v>28</v>
      </c>
      <c r="F617" t="s">
        <v>28</v>
      </c>
      <c r="G617" s="119">
        <v>12026</v>
      </c>
      <c r="H617" s="119" t="s">
        <v>166</v>
      </c>
      <c r="I617" s="119" t="s">
        <v>280</v>
      </c>
      <c r="J617" s="237" t="s">
        <v>416</v>
      </c>
      <c r="K617">
        <v>1</v>
      </c>
      <c r="L617">
        <v>29</v>
      </c>
      <c r="M617">
        <v>240000</v>
      </c>
      <c r="N617">
        <v>0</v>
      </c>
      <c r="O617">
        <v>0</v>
      </c>
      <c r="P617">
        <v>0</v>
      </c>
      <c r="Q617">
        <v>0</v>
      </c>
      <c r="R617">
        <v>0</v>
      </c>
      <c r="T617">
        <v>0</v>
      </c>
      <c r="U617">
        <v>0</v>
      </c>
      <c r="V617" s="76">
        <v>0</v>
      </c>
      <c r="W617" s="76">
        <v>0</v>
      </c>
      <c r="X617">
        <v>0</v>
      </c>
      <c r="Y617">
        <f t="shared" si="300"/>
        <v>0</v>
      </c>
      <c r="Z617" s="12">
        <f>30%*M617</f>
        <v>72000</v>
      </c>
      <c r="AB617">
        <v>0</v>
      </c>
      <c r="AD617">
        <v>0</v>
      </c>
      <c r="AE617">
        <f t="shared" si="301"/>
        <v>72000</v>
      </c>
      <c r="AF617" s="12">
        <f t="shared" si="302"/>
        <v>72000</v>
      </c>
      <c r="AG61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72000</v>
      </c>
      <c r="AH617">
        <f>IFERROR(AG617/(Z617+Table5[[#This Row],[Rider Penalty (Claim, Other Denda to Riders)]]),0)</f>
        <v>1</v>
      </c>
      <c r="AI617" s="12">
        <f t="shared" si="303"/>
        <v>0</v>
      </c>
      <c r="AJ617">
        <f t="shared" si="304"/>
        <v>0</v>
      </c>
    </row>
    <row r="618" spans="1:36">
      <c r="A618" s="180">
        <v>2026</v>
      </c>
      <c r="B618" s="179" t="s">
        <v>23</v>
      </c>
      <c r="C618" s="64" t="s">
        <v>23</v>
      </c>
      <c r="D618" t="s">
        <v>168</v>
      </c>
      <c r="E618" t="s">
        <v>28</v>
      </c>
      <c r="F618" t="s">
        <v>28</v>
      </c>
      <c r="G618" s="119">
        <v>12026</v>
      </c>
      <c r="H618" s="119" t="s">
        <v>21</v>
      </c>
      <c r="I618" s="191" t="s">
        <v>275</v>
      </c>
      <c r="J618" s="237" t="s">
        <v>302</v>
      </c>
      <c r="K618">
        <v>210</v>
      </c>
      <c r="L618">
        <v>35547</v>
      </c>
      <c r="M618">
        <v>311960000</v>
      </c>
      <c r="N618">
        <f>58393020*4/7</f>
        <v>33367440</v>
      </c>
      <c r="O618">
        <f>4/7*(60370000+280000)</f>
        <v>34657142.857142858</v>
      </c>
      <c r="P618">
        <v>0</v>
      </c>
      <c r="Q618">
        <v>0</v>
      </c>
      <c r="R618">
        <v>0</v>
      </c>
      <c r="T618">
        <f>SUM(N618:R618)</f>
        <v>68024582.857142866</v>
      </c>
      <c r="U618">
        <f>3625000*4/7</f>
        <v>2071428.5714285714</v>
      </c>
      <c r="V618">
        <f>4/7*54145000</f>
        <v>30940000</v>
      </c>
      <c r="X618" s="188">
        <f>4/7*289348.177849462</f>
        <v>165341.81591397829</v>
      </c>
      <c r="Y618">
        <f>SUM(U618:X618)</f>
        <v>33176770.38734255</v>
      </c>
      <c r="Z618" s="12">
        <f>26%*M618</f>
        <v>81109600</v>
      </c>
      <c r="AA618" s="131">
        <f>4/7*(32500000+2375000)</f>
        <v>19928571.428571429</v>
      </c>
      <c r="AB618">
        <v>0</v>
      </c>
      <c r="AC618">
        <f>1725000*4/7</f>
        <v>985714.28571428568</v>
      </c>
      <c r="AD618">
        <v>0</v>
      </c>
      <c r="AE618">
        <f>SUM(Z618:AD618)</f>
        <v>102023885.71428572</v>
      </c>
      <c r="AF618" s="12">
        <f>AE618-(T618+Y618)</f>
        <v>822532.46980030835</v>
      </c>
      <c r="AG61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10848246.755514584</v>
      </c>
      <c r="AH618">
        <f>IFERROR(AG618/(Z618+Table5[[#This Row],[Rider Penalty (Claim, Other Denda to Riders)]]),0)</f>
        <v>0.13374799968825618</v>
      </c>
      <c r="AI618" s="12">
        <f>AA618+AB618-V618</f>
        <v>-11011428.571428571</v>
      </c>
      <c r="AJ618">
        <f>IFERROR(AI618/(AA618+AB618),0)</f>
        <v>-0.5525448028673835</v>
      </c>
    </row>
    <row r="619" spans="1:36">
      <c r="A619" s="180">
        <v>2026</v>
      </c>
      <c r="B619" s="179" t="s">
        <v>23</v>
      </c>
      <c r="C619" s="64" t="s">
        <v>172</v>
      </c>
      <c r="D619" t="s">
        <v>168</v>
      </c>
      <c r="E619" t="s">
        <v>28</v>
      </c>
      <c r="F619" t="s">
        <v>28</v>
      </c>
      <c r="G619" s="119">
        <v>12026</v>
      </c>
      <c r="H619" s="119" t="s">
        <v>21</v>
      </c>
      <c r="I619" s="191" t="s">
        <v>275</v>
      </c>
      <c r="J619" s="237" t="s">
        <v>302</v>
      </c>
      <c r="K619">
        <v>23</v>
      </c>
      <c r="L619">
        <v>4269</v>
      </c>
      <c r="M619">
        <v>37748000</v>
      </c>
      <c r="N619">
        <f>7207040*4/7</f>
        <v>4118308.5714285714</v>
      </c>
      <c r="O619">
        <f>4/7*(7320000+100000)</f>
        <v>4240000</v>
      </c>
      <c r="P619">
        <v>0</v>
      </c>
      <c r="Q619">
        <v>0</v>
      </c>
      <c r="R619">
        <v>0</v>
      </c>
      <c r="T619">
        <f t="shared" ref="T619:T621" si="305">SUM(N619:R619)</f>
        <v>8358308.5714285709</v>
      </c>
      <c r="U619">
        <f>900000*4/7</f>
        <v>514285.71428571426</v>
      </c>
      <c r="V619">
        <f>4/7*5880000</f>
        <v>3360000</v>
      </c>
      <c r="X619" s="188">
        <f>4/7*286021.505376344</f>
        <v>163440.86021505372</v>
      </c>
      <c r="Y619">
        <f>SUM(U619:X619)</f>
        <v>4037726.574500768</v>
      </c>
      <c r="Z619" s="12">
        <f>26%*M619</f>
        <v>9814480</v>
      </c>
      <c r="AA619" s="131">
        <f>(3450000+100000)*4/7</f>
        <v>2028571.4285714286</v>
      </c>
      <c r="AB619">
        <v>0</v>
      </c>
      <c r="AC619">
        <f>4/7*175000</f>
        <v>100000</v>
      </c>
      <c r="AD619">
        <v>0</v>
      </c>
      <c r="AE619">
        <f t="shared" ref="AE619:AE621" si="306">SUM(Z619:AD619)</f>
        <v>11943051.428571429</v>
      </c>
      <c r="AF619" s="12">
        <f t="shared" ref="AF619:AF621" si="307">AE619-(T619+Y619)</f>
        <v>-452983.71735790931</v>
      </c>
      <c r="AG61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778444.85407066112</v>
      </c>
      <c r="AH619">
        <f>IFERROR(AG619/(Z619+Table5[[#This Row],[Rider Penalty (Claim, Other Denda to Riders)]]),0)</f>
        <v>7.9315955004305994E-2</v>
      </c>
      <c r="AI619" s="12">
        <f t="shared" ref="AI619:AI621" si="308">AA619+AB619-V619</f>
        <v>-1331428.5714285714</v>
      </c>
      <c r="AJ619">
        <f t="shared" ref="AJ619:AJ621" si="309">IFERROR(AI619/(AA619+AB619),0)</f>
        <v>-0.65633802816901399</v>
      </c>
    </row>
    <row r="620" spans="1:36">
      <c r="A620" s="180">
        <v>2026</v>
      </c>
      <c r="B620" t="s">
        <v>176</v>
      </c>
      <c r="C620" t="s">
        <v>176</v>
      </c>
      <c r="D620" t="s">
        <v>169</v>
      </c>
      <c r="E620" t="s">
        <v>28</v>
      </c>
      <c r="F620" t="s">
        <v>28</v>
      </c>
      <c r="G620" s="119">
        <v>12026</v>
      </c>
      <c r="H620" s="119" t="s">
        <v>21</v>
      </c>
      <c r="I620" s="191" t="s">
        <v>275</v>
      </c>
      <c r="J620" s="237" t="s">
        <v>302</v>
      </c>
      <c r="K620">
        <v>10</v>
      </c>
      <c r="L620">
        <v>168</v>
      </c>
      <c r="M620">
        <v>1598000</v>
      </c>
      <c r="N620">
        <v>0</v>
      </c>
      <c r="O620">
        <v>0</v>
      </c>
      <c r="P620">
        <v>0</v>
      </c>
      <c r="Q620">
        <v>0</v>
      </c>
      <c r="R620">
        <v>0</v>
      </c>
      <c r="T620">
        <v>0</v>
      </c>
      <c r="U620">
        <v>0</v>
      </c>
      <c r="V620" s="1">
        <v>0</v>
      </c>
      <c r="W620" s="1">
        <v>0</v>
      </c>
      <c r="X620">
        <v>0</v>
      </c>
      <c r="Y620">
        <f t="shared" ref="Y620:Y621" si="310">SUM(U620:X620)</f>
        <v>0</v>
      </c>
      <c r="Z620" s="12">
        <f>7%*M620</f>
        <v>111860.00000000001</v>
      </c>
      <c r="AA620">
        <v>0</v>
      </c>
      <c r="AB620">
        <v>0</v>
      </c>
      <c r="AC620">
        <v>0</v>
      </c>
      <c r="AD620">
        <v>0</v>
      </c>
      <c r="AE620">
        <f t="shared" si="306"/>
        <v>111860.00000000001</v>
      </c>
      <c r="AF620" s="12">
        <f t="shared" si="307"/>
        <v>111860.00000000001</v>
      </c>
      <c r="AG62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111860.00000000001</v>
      </c>
      <c r="AH620">
        <f>IFERROR(AG620/(Z620+Table5[[#This Row],[Rider Penalty (Claim, Other Denda to Riders)]]),0)</f>
        <v>1</v>
      </c>
      <c r="AI620" s="12">
        <f t="shared" si="308"/>
        <v>0</v>
      </c>
      <c r="AJ620">
        <f t="shared" si="309"/>
        <v>0</v>
      </c>
    </row>
    <row r="621" spans="1:36">
      <c r="A621" s="180">
        <v>2026</v>
      </c>
      <c r="B621" t="s">
        <v>204</v>
      </c>
      <c r="C621" t="s">
        <v>204</v>
      </c>
      <c r="D621" t="s">
        <v>169</v>
      </c>
      <c r="E621" t="s">
        <v>28</v>
      </c>
      <c r="F621" t="s">
        <v>28</v>
      </c>
      <c r="G621" s="119">
        <v>12026</v>
      </c>
      <c r="H621" s="119" t="s">
        <v>21</v>
      </c>
      <c r="I621" s="191" t="s">
        <v>275</v>
      </c>
      <c r="J621" s="237" t="s">
        <v>302</v>
      </c>
      <c r="K621">
        <v>2</v>
      </c>
      <c r="L621">
        <v>32</v>
      </c>
      <c r="M621">
        <v>240000</v>
      </c>
      <c r="N621">
        <v>0</v>
      </c>
      <c r="O621">
        <v>0</v>
      </c>
      <c r="P621">
        <v>0</v>
      </c>
      <c r="Q621">
        <v>0</v>
      </c>
      <c r="R621">
        <v>0</v>
      </c>
      <c r="T621">
        <f t="shared" si="305"/>
        <v>0</v>
      </c>
      <c r="U621">
        <v>0</v>
      </c>
      <c r="V621" s="1">
        <v>0</v>
      </c>
      <c r="W621" s="1">
        <v>0</v>
      </c>
      <c r="X621">
        <v>0</v>
      </c>
      <c r="Y621">
        <f t="shared" si="310"/>
        <v>0</v>
      </c>
      <c r="Z621" s="12">
        <f>30%*M621</f>
        <v>72000</v>
      </c>
      <c r="AA621">
        <v>0</v>
      </c>
      <c r="AB621">
        <v>0</v>
      </c>
      <c r="AC621">
        <v>0</v>
      </c>
      <c r="AD621">
        <v>0</v>
      </c>
      <c r="AE621">
        <f t="shared" si="306"/>
        <v>72000</v>
      </c>
      <c r="AF621" s="12">
        <f t="shared" si="307"/>
        <v>72000</v>
      </c>
      <c r="AG62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72000</v>
      </c>
      <c r="AH621">
        <f>IFERROR(AG621/(Z621+Table5[[#This Row],[Rider Penalty (Claim, Other Denda to Riders)]]),0)</f>
        <v>1</v>
      </c>
      <c r="AI621" s="12">
        <f t="shared" si="308"/>
        <v>0</v>
      </c>
      <c r="AJ621">
        <f t="shared" si="309"/>
        <v>0</v>
      </c>
    </row>
    <row r="622" spans="1:36">
      <c r="A622" s="180">
        <v>2026</v>
      </c>
      <c r="B622" s="119" t="s">
        <v>23</v>
      </c>
      <c r="C622" s="119" t="s">
        <v>174</v>
      </c>
      <c r="D622" s="119" t="s">
        <v>168</v>
      </c>
      <c r="E622" s="119" t="s">
        <v>24</v>
      </c>
      <c r="F622" s="119" t="s">
        <v>24</v>
      </c>
      <c r="G622" s="119">
        <v>22026</v>
      </c>
      <c r="H622" s="119" t="s">
        <v>21</v>
      </c>
      <c r="I622" s="119" t="s">
        <v>256</v>
      </c>
      <c r="J622" s="237" t="s">
        <v>22</v>
      </c>
      <c r="K622" s="119">
        <v>17</v>
      </c>
      <c r="L622" s="119">
        <v>2484</v>
      </c>
      <c r="M622">
        <v>22642000</v>
      </c>
      <c r="N622">
        <v>2189600</v>
      </c>
      <c r="O622">
        <v>2750000</v>
      </c>
      <c r="P622">
        <v>0</v>
      </c>
      <c r="Q622">
        <v>0</v>
      </c>
      <c r="R622">
        <v>0</v>
      </c>
      <c r="T622">
        <f t="shared" ref="T622:T625" si="311">SUM(N622:R622)</f>
        <v>4939600</v>
      </c>
      <c r="U622">
        <f>600000+((700000/2)/2)</f>
        <v>775000</v>
      </c>
      <c r="V622" s="76">
        <f>78*35000</f>
        <v>2730000</v>
      </c>
      <c r="W622" s="76">
        <v>0</v>
      </c>
      <c r="X622">
        <v>0</v>
      </c>
      <c r="Y622">
        <f t="shared" ref="Y622:Y625" si="312">SUM(U622:X622)</f>
        <v>3505000</v>
      </c>
      <c r="Z622" s="12">
        <f>26%*M622</f>
        <v>5886920</v>
      </c>
      <c r="AA622">
        <f>(4*15000)+(84*25000)</f>
        <v>2160000</v>
      </c>
      <c r="AB622">
        <v>0</v>
      </c>
      <c r="AC622">
        <v>0</v>
      </c>
      <c r="AD622">
        <v>0</v>
      </c>
      <c r="AE622">
        <f t="shared" ref="AE622:AE625" si="313">SUM(Z622:AD622)</f>
        <v>8046920</v>
      </c>
      <c r="AF622" s="12">
        <f t="shared" ref="AF622:AF625" si="314">AE622-(T622+Y622)</f>
        <v>-397680</v>
      </c>
      <c r="AG62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172320</v>
      </c>
      <c r="AH622">
        <f>IFERROR(AG622/(Z622+Table5[[#This Row],[Rider Penalty (Claim, Other Denda to Riders)]]),0)</f>
        <v>2.9271673472715785E-2</v>
      </c>
      <c r="AI622" s="12">
        <f t="shared" ref="AI622:AI625" si="315">AA622+AB622-V622</f>
        <v>-570000</v>
      </c>
      <c r="AJ622">
        <f t="shared" ref="AJ622:AJ625" si="316">IFERROR(AI622/(AA622+AB622),0)</f>
        <v>-0.2638888888888889</v>
      </c>
    </row>
    <row r="623" spans="1:36">
      <c r="A623" s="180">
        <v>2026</v>
      </c>
      <c r="B623" s="64" t="s">
        <v>23</v>
      </c>
      <c r="C623" s="64" t="s">
        <v>173</v>
      </c>
      <c r="D623" s="64" t="s">
        <v>168</v>
      </c>
      <c r="E623" s="64" t="s">
        <v>24</v>
      </c>
      <c r="F623" s="64" t="s">
        <v>282</v>
      </c>
      <c r="G623" s="119">
        <v>22026</v>
      </c>
      <c r="H623" s="119" t="s">
        <v>21</v>
      </c>
      <c r="I623" s="119" t="s">
        <v>256</v>
      </c>
      <c r="J623" s="237" t="s">
        <v>22</v>
      </c>
      <c r="K623" s="64">
        <v>11</v>
      </c>
      <c r="L623" s="64">
        <v>1879</v>
      </c>
      <c r="M623">
        <v>17048000</v>
      </c>
      <c r="N623">
        <v>1458200</v>
      </c>
      <c r="O623">
        <v>1850000</v>
      </c>
      <c r="P623">
        <v>0</v>
      </c>
      <c r="Q623">
        <v>0</v>
      </c>
      <c r="R623">
        <v>0</v>
      </c>
      <c r="T623">
        <f t="shared" si="311"/>
        <v>3308200</v>
      </c>
      <c r="U623">
        <v>0</v>
      </c>
      <c r="V623" s="76">
        <f>58*35000</f>
        <v>2030000</v>
      </c>
      <c r="W623" s="76">
        <v>0</v>
      </c>
      <c r="X623">
        <v>0</v>
      </c>
      <c r="Y623">
        <f t="shared" si="312"/>
        <v>2030000</v>
      </c>
      <c r="Z623" s="12">
        <f>26%*M623</f>
        <v>4432480</v>
      </c>
      <c r="AA623">
        <f>(4*15000)+(64*25000)</f>
        <v>1660000</v>
      </c>
      <c r="AB623">
        <v>0</v>
      </c>
      <c r="AC623">
        <v>0</v>
      </c>
      <c r="AD623">
        <v>0</v>
      </c>
      <c r="AE623">
        <f t="shared" si="313"/>
        <v>6092480</v>
      </c>
      <c r="AF623" s="12">
        <f t="shared" si="314"/>
        <v>754280</v>
      </c>
      <c r="AG62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1124280</v>
      </c>
      <c r="AH623">
        <f>IFERROR(AG623/(Z623+Table5[[#This Row],[Rider Penalty (Claim, Other Denda to Riders)]]),0)</f>
        <v>0.25364581453272211</v>
      </c>
      <c r="AI623" s="12">
        <f t="shared" si="315"/>
        <v>-370000</v>
      </c>
      <c r="AJ623">
        <f t="shared" si="316"/>
        <v>-0.22289156626506024</v>
      </c>
    </row>
    <row r="624" spans="1:36">
      <c r="A624" s="180">
        <v>2026</v>
      </c>
      <c r="B624" s="119" t="s">
        <v>23</v>
      </c>
      <c r="C624" s="119" t="s">
        <v>205</v>
      </c>
      <c r="D624" s="119" t="s">
        <v>168</v>
      </c>
      <c r="E624" s="119" t="s">
        <v>24</v>
      </c>
      <c r="F624" s="119" t="s">
        <v>24</v>
      </c>
      <c r="G624" s="119">
        <v>22026</v>
      </c>
      <c r="H624" s="119" t="s">
        <v>21</v>
      </c>
      <c r="I624" s="119" t="s">
        <v>256</v>
      </c>
      <c r="J624" s="237" t="s">
        <v>22</v>
      </c>
      <c r="K624" s="119">
        <v>9</v>
      </c>
      <c r="L624" s="119">
        <v>1535</v>
      </c>
      <c r="M624">
        <v>2898320</v>
      </c>
      <c r="N624">
        <v>0</v>
      </c>
      <c r="O624">
        <v>0</v>
      </c>
      <c r="P624">
        <v>0</v>
      </c>
      <c r="Q624">
        <v>0</v>
      </c>
      <c r="R624">
        <v>0</v>
      </c>
      <c r="T624">
        <f t="shared" si="311"/>
        <v>0</v>
      </c>
      <c r="U624" s="119">
        <f>(700000/2)/2</f>
        <v>175000</v>
      </c>
      <c r="V624" s="76">
        <v>0</v>
      </c>
      <c r="W624" s="76">
        <v>0</v>
      </c>
      <c r="X624">
        <v>0</v>
      </c>
      <c r="Y624">
        <f t="shared" si="312"/>
        <v>175000</v>
      </c>
      <c r="Z624" s="12">
        <f>10%*M624</f>
        <v>289832</v>
      </c>
      <c r="AA624">
        <v>0</v>
      </c>
      <c r="AB624">
        <v>0</v>
      </c>
      <c r="AC624">
        <v>0</v>
      </c>
      <c r="AD624">
        <v>0</v>
      </c>
      <c r="AE624">
        <f t="shared" si="313"/>
        <v>289832</v>
      </c>
      <c r="AF624" s="12">
        <f t="shared" si="314"/>
        <v>114832</v>
      </c>
      <c r="AG62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114832</v>
      </c>
      <c r="AH624">
        <f>IFERROR(AG624/(Z624+Table5[[#This Row],[Rider Penalty (Claim, Other Denda to Riders)]]),0)</f>
        <v>0.39620193767423889</v>
      </c>
      <c r="AI624" s="12">
        <f t="shared" si="315"/>
        <v>0</v>
      </c>
      <c r="AJ624">
        <f t="shared" si="316"/>
        <v>0</v>
      </c>
    </row>
    <row r="625" spans="1:37">
      <c r="A625" s="238">
        <v>2026</v>
      </c>
      <c r="B625" s="191" t="s">
        <v>202</v>
      </c>
      <c r="C625" s="191" t="s">
        <v>202</v>
      </c>
      <c r="D625" s="191" t="s">
        <v>168</v>
      </c>
      <c r="E625" s="191" t="s">
        <v>24</v>
      </c>
      <c r="F625" s="191" t="s">
        <v>24</v>
      </c>
      <c r="G625" s="119">
        <v>22026</v>
      </c>
      <c r="H625" s="119" t="s">
        <v>21</v>
      </c>
      <c r="I625" s="119" t="s">
        <v>256</v>
      </c>
      <c r="J625" s="237" t="s">
        <v>22</v>
      </c>
      <c r="K625" s="179">
        <v>1</v>
      </c>
      <c r="L625" s="179">
        <v>124</v>
      </c>
      <c r="M625">
        <v>1165000</v>
      </c>
      <c r="N625">
        <v>0</v>
      </c>
      <c r="O625">
        <v>0</v>
      </c>
      <c r="P625">
        <v>0</v>
      </c>
      <c r="Q625">
        <v>0</v>
      </c>
      <c r="R625">
        <v>0</v>
      </c>
      <c r="T625">
        <f t="shared" si="311"/>
        <v>0</v>
      </c>
      <c r="U625">
        <f>700000/2</f>
        <v>350000</v>
      </c>
      <c r="V625" s="76">
        <v>0</v>
      </c>
      <c r="W625" s="76">
        <v>0</v>
      </c>
      <c r="X625">
        <v>0</v>
      </c>
      <c r="Y625">
        <f t="shared" si="312"/>
        <v>350000</v>
      </c>
      <c r="Z625" s="12">
        <f>10%*M625</f>
        <v>116500</v>
      </c>
      <c r="AA625">
        <v>0</v>
      </c>
      <c r="AB625">
        <v>0</v>
      </c>
      <c r="AC625">
        <v>0</v>
      </c>
      <c r="AD625">
        <v>0</v>
      </c>
      <c r="AE625">
        <f t="shared" si="313"/>
        <v>116500</v>
      </c>
      <c r="AF625" s="12">
        <f t="shared" si="314"/>
        <v>-233500</v>
      </c>
      <c r="AG62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-233500</v>
      </c>
      <c r="AH625">
        <f>IFERROR(AG625/(Z625+Table5[[#This Row],[Rider Penalty (Claim, Other Denda to Riders)]]),0)</f>
        <v>-2.0042918454935621</v>
      </c>
      <c r="AI625" s="12">
        <f t="shared" si="315"/>
        <v>0</v>
      </c>
      <c r="AJ625">
        <f t="shared" si="316"/>
        <v>0</v>
      </c>
    </row>
    <row r="626" spans="1:37">
      <c r="A626" s="180">
        <v>2026</v>
      </c>
      <c r="B626" s="179" t="s">
        <v>23</v>
      </c>
      <c r="C626" s="64" t="s">
        <v>23</v>
      </c>
      <c r="D626" t="s">
        <v>168</v>
      </c>
      <c r="E626" t="s">
        <v>28</v>
      </c>
      <c r="F626" t="s">
        <v>28</v>
      </c>
      <c r="G626" s="119">
        <v>22026</v>
      </c>
      <c r="H626" s="119" t="s">
        <v>21</v>
      </c>
      <c r="I626" s="119" t="s">
        <v>256</v>
      </c>
      <c r="J626" s="237" t="s">
        <v>22</v>
      </c>
      <c r="K626" s="16">
        <v>227</v>
      </c>
      <c r="L626" s="16">
        <v>62602</v>
      </c>
      <c r="M626" s="16">
        <v>549566000</v>
      </c>
      <c r="N626" s="16">
        <v>59552235</v>
      </c>
      <c r="O626" s="16">
        <f>61870000+480000</f>
        <v>62350000</v>
      </c>
      <c r="P626" s="16">
        <v>0</v>
      </c>
      <c r="Q626" s="16">
        <v>0</v>
      </c>
      <c r="R626" s="16">
        <v>0</v>
      </c>
      <c r="S626" s="16"/>
      <c r="T626" s="16">
        <f t="shared" ref="T626:T628" si="317">SUM(N626:R626)</f>
        <v>121902235</v>
      </c>
      <c r="U626" s="16">
        <v>3450000</v>
      </c>
      <c r="V626" s="173">
        <v>55615000</v>
      </c>
      <c r="W626" s="173">
        <v>0</v>
      </c>
      <c r="X626" s="16">
        <v>289348.17784946243</v>
      </c>
      <c r="Y626" s="16">
        <f t="shared" ref="Y626:Y627" si="318">SUM(U626:X626)</f>
        <v>59354348.177849464</v>
      </c>
      <c r="Z626" s="16">
        <f>26%*M626</f>
        <v>142887160</v>
      </c>
      <c r="AA626" s="16">
        <f>32775000+1700000</f>
        <v>34475000</v>
      </c>
      <c r="AB626" s="16">
        <v>0</v>
      </c>
      <c r="AC626" s="16">
        <v>1825000</v>
      </c>
      <c r="AD626" s="16">
        <v>0</v>
      </c>
      <c r="AE626">
        <f t="shared" ref="AE626:AE628" si="319">SUM(Z626:AD626)</f>
        <v>179187160</v>
      </c>
      <c r="AF626" s="12">
        <f t="shared" ref="AF626:AF628" si="320">AE626-(T626+Y626)</f>
        <v>-2069423.1778494716</v>
      </c>
      <c r="AG62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17245576.822150536</v>
      </c>
      <c r="AH626">
        <f>IFERROR(AG626/(Z626+Table5[[#This Row],[Rider Penalty (Claim, Other Denda to Riders)]]),0)</f>
        <v>0.12069367759951655</v>
      </c>
      <c r="AI626" s="12">
        <f t="shared" ref="AI626:AI628" si="321">AA626+AB626-V626</f>
        <v>-21140000</v>
      </c>
      <c r="AJ626">
        <f t="shared" ref="AJ626:AJ628" si="322">IFERROR(AI626/(AA626+AB626),0)</f>
        <v>-0.6131979695431472</v>
      </c>
    </row>
    <row r="627" spans="1:37">
      <c r="A627" s="180">
        <v>2026</v>
      </c>
      <c r="B627" s="179" t="s">
        <v>23</v>
      </c>
      <c r="C627" s="64" t="s">
        <v>172</v>
      </c>
      <c r="D627" t="s">
        <v>168</v>
      </c>
      <c r="E627" t="s">
        <v>28</v>
      </c>
      <c r="F627" t="s">
        <v>28</v>
      </c>
      <c r="G627" s="119">
        <v>22026</v>
      </c>
      <c r="H627" s="119" t="s">
        <v>21</v>
      </c>
      <c r="I627" s="119" t="s">
        <v>256</v>
      </c>
      <c r="J627" s="237" t="s">
        <v>22</v>
      </c>
      <c r="K627" s="16">
        <v>27</v>
      </c>
      <c r="L627" s="16">
        <v>7382</v>
      </c>
      <c r="M627" s="16">
        <v>65004000</v>
      </c>
      <c r="N627" s="16">
        <v>7043340</v>
      </c>
      <c r="O627" s="16">
        <f>7645000+170000</f>
        <v>7815000</v>
      </c>
      <c r="P627" s="16">
        <v>0</v>
      </c>
      <c r="Q627" s="16">
        <v>0</v>
      </c>
      <c r="R627" s="16">
        <v>0</v>
      </c>
      <c r="S627" s="16"/>
      <c r="T627" s="16">
        <f t="shared" si="317"/>
        <v>14858340</v>
      </c>
      <c r="U627" s="16">
        <v>900000</v>
      </c>
      <c r="V627" s="173">
        <v>6615000</v>
      </c>
      <c r="W627" s="173">
        <v>0</v>
      </c>
      <c r="X627" s="16">
        <v>286021.50537634408</v>
      </c>
      <c r="Y627" s="16">
        <f t="shared" si="318"/>
        <v>7801021.5053763445</v>
      </c>
      <c r="Z627" s="16">
        <f>26%*M627</f>
        <v>16901040</v>
      </c>
      <c r="AA627" s="16">
        <f>3800000+175000</f>
        <v>3975000</v>
      </c>
      <c r="AB627" s="16">
        <v>0</v>
      </c>
      <c r="AC627" s="16">
        <v>250000</v>
      </c>
      <c r="AD627" s="16">
        <v>0</v>
      </c>
      <c r="AE627">
        <f t="shared" si="319"/>
        <v>21126040</v>
      </c>
      <c r="AF627" s="12">
        <f t="shared" si="320"/>
        <v>-1533321.5053763464</v>
      </c>
      <c r="AG62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856678.49462365592</v>
      </c>
      <c r="AH627">
        <f>IFERROR(AG627/(Z627+Table5[[#This Row],[Rider Penalty (Claim, Other Denda to Riders)]]),0)</f>
        <v>5.068791592846688E-2</v>
      </c>
      <c r="AI627" s="12">
        <f t="shared" si="321"/>
        <v>-2640000</v>
      </c>
      <c r="AJ627">
        <f t="shared" si="322"/>
        <v>-0.66415094339622638</v>
      </c>
    </row>
    <row r="628" spans="1:37">
      <c r="A628" s="238">
        <v>2026</v>
      </c>
      <c r="B628" t="s">
        <v>176</v>
      </c>
      <c r="C628" t="s">
        <v>176</v>
      </c>
      <c r="D628" t="s">
        <v>169</v>
      </c>
      <c r="E628" t="s">
        <v>28</v>
      </c>
      <c r="F628" t="s">
        <v>28</v>
      </c>
      <c r="G628" s="119">
        <v>22026</v>
      </c>
      <c r="H628" s="119" t="s">
        <v>21</v>
      </c>
      <c r="I628" s="119" t="s">
        <v>256</v>
      </c>
      <c r="J628" s="237" t="s">
        <v>22</v>
      </c>
      <c r="K628" s="16">
        <v>9</v>
      </c>
      <c r="L628" s="16">
        <v>374</v>
      </c>
      <c r="M628" s="16">
        <v>3570000</v>
      </c>
      <c r="N628" s="16">
        <v>0</v>
      </c>
      <c r="O628" s="16">
        <v>0</v>
      </c>
      <c r="P628" s="16">
        <v>0</v>
      </c>
      <c r="Q628" s="16">
        <v>0</v>
      </c>
      <c r="R628" s="16">
        <v>0</v>
      </c>
      <c r="S628" s="16"/>
      <c r="T628" s="16">
        <f t="shared" si="317"/>
        <v>0</v>
      </c>
      <c r="U628" s="16">
        <v>0</v>
      </c>
      <c r="V628" s="173">
        <v>0</v>
      </c>
      <c r="W628" s="173">
        <v>0</v>
      </c>
      <c r="X628" s="16">
        <v>0</v>
      </c>
      <c r="Y628" s="16">
        <v>0</v>
      </c>
      <c r="Z628" s="16">
        <f>7%*M628</f>
        <v>249900.00000000003</v>
      </c>
      <c r="AA628" s="16">
        <v>0</v>
      </c>
      <c r="AB628" s="16">
        <v>0</v>
      </c>
      <c r="AC628" s="16">
        <v>0</v>
      </c>
      <c r="AD628" s="16">
        <v>0</v>
      </c>
      <c r="AE628">
        <f t="shared" si="319"/>
        <v>249900.00000000003</v>
      </c>
      <c r="AF628" s="12">
        <f t="shared" si="320"/>
        <v>249900.00000000003</v>
      </c>
      <c r="AG62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249900.00000000003</v>
      </c>
      <c r="AH628">
        <f>IFERROR(AG628/(Z628+Table5[[#This Row],[Rider Penalty (Claim, Other Denda to Riders)]]),0)</f>
        <v>1</v>
      </c>
      <c r="AI628" s="12">
        <f t="shared" si="321"/>
        <v>0</v>
      </c>
      <c r="AJ628">
        <f t="shared" si="322"/>
        <v>0</v>
      </c>
    </row>
    <row r="629" spans="1:37">
      <c r="A629" s="180">
        <v>2026</v>
      </c>
      <c r="B629" s="119" t="s">
        <v>23</v>
      </c>
      <c r="C629" s="119" t="s">
        <v>174</v>
      </c>
      <c r="D629" s="119" t="s">
        <v>168</v>
      </c>
      <c r="E629" s="119" t="s">
        <v>24</v>
      </c>
      <c r="F629" s="119" t="s">
        <v>24</v>
      </c>
      <c r="G629" s="119">
        <v>32026</v>
      </c>
      <c r="H629" s="119" t="s">
        <v>21</v>
      </c>
      <c r="I629" s="119" t="s">
        <v>278</v>
      </c>
      <c r="J629" s="237" t="s">
        <v>417</v>
      </c>
      <c r="K629" s="119">
        <v>17</v>
      </c>
      <c r="L629" s="119">
        <v>2144</v>
      </c>
      <c r="M629">
        <v>23356000</v>
      </c>
      <c r="N629">
        <v>2250160</v>
      </c>
      <c r="O629">
        <v>3500000</v>
      </c>
      <c r="P629">
        <v>0</v>
      </c>
      <c r="Q629">
        <v>0</v>
      </c>
      <c r="R629">
        <v>0</v>
      </c>
      <c r="T629">
        <f t="shared" ref="T629:T632" si="323">SUM(N629:R629)</f>
        <v>5750160</v>
      </c>
      <c r="U629">
        <f>600000+((700000/2)/2)</f>
        <v>775000</v>
      </c>
      <c r="V629" s="76">
        <f>99*35000</f>
        <v>3465000</v>
      </c>
      <c r="W629" s="76">
        <v>0</v>
      </c>
      <c r="X629">
        <v>0</v>
      </c>
      <c r="Y629">
        <f t="shared" ref="Y629:Y632" si="324">SUM(U629:X629)</f>
        <v>4240000</v>
      </c>
      <c r="Z629" s="12">
        <f>26%*M629</f>
        <v>6072560</v>
      </c>
      <c r="AA629" s="76">
        <f>(21*15000)+(71*25000)</f>
        <v>2090000</v>
      </c>
      <c r="AB629">
        <v>0</v>
      </c>
      <c r="AC629">
        <v>0</v>
      </c>
      <c r="AD629">
        <v>0</v>
      </c>
      <c r="AE629">
        <f t="shared" ref="AE629:AE632" si="325">SUM(Z629:AD629)</f>
        <v>8162560</v>
      </c>
      <c r="AF629" s="12">
        <f t="shared" ref="AF629:AF632" si="326">AE629-(T629+Y629)</f>
        <v>-1827600</v>
      </c>
      <c r="AG62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-452600</v>
      </c>
      <c r="AH629">
        <f>IFERROR(AG629/(Z629+Table5[[#This Row],[Rider Penalty (Claim, Other Denda to Riders)]]),0)</f>
        <v>-7.4531993096815838E-2</v>
      </c>
      <c r="AI629" s="12">
        <f t="shared" ref="AI629:AI632" si="327">AA629+AB629-V629</f>
        <v>-1375000</v>
      </c>
      <c r="AJ629">
        <f t="shared" ref="AJ629:AJ632" si="328">IFERROR(AI629/(AA629+AB629),0)</f>
        <v>-0.65789473684210531</v>
      </c>
    </row>
    <row r="630" spans="1:37">
      <c r="A630" s="180">
        <v>2026</v>
      </c>
      <c r="B630" s="64" t="s">
        <v>23</v>
      </c>
      <c r="C630" s="64" t="s">
        <v>173</v>
      </c>
      <c r="D630" s="64" t="s">
        <v>168</v>
      </c>
      <c r="E630" s="64" t="s">
        <v>24</v>
      </c>
      <c r="F630" s="64" t="s">
        <v>282</v>
      </c>
      <c r="G630" s="119">
        <v>32026</v>
      </c>
      <c r="H630" s="119" t="s">
        <v>21</v>
      </c>
      <c r="I630" s="119" t="s">
        <v>278</v>
      </c>
      <c r="J630" s="237" t="s">
        <v>417</v>
      </c>
      <c r="K630" s="64">
        <v>15</v>
      </c>
      <c r="L630" s="64">
        <v>1851</v>
      </c>
      <c r="M630">
        <v>18076000</v>
      </c>
      <c r="N630">
        <v>1470720</v>
      </c>
      <c r="O630">
        <v>2425000</v>
      </c>
      <c r="P630">
        <v>0</v>
      </c>
      <c r="Q630">
        <v>0</v>
      </c>
      <c r="R630">
        <v>0</v>
      </c>
      <c r="T630">
        <f t="shared" si="323"/>
        <v>3895720</v>
      </c>
      <c r="U630">
        <v>0</v>
      </c>
      <c r="V630" s="76">
        <f>7*350000</f>
        <v>2450000</v>
      </c>
      <c r="W630" s="76">
        <v>0</v>
      </c>
      <c r="X630">
        <v>0</v>
      </c>
      <c r="Y630">
        <f t="shared" si="324"/>
        <v>2450000</v>
      </c>
      <c r="Z630" s="12">
        <f>26%*M630</f>
        <v>4699760</v>
      </c>
      <c r="AA630">
        <f>(15*15000)+(49*25000)</f>
        <v>1450000</v>
      </c>
      <c r="AB630">
        <v>0</v>
      </c>
      <c r="AC630">
        <v>0</v>
      </c>
      <c r="AD630">
        <v>0</v>
      </c>
      <c r="AE630">
        <f t="shared" si="325"/>
        <v>6149760</v>
      </c>
      <c r="AF630" s="12">
        <f t="shared" si="326"/>
        <v>-195960</v>
      </c>
      <c r="AG63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804040</v>
      </c>
      <c r="AH630">
        <f>IFERROR(AG630/(Z630+Table5[[#This Row],[Rider Penalty (Claim, Other Denda to Riders)]]),0)</f>
        <v>0.17108107648050114</v>
      </c>
      <c r="AI630" s="12">
        <f t="shared" si="327"/>
        <v>-1000000</v>
      </c>
      <c r="AJ630">
        <f t="shared" si="328"/>
        <v>-0.68965517241379315</v>
      </c>
    </row>
    <row r="631" spans="1:37">
      <c r="A631" s="180">
        <v>2026</v>
      </c>
      <c r="B631" s="119" t="s">
        <v>23</v>
      </c>
      <c r="C631" s="119" t="s">
        <v>205</v>
      </c>
      <c r="D631" s="119" t="s">
        <v>168</v>
      </c>
      <c r="E631" s="119" t="s">
        <v>24</v>
      </c>
      <c r="F631" s="119" t="s">
        <v>24</v>
      </c>
      <c r="G631" s="119">
        <v>32026</v>
      </c>
      <c r="H631" s="119" t="s">
        <v>21</v>
      </c>
      <c r="I631" s="119" t="s">
        <v>278</v>
      </c>
      <c r="J631" s="237" t="s">
        <v>417</v>
      </c>
      <c r="K631" s="119">
        <v>8</v>
      </c>
      <c r="L631" s="119">
        <v>1542</v>
      </c>
      <c r="M631">
        <v>3060320</v>
      </c>
      <c r="N631">
        <v>0</v>
      </c>
      <c r="O631">
        <v>0</v>
      </c>
      <c r="P631">
        <v>0</v>
      </c>
      <c r="Q631">
        <v>0</v>
      </c>
      <c r="R631">
        <v>0</v>
      </c>
      <c r="T631">
        <f t="shared" si="323"/>
        <v>0</v>
      </c>
      <c r="U631" s="119">
        <f>(700000/2)/2</f>
        <v>175000</v>
      </c>
      <c r="V631" s="76">
        <v>0</v>
      </c>
      <c r="W631" s="76">
        <v>0</v>
      </c>
      <c r="X631">
        <v>0</v>
      </c>
      <c r="Y631">
        <f t="shared" si="324"/>
        <v>175000</v>
      </c>
      <c r="Z631" s="12">
        <f>10%*M631</f>
        <v>306032</v>
      </c>
      <c r="AA631">
        <v>0</v>
      </c>
      <c r="AB631">
        <v>0</v>
      </c>
      <c r="AC631">
        <v>0</v>
      </c>
      <c r="AD631">
        <v>0</v>
      </c>
      <c r="AE631">
        <f t="shared" si="325"/>
        <v>306032</v>
      </c>
      <c r="AF631" s="12">
        <f t="shared" si="326"/>
        <v>131032</v>
      </c>
      <c r="AG63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131032</v>
      </c>
      <c r="AH631">
        <f>IFERROR(AG631/(Z631+Table5[[#This Row],[Rider Penalty (Claim, Other Denda to Riders)]]),0)</f>
        <v>0.42816437496732368</v>
      </c>
      <c r="AI631" s="12">
        <f t="shared" si="327"/>
        <v>0</v>
      </c>
      <c r="AJ631">
        <f t="shared" si="328"/>
        <v>0</v>
      </c>
    </row>
    <row r="632" spans="1:37">
      <c r="A632" s="238">
        <v>2026</v>
      </c>
      <c r="B632" s="191" t="s">
        <v>202</v>
      </c>
      <c r="C632" s="191" t="s">
        <v>202</v>
      </c>
      <c r="D632" s="191" t="s">
        <v>168</v>
      </c>
      <c r="E632" s="191" t="s">
        <v>24</v>
      </c>
      <c r="F632" s="191" t="s">
        <v>24</v>
      </c>
      <c r="G632" s="119">
        <v>32026</v>
      </c>
      <c r="H632" s="191" t="s">
        <v>21</v>
      </c>
      <c r="I632" s="119" t="s">
        <v>278</v>
      </c>
      <c r="J632" s="237" t="s">
        <v>417</v>
      </c>
      <c r="K632" s="179">
        <v>1</v>
      </c>
      <c r="L632" s="179">
        <v>79</v>
      </c>
      <c r="M632">
        <v>754000</v>
      </c>
      <c r="N632">
        <v>0</v>
      </c>
      <c r="O632">
        <v>0</v>
      </c>
      <c r="P632">
        <v>0</v>
      </c>
      <c r="Q632">
        <v>0</v>
      </c>
      <c r="R632">
        <v>0</v>
      </c>
      <c r="T632">
        <f t="shared" si="323"/>
        <v>0</v>
      </c>
      <c r="U632" s="64">
        <f>700000/2</f>
        <v>350000</v>
      </c>
      <c r="V632" s="76">
        <v>0</v>
      </c>
      <c r="W632" s="76">
        <v>0</v>
      </c>
      <c r="X632">
        <v>0</v>
      </c>
      <c r="Y632">
        <f t="shared" si="324"/>
        <v>350000</v>
      </c>
      <c r="Z632" s="12">
        <f>10%*M632</f>
        <v>75400</v>
      </c>
      <c r="AA632">
        <v>0</v>
      </c>
      <c r="AB632">
        <v>0</v>
      </c>
      <c r="AC632">
        <v>0</v>
      </c>
      <c r="AD632">
        <v>0</v>
      </c>
      <c r="AE632">
        <f t="shared" si="325"/>
        <v>75400</v>
      </c>
      <c r="AF632" s="12">
        <f t="shared" si="326"/>
        <v>-274600</v>
      </c>
      <c r="AG63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-274600</v>
      </c>
      <c r="AH632">
        <f>IFERROR(AG632/(Z632+Table5[[#This Row],[Rider Penalty (Claim, Other Denda to Riders)]]),0)</f>
        <v>-3.6419098143236073</v>
      </c>
      <c r="AI632" s="12">
        <f t="shared" si="327"/>
        <v>0</v>
      </c>
      <c r="AJ632">
        <f t="shared" si="328"/>
        <v>0</v>
      </c>
    </row>
    <row r="633" spans="1:37">
      <c r="A633" s="180">
        <v>2026</v>
      </c>
      <c r="B633" s="179" t="s">
        <v>23</v>
      </c>
      <c r="C633" s="64" t="s">
        <v>23</v>
      </c>
      <c r="D633" t="s">
        <v>168</v>
      </c>
      <c r="E633" t="s">
        <v>28</v>
      </c>
      <c r="F633" t="s">
        <v>28</v>
      </c>
      <c r="G633" s="119">
        <v>32026</v>
      </c>
      <c r="H633" s="119" t="s">
        <v>21</v>
      </c>
      <c r="I633" s="119" t="s">
        <v>278</v>
      </c>
      <c r="J633" s="237" t="s">
        <v>417</v>
      </c>
      <c r="K633" s="16">
        <v>226</v>
      </c>
      <c r="L633" s="16">
        <v>48356</v>
      </c>
      <c r="M633" s="16">
        <v>424110000</v>
      </c>
      <c r="N633" s="16">
        <v>39374455</v>
      </c>
      <c r="O633" s="16">
        <f>56890000+230000</f>
        <v>57120000</v>
      </c>
      <c r="P633" s="16">
        <v>0</v>
      </c>
      <c r="Q633" s="16">
        <v>0</v>
      </c>
      <c r="R633" s="16">
        <v>0</v>
      </c>
      <c r="S633" s="16"/>
      <c r="T633" s="16">
        <f t="shared" ref="T633:T634" si="329">SUM(N633:R633)</f>
        <v>96494455</v>
      </c>
      <c r="U633" s="16">
        <v>4425000</v>
      </c>
      <c r="V633" s="173">
        <v>55370000</v>
      </c>
      <c r="W633" s="173">
        <v>0</v>
      </c>
      <c r="X633" s="16">
        <v>289348.17784946243</v>
      </c>
      <c r="Y633" s="16">
        <f t="shared" ref="Y633:Y635" si="330">SUM(U633:X633)</f>
        <v>60084348.177849464</v>
      </c>
      <c r="Z633" s="12">
        <f>26%*M633</f>
        <v>110268600</v>
      </c>
      <c r="AA633">
        <f>32375000+2825000</f>
        <v>35200000</v>
      </c>
      <c r="AB633">
        <v>0</v>
      </c>
      <c r="AC633">
        <v>1625000</v>
      </c>
      <c r="AD633">
        <v>0</v>
      </c>
      <c r="AE633">
        <f t="shared" ref="AE633:AE635" si="331">SUM(Z633:AD633)</f>
        <v>147093600</v>
      </c>
      <c r="AF633" s="12">
        <f t="shared" ref="AF633:AF635" si="332">AE633-(T633+Y633)</f>
        <v>-9485203.1778494716</v>
      </c>
      <c r="AG63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9059796.8221505377</v>
      </c>
      <c r="AH633">
        <f>IFERROR(AG633/(Z633+Table5[[#This Row],[Rider Penalty (Claim, Other Denda to Riders)]]),0)</f>
        <v>8.2161166661683729E-2</v>
      </c>
      <c r="AI633" s="12">
        <f t="shared" ref="AI633:AI635" si="333">AA633+AB633-V633</f>
        <v>-20170000</v>
      </c>
      <c r="AJ633">
        <f t="shared" ref="AJ633:AJ635" si="334">IFERROR(AI633/(AA633+AB633),0)</f>
        <v>-0.57301136363636362</v>
      </c>
    </row>
    <row r="634" spans="1:37">
      <c r="A634" s="180">
        <v>2026</v>
      </c>
      <c r="B634" s="179" t="s">
        <v>23</v>
      </c>
      <c r="C634" s="64" t="s">
        <v>172</v>
      </c>
      <c r="D634" t="s">
        <v>168</v>
      </c>
      <c r="E634" t="s">
        <v>28</v>
      </c>
      <c r="F634" t="s">
        <v>28</v>
      </c>
      <c r="G634" s="119">
        <v>32026</v>
      </c>
      <c r="H634" s="119" t="s">
        <v>21</v>
      </c>
      <c r="I634" s="119" t="s">
        <v>278</v>
      </c>
      <c r="J634" s="237" t="s">
        <v>417</v>
      </c>
      <c r="K634" s="16">
        <v>30</v>
      </c>
      <c r="L634" s="16">
        <v>8023</v>
      </c>
      <c r="M634" s="16">
        <v>70496000</v>
      </c>
      <c r="N634">
        <v>7628000</v>
      </c>
      <c r="O634" s="16">
        <f>8770000+120000</f>
        <v>8890000</v>
      </c>
      <c r="P634" s="16">
        <v>0</v>
      </c>
      <c r="Q634" s="16">
        <v>0</v>
      </c>
      <c r="R634" s="16">
        <v>0</v>
      </c>
      <c r="S634" s="16"/>
      <c r="T634" s="16">
        <f t="shared" si="329"/>
        <v>16518000</v>
      </c>
      <c r="U634" s="16">
        <v>900000</v>
      </c>
      <c r="V634" s="173">
        <v>7350000</v>
      </c>
      <c r="W634" s="173">
        <v>0</v>
      </c>
      <c r="X634" s="16">
        <v>286021.50537634408</v>
      </c>
      <c r="Y634" s="16">
        <f t="shared" si="330"/>
        <v>8536021.5053763445</v>
      </c>
      <c r="Z634" s="12">
        <f>26%*M634</f>
        <v>18328960</v>
      </c>
      <c r="AA634">
        <f>4300000+225000</f>
        <v>4525000</v>
      </c>
      <c r="AB634">
        <v>0</v>
      </c>
      <c r="AC634">
        <v>250000</v>
      </c>
      <c r="AD634">
        <v>0</v>
      </c>
      <c r="AE634">
        <f t="shared" si="331"/>
        <v>23103960</v>
      </c>
      <c r="AF634" s="12">
        <f t="shared" si="332"/>
        <v>-1950061.5053763464</v>
      </c>
      <c r="AG63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624938.49462365592</v>
      </c>
      <c r="AH634">
        <f>IFERROR(AG634/(Z634+Table5[[#This Row],[Rider Penalty (Claim, Other Denda to Riders)]]),0)</f>
        <v>3.4095687623501604E-2</v>
      </c>
      <c r="AI634" s="12">
        <f t="shared" si="333"/>
        <v>-2825000</v>
      </c>
      <c r="AJ634">
        <f t="shared" si="334"/>
        <v>-0.62430939226519333</v>
      </c>
    </row>
    <row r="635" spans="1:37">
      <c r="A635" s="238">
        <v>2026</v>
      </c>
      <c r="B635" t="s">
        <v>176</v>
      </c>
      <c r="C635" t="s">
        <v>176</v>
      </c>
      <c r="D635" t="s">
        <v>169</v>
      </c>
      <c r="E635" t="s">
        <v>28</v>
      </c>
      <c r="F635" t="s">
        <v>28</v>
      </c>
      <c r="G635" s="119">
        <v>32026</v>
      </c>
      <c r="H635" s="191" t="s">
        <v>21</v>
      </c>
      <c r="I635" s="119" t="s">
        <v>278</v>
      </c>
      <c r="J635" s="237" t="s">
        <v>417</v>
      </c>
      <c r="K635">
        <v>9</v>
      </c>
      <c r="L635">
        <v>320</v>
      </c>
      <c r="M635">
        <v>3084000</v>
      </c>
      <c r="N635">
        <v>0</v>
      </c>
      <c r="O635">
        <v>0</v>
      </c>
      <c r="P635">
        <v>0</v>
      </c>
      <c r="Q635">
        <v>0</v>
      </c>
      <c r="R635">
        <v>0</v>
      </c>
      <c r="T635">
        <v>0</v>
      </c>
      <c r="U635">
        <v>0</v>
      </c>
      <c r="V635" s="76">
        <v>0</v>
      </c>
      <c r="W635" s="76">
        <v>0</v>
      </c>
      <c r="X635">
        <v>0</v>
      </c>
      <c r="Y635">
        <f t="shared" si="330"/>
        <v>0</v>
      </c>
      <c r="Z635" s="12">
        <f>7%*M635</f>
        <v>215880.00000000003</v>
      </c>
      <c r="AA635">
        <v>0</v>
      </c>
      <c r="AB635">
        <v>0</v>
      </c>
      <c r="AC635">
        <v>0</v>
      </c>
      <c r="AD635">
        <v>0</v>
      </c>
      <c r="AE635">
        <f t="shared" si="331"/>
        <v>215880.00000000003</v>
      </c>
      <c r="AF635" s="12">
        <f t="shared" si="332"/>
        <v>215880.00000000003</v>
      </c>
      <c r="AG63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215880.00000000003</v>
      </c>
      <c r="AH635">
        <f>IFERROR(AG635/(Z635+Table5[[#This Row],[Rider Penalty (Claim, Other Denda to Riders)]]),0)</f>
        <v>1</v>
      </c>
      <c r="AI635" s="12">
        <f t="shared" si="333"/>
        <v>0</v>
      </c>
      <c r="AJ635">
        <f t="shared" si="334"/>
        <v>0</v>
      </c>
    </row>
    <row r="636" spans="1:37">
      <c r="A636" s="180">
        <v>2026</v>
      </c>
      <c r="B636" s="119" t="s">
        <v>23</v>
      </c>
      <c r="C636" s="119" t="s">
        <v>174</v>
      </c>
      <c r="D636" s="119" t="s">
        <v>168</v>
      </c>
      <c r="E636" s="119" t="s">
        <v>24</v>
      </c>
      <c r="F636" s="119" t="s">
        <v>24</v>
      </c>
      <c r="G636" s="119">
        <v>42026</v>
      </c>
      <c r="H636" s="119" t="s">
        <v>21</v>
      </c>
      <c r="I636" s="119" t="s">
        <v>279</v>
      </c>
      <c r="J636" s="237" t="s">
        <v>298</v>
      </c>
      <c r="K636" s="119">
        <v>21</v>
      </c>
      <c r="L636" s="119">
        <v>2663</v>
      </c>
      <c r="M636">
        <v>24502000</v>
      </c>
      <c r="N636">
        <v>1972080</v>
      </c>
      <c r="O636">
        <v>3825000</v>
      </c>
      <c r="P636">
        <v>0</v>
      </c>
      <c r="Q636">
        <v>0</v>
      </c>
      <c r="R636">
        <v>0</v>
      </c>
      <c r="T636">
        <f t="shared" ref="T636:T639" si="335">SUM(N636:R636)</f>
        <v>5797080</v>
      </c>
      <c r="U636">
        <f>600000+((700000/2)/2)</f>
        <v>775000</v>
      </c>
      <c r="V636" s="76">
        <f>108*35000</f>
        <v>3780000</v>
      </c>
      <c r="W636" s="76">
        <v>0</v>
      </c>
      <c r="X636">
        <v>0</v>
      </c>
      <c r="Y636">
        <f t="shared" ref="Y636:Y639" si="336">SUM(U636:X636)</f>
        <v>4555000</v>
      </c>
      <c r="Z636" s="12">
        <f>26%*M636</f>
        <v>6370520</v>
      </c>
      <c r="AA636">
        <f>(38*15000)+(78*35000)</f>
        <v>3300000</v>
      </c>
      <c r="AB636">
        <v>0</v>
      </c>
      <c r="AC636">
        <v>0</v>
      </c>
      <c r="AD636">
        <v>0</v>
      </c>
      <c r="AE636">
        <f t="shared" ref="AE636:AE639" si="337">SUM(Z636:AD636)</f>
        <v>9670520</v>
      </c>
      <c r="AF636" s="12">
        <f t="shared" ref="AF636:AF639" si="338">AE636-(T636+Y636)</f>
        <v>-681560</v>
      </c>
      <c r="AG63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-201560</v>
      </c>
      <c r="AH636">
        <f>IFERROR(AG636/(Z636+Table5[[#This Row],[Rider Penalty (Claim, Other Denda to Riders)]]),0)</f>
        <v>-3.1639489398039719E-2</v>
      </c>
      <c r="AI636" s="12">
        <f t="shared" ref="AI636:AI639" si="339">AA636+AB636-V636</f>
        <v>-480000</v>
      </c>
      <c r="AJ636">
        <f t="shared" ref="AJ636:AJ639" si="340">IFERROR(AI636/(AA636+AB636),0)</f>
        <v>-0.14545454545454545</v>
      </c>
    </row>
    <row r="637" spans="1:37">
      <c r="A637" s="180">
        <v>2026</v>
      </c>
      <c r="B637" s="64" t="s">
        <v>23</v>
      </c>
      <c r="C637" s="64" t="s">
        <v>173</v>
      </c>
      <c r="D637" s="64" t="s">
        <v>168</v>
      </c>
      <c r="E637" s="64" t="s">
        <v>24</v>
      </c>
      <c r="F637" s="64" t="s">
        <v>282</v>
      </c>
      <c r="G637" s="119">
        <v>42026</v>
      </c>
      <c r="H637" s="119" t="s">
        <v>21</v>
      </c>
      <c r="I637" s="119" t="s">
        <v>279</v>
      </c>
      <c r="J637" s="237" t="s">
        <v>298</v>
      </c>
      <c r="K637" s="64">
        <v>14</v>
      </c>
      <c r="L637" s="64">
        <v>1946</v>
      </c>
      <c r="M637">
        <v>17466000</v>
      </c>
      <c r="N637">
        <v>1315000</v>
      </c>
      <c r="O637">
        <v>2375000</v>
      </c>
      <c r="P637">
        <v>0</v>
      </c>
      <c r="Q637">
        <v>0</v>
      </c>
      <c r="R637">
        <v>0</v>
      </c>
      <c r="T637">
        <f t="shared" si="335"/>
        <v>3690000</v>
      </c>
      <c r="U637">
        <v>0</v>
      </c>
      <c r="V637" s="76">
        <f>70*35000</f>
        <v>2450000</v>
      </c>
      <c r="W637" s="76">
        <v>0</v>
      </c>
      <c r="X637">
        <v>0</v>
      </c>
      <c r="Y637">
        <f t="shared" si="336"/>
        <v>2450000</v>
      </c>
      <c r="Z637" s="12">
        <f>26%*M637</f>
        <v>4541160</v>
      </c>
      <c r="AA637">
        <f>(31*15000)+(47*25000)</f>
        <v>1640000</v>
      </c>
      <c r="AB637">
        <v>0</v>
      </c>
      <c r="AC637">
        <v>0</v>
      </c>
      <c r="AD637">
        <v>0</v>
      </c>
      <c r="AE637">
        <f t="shared" si="337"/>
        <v>6181160</v>
      </c>
      <c r="AF637" s="12">
        <f t="shared" si="338"/>
        <v>41160</v>
      </c>
      <c r="AG63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851160</v>
      </c>
      <c r="AH637">
        <f>IFERROR(AG637/(Z637+Table5[[#This Row],[Rider Penalty (Claim, Other Denda to Riders)]]),0)</f>
        <v>0.18743228602383533</v>
      </c>
      <c r="AI637" s="12">
        <f t="shared" si="339"/>
        <v>-810000</v>
      </c>
      <c r="AJ637">
        <f t="shared" si="340"/>
        <v>-0.49390243902439024</v>
      </c>
    </row>
    <row r="638" spans="1:37">
      <c r="A638" s="180">
        <v>2026</v>
      </c>
      <c r="B638" s="119" t="s">
        <v>23</v>
      </c>
      <c r="C638" s="119" t="s">
        <v>205</v>
      </c>
      <c r="D638" s="119" t="s">
        <v>168</v>
      </c>
      <c r="E638" s="119" t="s">
        <v>24</v>
      </c>
      <c r="F638" s="119" t="s">
        <v>24</v>
      </c>
      <c r="G638" s="119">
        <v>42026</v>
      </c>
      <c r="H638" s="119" t="s">
        <v>21</v>
      </c>
      <c r="I638" s="119" t="s">
        <v>279</v>
      </c>
      <c r="J638" s="237" t="s">
        <v>298</v>
      </c>
      <c r="K638" s="119">
        <v>11</v>
      </c>
      <c r="L638" s="119">
        <v>1594</v>
      </c>
      <c r="M638">
        <v>3044800</v>
      </c>
      <c r="N638">
        <v>0</v>
      </c>
      <c r="O638">
        <v>0</v>
      </c>
      <c r="P638">
        <v>0</v>
      </c>
      <c r="Q638">
        <v>0</v>
      </c>
      <c r="R638">
        <v>0</v>
      </c>
      <c r="T638">
        <f t="shared" si="335"/>
        <v>0</v>
      </c>
      <c r="U638" s="119">
        <f>(700000/2)/2</f>
        <v>175000</v>
      </c>
      <c r="V638" s="76">
        <v>0</v>
      </c>
      <c r="W638" s="76">
        <v>0</v>
      </c>
      <c r="X638">
        <v>0</v>
      </c>
      <c r="Y638">
        <f t="shared" si="336"/>
        <v>175000</v>
      </c>
      <c r="Z638" s="12">
        <f>7%*M638</f>
        <v>213136.00000000003</v>
      </c>
      <c r="AA638">
        <v>0</v>
      </c>
      <c r="AB638">
        <v>0</v>
      </c>
      <c r="AC638">
        <v>0</v>
      </c>
      <c r="AD638">
        <v>0</v>
      </c>
      <c r="AE638">
        <f t="shared" si="337"/>
        <v>213136.00000000003</v>
      </c>
      <c r="AF638" s="12">
        <f t="shared" si="338"/>
        <v>38136.000000000029</v>
      </c>
      <c r="AG63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38136.000000000029</v>
      </c>
      <c r="AH638">
        <f>IFERROR(AG638/(Z638+Table5[[#This Row],[Rider Penalty (Claim, Other Denda to Riders)]]),0)</f>
        <v>0.17892800840777731</v>
      </c>
      <c r="AI638" s="12">
        <f t="shared" si="339"/>
        <v>0</v>
      </c>
      <c r="AJ638">
        <f t="shared" si="340"/>
        <v>0</v>
      </c>
    </row>
    <row r="639" spans="1:37">
      <c r="A639" s="238">
        <v>2026</v>
      </c>
      <c r="B639" s="191" t="s">
        <v>202</v>
      </c>
      <c r="C639" s="191" t="s">
        <v>202</v>
      </c>
      <c r="D639" s="191" t="s">
        <v>168</v>
      </c>
      <c r="E639" s="191" t="s">
        <v>24</v>
      </c>
      <c r="F639" s="191" t="s">
        <v>24</v>
      </c>
      <c r="G639" s="119">
        <v>42026</v>
      </c>
      <c r="H639" s="191" t="s">
        <v>21</v>
      </c>
      <c r="I639" s="119" t="s">
        <v>279</v>
      </c>
      <c r="J639" s="237" t="s">
        <v>298</v>
      </c>
      <c r="K639" s="179">
        <v>1</v>
      </c>
      <c r="L639" s="179">
        <v>71</v>
      </c>
      <c r="M639">
        <v>679000</v>
      </c>
      <c r="N639">
        <v>0</v>
      </c>
      <c r="O639">
        <v>0</v>
      </c>
      <c r="P639">
        <v>0</v>
      </c>
      <c r="Q639">
        <v>0</v>
      </c>
      <c r="R639">
        <v>0</v>
      </c>
      <c r="T639">
        <f t="shared" si="335"/>
        <v>0</v>
      </c>
      <c r="U639" s="119">
        <f>700000/2</f>
        <v>350000</v>
      </c>
      <c r="V639" s="76">
        <v>0</v>
      </c>
      <c r="W639" s="76">
        <v>0</v>
      </c>
      <c r="X639">
        <v>0</v>
      </c>
      <c r="Y639">
        <f t="shared" si="336"/>
        <v>350000</v>
      </c>
      <c r="Z639" s="12">
        <f>10%*M639</f>
        <v>67900</v>
      </c>
      <c r="AA639">
        <v>0</v>
      </c>
      <c r="AB639">
        <v>0</v>
      </c>
      <c r="AC639">
        <v>0</v>
      </c>
      <c r="AD639">
        <v>0</v>
      </c>
      <c r="AE639">
        <f t="shared" si="337"/>
        <v>67900</v>
      </c>
      <c r="AF639" s="12">
        <f t="shared" si="338"/>
        <v>-282100</v>
      </c>
      <c r="AG63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-282100</v>
      </c>
      <c r="AH639">
        <f>IFERROR(AG639/(Z639+Table5[[#This Row],[Rider Penalty (Claim, Other Denda to Riders)]]),0)</f>
        <v>-4.1546391752577323</v>
      </c>
      <c r="AI639" s="12">
        <f t="shared" si="339"/>
        <v>0</v>
      </c>
      <c r="AJ639">
        <f t="shared" si="340"/>
        <v>0</v>
      </c>
    </row>
    <row r="640" spans="1:37">
      <c r="A640" s="180">
        <v>2026</v>
      </c>
      <c r="B640" s="179" t="s">
        <v>23</v>
      </c>
      <c r="C640" s="64" t="s">
        <v>23</v>
      </c>
      <c r="D640" t="s">
        <v>168</v>
      </c>
      <c r="E640" t="s">
        <v>28</v>
      </c>
      <c r="F640" t="s">
        <v>28</v>
      </c>
      <c r="G640" s="119">
        <v>42026</v>
      </c>
      <c r="H640" s="191" t="s">
        <v>21</v>
      </c>
      <c r="I640" s="119" t="s">
        <v>279</v>
      </c>
      <c r="J640" s="237" t="s">
        <v>298</v>
      </c>
      <c r="K640" s="16">
        <v>216</v>
      </c>
      <c r="L640" s="16">
        <v>45349</v>
      </c>
      <c r="M640" s="16">
        <v>396904000</v>
      </c>
      <c r="N640" s="16">
        <v>36014020</v>
      </c>
      <c r="O640" s="16">
        <f>55450000+140000</f>
        <v>55590000</v>
      </c>
      <c r="P640" s="16">
        <v>0</v>
      </c>
      <c r="Q640" s="16">
        <v>600000</v>
      </c>
      <c r="R640" s="16">
        <v>1200000</v>
      </c>
      <c r="S640" s="16"/>
      <c r="T640" s="16">
        <f t="shared" ref="T640:T642" si="341">SUM(N640:R640)</f>
        <v>93404020</v>
      </c>
      <c r="U640" s="16">
        <v>3825000</v>
      </c>
      <c r="V640" s="14">
        <v>52920000</v>
      </c>
      <c r="W640" s="14">
        <v>0</v>
      </c>
      <c r="X640" s="16">
        <v>289348.17784946243</v>
      </c>
      <c r="Y640" s="16">
        <f t="shared" ref="Y640:Y642" si="342">SUM(U640:X640)</f>
        <v>57034348.177849464</v>
      </c>
      <c r="Z640" s="16">
        <f>26%*M640</f>
        <v>103195040</v>
      </c>
      <c r="AA640" s="16">
        <f>31175000+2575000</f>
        <v>33750000</v>
      </c>
      <c r="AB640" s="16">
        <v>0</v>
      </c>
      <c r="AC640" s="16">
        <v>1250000</v>
      </c>
      <c r="AD640" s="16">
        <v>0</v>
      </c>
      <c r="AE640" s="16">
        <f t="shared" ref="AE640:AE642" si="343">SUM(Z640:AD640)</f>
        <v>138195040</v>
      </c>
      <c r="AF640" s="16">
        <f t="shared" ref="AF640:AF642" si="344">AE640-(T640+Y640)</f>
        <v>-12243328.177849472</v>
      </c>
      <c r="AG640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5676671.8221505377</v>
      </c>
      <c r="AH640" s="16">
        <f>IFERROR(AG640/(Z640+Table5[[#This Row],[Rider Penalty (Claim, Other Denda to Riders)]]),0)</f>
        <v>5.500915375536012E-2</v>
      </c>
      <c r="AI640" s="16">
        <f t="shared" ref="AI640:AI642" si="345">AA640+AB640-V640</f>
        <v>-19170000</v>
      </c>
      <c r="AJ640" s="16">
        <f t="shared" ref="AJ640:AJ642" si="346">IFERROR(AI640/(AA640+AB640),0)</f>
        <v>-0.56799999999999995</v>
      </c>
      <c r="AK640" s="16"/>
    </row>
    <row r="641" spans="1:37">
      <c r="A641" s="180">
        <v>2026</v>
      </c>
      <c r="B641" s="179" t="s">
        <v>23</v>
      </c>
      <c r="C641" s="64" t="s">
        <v>172</v>
      </c>
      <c r="D641" t="s">
        <v>168</v>
      </c>
      <c r="E641" t="s">
        <v>28</v>
      </c>
      <c r="F641" t="s">
        <v>28</v>
      </c>
      <c r="G641" s="119">
        <v>42026</v>
      </c>
      <c r="H641" s="191" t="s">
        <v>21</v>
      </c>
      <c r="I641" s="119" t="s">
        <v>279</v>
      </c>
      <c r="J641" s="237" t="s">
        <v>298</v>
      </c>
      <c r="K641" s="16">
        <v>34</v>
      </c>
      <c r="L641" s="16">
        <v>6162</v>
      </c>
      <c r="M641" s="16">
        <v>54248000</v>
      </c>
      <c r="N641" s="16">
        <v>4890460</v>
      </c>
      <c r="O641" s="16">
        <f>8800000+120000</f>
        <v>8920000</v>
      </c>
      <c r="P641" s="16">
        <v>0</v>
      </c>
      <c r="Q641" s="16">
        <v>100000</v>
      </c>
      <c r="R641" s="16">
        <v>200000</v>
      </c>
      <c r="S641" s="16"/>
      <c r="T641" s="16">
        <f t="shared" si="341"/>
        <v>14110460</v>
      </c>
      <c r="U641" s="16">
        <v>900000</v>
      </c>
      <c r="V641" s="16">
        <v>8330000</v>
      </c>
      <c r="W641" s="14">
        <v>0</v>
      </c>
      <c r="X641" s="16">
        <v>286021.50537634408</v>
      </c>
      <c r="Y641" s="16">
        <f t="shared" si="342"/>
        <v>9516021.5053763445</v>
      </c>
      <c r="Z641" s="16">
        <f>26%*M641</f>
        <v>14104480</v>
      </c>
      <c r="AA641" s="16">
        <f>4725000+325000</f>
        <v>5050000</v>
      </c>
      <c r="AB641" s="16">
        <v>0</v>
      </c>
      <c r="AC641" s="16">
        <v>300000</v>
      </c>
      <c r="AD641" s="16">
        <v>0</v>
      </c>
      <c r="AE641" s="16">
        <f t="shared" si="343"/>
        <v>19454480</v>
      </c>
      <c r="AF641" s="16">
        <f t="shared" si="344"/>
        <v>-4172001.5053763464</v>
      </c>
      <c r="AG641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-1192001.5053763441</v>
      </c>
      <c r="AH641" s="16">
        <f>IFERROR(AG641/(Z641+Table5[[#This Row],[Rider Penalty (Claim, Other Denda to Riders)]]),0)</f>
        <v>-8.451226173360124E-2</v>
      </c>
      <c r="AI641" s="16">
        <f t="shared" si="345"/>
        <v>-3280000</v>
      </c>
      <c r="AJ641" s="16">
        <f t="shared" si="346"/>
        <v>-0.64950495049504953</v>
      </c>
      <c r="AK641" s="16"/>
    </row>
    <row r="642" spans="1:37">
      <c r="A642" s="238">
        <v>2026</v>
      </c>
      <c r="B642" t="s">
        <v>176</v>
      </c>
      <c r="C642" t="s">
        <v>176</v>
      </c>
      <c r="D642" t="s">
        <v>169</v>
      </c>
      <c r="E642" t="s">
        <v>28</v>
      </c>
      <c r="F642" t="s">
        <v>28</v>
      </c>
      <c r="G642" s="119">
        <v>42026</v>
      </c>
      <c r="H642" s="191" t="s">
        <v>21</v>
      </c>
      <c r="I642" s="119" t="s">
        <v>279</v>
      </c>
      <c r="J642" s="237" t="s">
        <v>298</v>
      </c>
      <c r="K642" s="16">
        <v>9</v>
      </c>
      <c r="L642" s="16">
        <v>276</v>
      </c>
      <c r="M642" s="16">
        <v>2655000</v>
      </c>
      <c r="N642" s="16">
        <v>0</v>
      </c>
      <c r="O642" s="16">
        <v>0</v>
      </c>
      <c r="P642" s="16">
        <v>0</v>
      </c>
      <c r="Q642" s="16"/>
      <c r="R642" s="16"/>
      <c r="S642" s="16"/>
      <c r="T642" s="16">
        <f t="shared" si="341"/>
        <v>0</v>
      </c>
      <c r="U642" s="16">
        <v>0</v>
      </c>
      <c r="V642" s="14">
        <v>0</v>
      </c>
      <c r="W642" s="14">
        <v>0</v>
      </c>
      <c r="X642" s="16">
        <v>0</v>
      </c>
      <c r="Y642" s="16">
        <f t="shared" si="342"/>
        <v>0</v>
      </c>
      <c r="Z642" s="16">
        <f>7%*M642</f>
        <v>185850.00000000003</v>
      </c>
      <c r="AA642" s="16">
        <v>0</v>
      </c>
      <c r="AB642" s="16">
        <v>0</v>
      </c>
      <c r="AC642" s="16">
        <v>0</v>
      </c>
      <c r="AD642" s="16">
        <v>0</v>
      </c>
      <c r="AE642" s="16">
        <f t="shared" si="343"/>
        <v>185850.00000000003</v>
      </c>
      <c r="AF642" s="16">
        <f t="shared" si="344"/>
        <v>185850.00000000003</v>
      </c>
      <c r="AG64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185850.00000000003</v>
      </c>
      <c r="AH642" s="16">
        <f>IFERROR(AG642/(Z642+Table5[[#This Row],[Rider Penalty (Claim, Other Denda to Riders)]]),0)</f>
        <v>1</v>
      </c>
      <c r="AI642" s="16">
        <f t="shared" si="345"/>
        <v>0</v>
      </c>
      <c r="AJ642" s="16">
        <f t="shared" si="346"/>
        <v>0</v>
      </c>
      <c r="AK642" s="16"/>
    </row>
    <row r="643" spans="1:37">
      <c r="A643" s="180">
        <v>2026</v>
      </c>
      <c r="B643" s="119" t="s">
        <v>23</v>
      </c>
      <c r="C643" s="119" t="s">
        <v>174</v>
      </c>
      <c r="D643" s="119" t="s">
        <v>168</v>
      </c>
      <c r="E643" s="119" t="s">
        <v>24</v>
      </c>
      <c r="F643" s="119" t="s">
        <v>24</v>
      </c>
      <c r="G643" s="119">
        <v>52026</v>
      </c>
      <c r="H643" s="119" t="s">
        <v>21</v>
      </c>
      <c r="I643" s="119" t="s">
        <v>280</v>
      </c>
      <c r="J643" s="237" t="s">
        <v>295</v>
      </c>
      <c r="K643" s="119">
        <v>27</v>
      </c>
      <c r="L643" s="119">
        <v>2363</v>
      </c>
      <c r="M643">
        <v>22456000</v>
      </c>
      <c r="N643">
        <v>1743660</v>
      </c>
      <c r="O643">
        <v>3800000</v>
      </c>
      <c r="P643">
        <v>0</v>
      </c>
      <c r="Q643">
        <v>0</v>
      </c>
      <c r="R643">
        <v>0</v>
      </c>
      <c r="T643">
        <f t="shared" ref="T643:T646" si="347">SUM(N643:R643)</f>
        <v>5543660</v>
      </c>
      <c r="U643">
        <f>((600000+((700000/2)/2))/7)*6</f>
        <v>664285.71428571432</v>
      </c>
      <c r="V643" s="76">
        <f>106*35000</f>
        <v>3710000</v>
      </c>
      <c r="W643" s="76">
        <v>0</v>
      </c>
      <c r="X643">
        <v>0</v>
      </c>
      <c r="Y643">
        <f t="shared" ref="Y643:Y646" si="348">SUM(U643:X643)</f>
        <v>4374285.7142857146</v>
      </c>
      <c r="Z643" s="12">
        <f>26%*M643</f>
        <v>5838560</v>
      </c>
      <c r="AA643">
        <f>(41*15000)+(65*25000)</f>
        <v>2240000</v>
      </c>
      <c r="AB643">
        <v>0</v>
      </c>
      <c r="AC643">
        <v>0</v>
      </c>
      <c r="AD643">
        <v>0</v>
      </c>
      <c r="AE643">
        <f t="shared" ref="AE643:AE646" si="349">SUM(Z643:AD643)</f>
        <v>8078560</v>
      </c>
      <c r="AF643" s="12">
        <f t="shared" ref="AF643:AF646" si="350">AE643-(T643+Y643)</f>
        <v>-1839385.7142857146</v>
      </c>
      <c r="AG64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-369385.71428571432</v>
      </c>
      <c r="AH643">
        <f>IFERROR(AG643/(Z643+Table5[[#This Row],[Rider Penalty (Claim, Other Denda to Riders)]]),0)</f>
        <v>-6.3266578451829619E-2</v>
      </c>
      <c r="AI643" s="12">
        <f t="shared" ref="AI643:AI646" si="351">AA643+AB643-V643</f>
        <v>-1470000</v>
      </c>
      <c r="AJ643">
        <f t="shared" ref="AJ643:AJ646" si="352">IFERROR(AI643/(AA643+AB643),0)</f>
        <v>-0.65625</v>
      </c>
    </row>
    <row r="644" spans="1:37">
      <c r="A644" s="180">
        <v>2026</v>
      </c>
      <c r="B644" s="64" t="s">
        <v>23</v>
      </c>
      <c r="C644" s="64" t="s">
        <v>173</v>
      </c>
      <c r="D644" s="64" t="s">
        <v>168</v>
      </c>
      <c r="E644" s="64" t="s">
        <v>24</v>
      </c>
      <c r="F644" s="64" t="s">
        <v>282</v>
      </c>
      <c r="G644" s="119">
        <v>52026</v>
      </c>
      <c r="H644" s="119" t="s">
        <v>21</v>
      </c>
      <c r="I644" s="119" t="s">
        <v>280</v>
      </c>
      <c r="J644" s="237" t="s">
        <v>295</v>
      </c>
      <c r="K644" s="64">
        <v>11</v>
      </c>
      <c r="L644" s="64">
        <v>1461</v>
      </c>
      <c r="M644">
        <v>13180000</v>
      </c>
      <c r="N644">
        <v>1875000</v>
      </c>
      <c r="O644">
        <v>995640</v>
      </c>
      <c r="P644">
        <v>0</v>
      </c>
      <c r="Q644">
        <v>0</v>
      </c>
      <c r="R644">
        <v>0</v>
      </c>
      <c r="T644">
        <f t="shared" si="347"/>
        <v>2870640</v>
      </c>
      <c r="V644">
        <f>60*35000</f>
        <v>2100000</v>
      </c>
      <c r="W644" s="76">
        <v>0</v>
      </c>
      <c r="X644">
        <v>0</v>
      </c>
      <c r="Y644">
        <f t="shared" si="348"/>
        <v>2100000</v>
      </c>
      <c r="Z644" s="12">
        <f>26%*M644</f>
        <v>3426800</v>
      </c>
      <c r="AA644">
        <f>(54*25000)+(6*15000)</f>
        <v>1440000</v>
      </c>
      <c r="AB644">
        <v>0</v>
      </c>
      <c r="AC644">
        <v>0</v>
      </c>
      <c r="AD644">
        <v>0</v>
      </c>
      <c r="AE644">
        <f t="shared" si="349"/>
        <v>4866800</v>
      </c>
      <c r="AF644" s="12">
        <f t="shared" si="350"/>
        <v>-103840</v>
      </c>
      <c r="AG64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556160</v>
      </c>
      <c r="AH644">
        <f>IFERROR(AG644/(Z644+Table5[[#This Row],[Rider Penalty (Claim, Other Denda to Riders)]]),0)</f>
        <v>0.16229718687988795</v>
      </c>
      <c r="AI644" s="12">
        <f t="shared" si="351"/>
        <v>-660000</v>
      </c>
      <c r="AJ644">
        <f t="shared" si="352"/>
        <v>-0.45833333333333331</v>
      </c>
    </row>
    <row r="645" spans="1:37">
      <c r="A645" s="180">
        <v>2026</v>
      </c>
      <c r="B645" s="119" t="s">
        <v>23</v>
      </c>
      <c r="C645" s="119" t="s">
        <v>205</v>
      </c>
      <c r="D645" s="119" t="s">
        <v>168</v>
      </c>
      <c r="E645" s="119" t="s">
        <v>24</v>
      </c>
      <c r="F645" s="119" t="s">
        <v>24</v>
      </c>
      <c r="G645" s="119">
        <v>52026</v>
      </c>
      <c r="H645" s="119" t="s">
        <v>21</v>
      </c>
      <c r="I645" s="119" t="s">
        <v>280</v>
      </c>
      <c r="J645" s="237" t="s">
        <v>295</v>
      </c>
      <c r="K645" s="119">
        <v>9</v>
      </c>
      <c r="L645" s="119">
        <v>1581</v>
      </c>
      <c r="M645">
        <v>2550039</v>
      </c>
      <c r="N645">
        <v>0</v>
      </c>
      <c r="O645">
        <v>0</v>
      </c>
      <c r="P645">
        <v>0</v>
      </c>
      <c r="Q645">
        <v>0</v>
      </c>
      <c r="R645">
        <v>0</v>
      </c>
      <c r="T645">
        <f t="shared" si="347"/>
        <v>0</v>
      </c>
      <c r="U645" s="119">
        <f>(((700000/2)/2)/7)*6</f>
        <v>150000</v>
      </c>
      <c r="V645" s="76">
        <v>0</v>
      </c>
      <c r="W645" s="76">
        <v>0</v>
      </c>
      <c r="X645">
        <v>0</v>
      </c>
      <c r="Y645">
        <f t="shared" si="348"/>
        <v>150000</v>
      </c>
      <c r="Z645" s="12">
        <f>10%*M645</f>
        <v>255003.90000000002</v>
      </c>
      <c r="AA645">
        <v>0</v>
      </c>
      <c r="AB645">
        <v>0</v>
      </c>
      <c r="AC645">
        <v>0</v>
      </c>
      <c r="AD645">
        <v>0</v>
      </c>
      <c r="AE645">
        <f t="shared" si="349"/>
        <v>255003.90000000002</v>
      </c>
      <c r="AF645" s="12">
        <f t="shared" si="350"/>
        <v>105003.90000000002</v>
      </c>
      <c r="AG64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105003.90000000002</v>
      </c>
      <c r="AH645">
        <f>IFERROR(AG645/(Z645+Table5[[#This Row],[Rider Penalty (Claim, Other Denda to Riders)]]),0)</f>
        <v>0.41177370228455334</v>
      </c>
      <c r="AI645" s="12">
        <f t="shared" si="351"/>
        <v>0</v>
      </c>
      <c r="AJ645">
        <f t="shared" si="352"/>
        <v>0</v>
      </c>
    </row>
    <row r="646" spans="1:37">
      <c r="A646" s="238">
        <v>2026</v>
      </c>
      <c r="B646" s="191" t="s">
        <v>202</v>
      </c>
      <c r="C646" s="191" t="s">
        <v>202</v>
      </c>
      <c r="D646" s="191" t="s">
        <v>168</v>
      </c>
      <c r="E646" s="191" t="s">
        <v>24</v>
      </c>
      <c r="F646" s="191" t="s">
        <v>24</v>
      </c>
      <c r="G646" s="119">
        <v>52026</v>
      </c>
      <c r="H646" s="119" t="s">
        <v>21</v>
      </c>
      <c r="I646" s="119" t="s">
        <v>280</v>
      </c>
      <c r="J646" s="237" t="s">
        <v>295</v>
      </c>
      <c r="K646" s="179">
        <v>1</v>
      </c>
      <c r="L646" s="179">
        <v>84</v>
      </c>
      <c r="M646">
        <v>789000</v>
      </c>
      <c r="N646">
        <v>0</v>
      </c>
      <c r="O646">
        <v>0</v>
      </c>
      <c r="P646">
        <v>0</v>
      </c>
      <c r="Q646">
        <v>0</v>
      </c>
      <c r="R646">
        <v>0</v>
      </c>
      <c r="T646">
        <f t="shared" si="347"/>
        <v>0</v>
      </c>
      <c r="U646" s="119">
        <f>700000/2</f>
        <v>350000</v>
      </c>
      <c r="V646" s="76">
        <v>0</v>
      </c>
      <c r="W646" s="76">
        <v>0</v>
      </c>
      <c r="X646">
        <v>0</v>
      </c>
      <c r="Y646">
        <f t="shared" si="348"/>
        <v>350000</v>
      </c>
      <c r="Z646" s="12">
        <f>10%*M646</f>
        <v>78900</v>
      </c>
      <c r="AA646">
        <v>0</v>
      </c>
      <c r="AB646">
        <v>0</v>
      </c>
      <c r="AC646">
        <v>0</v>
      </c>
      <c r="AD646">
        <v>0</v>
      </c>
      <c r="AE646">
        <f t="shared" si="349"/>
        <v>78900</v>
      </c>
      <c r="AF646" s="12">
        <f t="shared" si="350"/>
        <v>-271100</v>
      </c>
      <c r="AG64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-271100</v>
      </c>
      <c r="AH646">
        <f>IFERROR(AG646/(Z646+Table5[[#This Row],[Rider Penalty (Claim, Other Denda to Riders)]]),0)</f>
        <v>-3.4359949302915083</v>
      </c>
      <c r="AI646" s="12">
        <f t="shared" si="351"/>
        <v>0</v>
      </c>
      <c r="AJ646">
        <f t="shared" si="352"/>
        <v>0</v>
      </c>
    </row>
    <row r="647" spans="1:37">
      <c r="A647" s="180">
        <v>2026</v>
      </c>
      <c r="B647" s="119" t="s">
        <v>23</v>
      </c>
      <c r="C647" s="119" t="s">
        <v>174</v>
      </c>
      <c r="D647" s="119" t="s">
        <v>168</v>
      </c>
      <c r="E647" s="119" t="s">
        <v>24</v>
      </c>
      <c r="F647" s="119" t="s">
        <v>24</v>
      </c>
      <c r="G647" s="119">
        <v>52026</v>
      </c>
      <c r="H647" s="119" t="s">
        <v>158</v>
      </c>
      <c r="I647" s="119" t="s">
        <v>275</v>
      </c>
      <c r="J647" s="334">
        <v>46054</v>
      </c>
      <c r="K647">
        <v>20</v>
      </c>
      <c r="L647">
        <v>547</v>
      </c>
      <c r="M647">
        <v>4394000</v>
      </c>
      <c r="N647">
        <v>475000</v>
      </c>
      <c r="O647">
        <v>358660</v>
      </c>
      <c r="P647">
        <v>0</v>
      </c>
      <c r="Q647">
        <v>0</v>
      </c>
      <c r="R647">
        <v>0</v>
      </c>
      <c r="T647">
        <f t="shared" ref="T647:T650" si="353">SUM(N647:R647)</f>
        <v>833660</v>
      </c>
      <c r="U647">
        <f>((600000+((700000/2)/2))/7)*1</f>
        <v>110714.28571428571</v>
      </c>
      <c r="V647" s="76">
        <f>20*35000</f>
        <v>700000</v>
      </c>
      <c r="W647" s="76">
        <v>0</v>
      </c>
      <c r="X647">
        <v>0</v>
      </c>
      <c r="Y647">
        <f t="shared" ref="Y647:Y650" si="354">SUM(U647:X647)</f>
        <v>810714.28571428568</v>
      </c>
      <c r="Z647" s="12">
        <f>26%*M647</f>
        <v>1142440</v>
      </c>
      <c r="AA647">
        <f>(10*15000)+(10*25000)</f>
        <v>400000</v>
      </c>
      <c r="AB647">
        <v>0</v>
      </c>
      <c r="AC647">
        <v>0</v>
      </c>
      <c r="AD647">
        <v>0</v>
      </c>
      <c r="AE647">
        <f t="shared" ref="AE647:AE649" si="355">SUM(Z647:AD647)</f>
        <v>1542440</v>
      </c>
      <c r="AF647" s="12">
        <f t="shared" ref="AF647:AF650" si="356">AE647-(T647+Y647)</f>
        <v>-101934.28571428568</v>
      </c>
      <c r="AG64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198065.71428571429</v>
      </c>
      <c r="AH647">
        <f>IFERROR(AG647/(Z647+Table5[[#This Row],[Rider Penalty (Claim, Other Denda to Riders)]]),0)</f>
        <v>0.17337078033482223</v>
      </c>
      <c r="AI647" s="12">
        <f t="shared" ref="AI647:AI650" si="357">AA647+AB647-V647</f>
        <v>-300000</v>
      </c>
      <c r="AJ647">
        <f t="shared" ref="AJ647:AJ650" si="358">IFERROR(AI647/(AA647+AB647),0)</f>
        <v>-0.75</v>
      </c>
    </row>
    <row r="648" spans="1:37">
      <c r="A648" s="180">
        <v>2026</v>
      </c>
      <c r="B648" s="64" t="s">
        <v>23</v>
      </c>
      <c r="C648" s="64" t="s">
        <v>173</v>
      </c>
      <c r="D648" s="64" t="s">
        <v>168</v>
      </c>
      <c r="E648" s="64" t="s">
        <v>24</v>
      </c>
      <c r="F648" s="64" t="s">
        <v>282</v>
      </c>
      <c r="G648" s="119">
        <v>52026</v>
      </c>
      <c r="H648" s="119" t="s">
        <v>158</v>
      </c>
      <c r="I648" s="119" t="s">
        <v>275</v>
      </c>
      <c r="J648" s="334">
        <v>46054</v>
      </c>
      <c r="K648">
        <v>10</v>
      </c>
      <c r="L648">
        <v>274</v>
      </c>
      <c r="M648">
        <v>3469020</v>
      </c>
      <c r="N648">
        <v>192880</v>
      </c>
      <c r="O648">
        <v>350000</v>
      </c>
      <c r="P648">
        <v>0</v>
      </c>
      <c r="Q648">
        <v>0</v>
      </c>
      <c r="R648">
        <v>0</v>
      </c>
      <c r="T648">
        <f t="shared" si="353"/>
        <v>542880</v>
      </c>
      <c r="U648">
        <v>0</v>
      </c>
      <c r="V648" s="76">
        <f>10*35000</f>
        <v>350000</v>
      </c>
      <c r="W648" s="76">
        <v>0</v>
      </c>
      <c r="X648">
        <v>0</v>
      </c>
      <c r="Y648">
        <f t="shared" si="354"/>
        <v>350000</v>
      </c>
      <c r="Z648" s="12">
        <f>26%*M648</f>
        <v>901945.20000000007</v>
      </c>
      <c r="AA648">
        <f>(9*25000)+15000</f>
        <v>240000</v>
      </c>
      <c r="AB648">
        <v>0</v>
      </c>
      <c r="AC648">
        <v>0</v>
      </c>
      <c r="AD648">
        <v>0</v>
      </c>
      <c r="AE648">
        <f t="shared" si="355"/>
        <v>1141945.2000000002</v>
      </c>
      <c r="AF648" s="12">
        <f t="shared" si="356"/>
        <v>249065.20000000019</v>
      </c>
      <c r="AG64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359065.20000000007</v>
      </c>
      <c r="AH648">
        <f>IFERROR(AG648/(Z648+Table5[[#This Row],[Rider Penalty (Claim, Other Denda to Riders)]]),0)</f>
        <v>0.39810090457823827</v>
      </c>
      <c r="AI648" s="12">
        <f t="shared" si="357"/>
        <v>-110000</v>
      </c>
      <c r="AJ648">
        <f t="shared" si="358"/>
        <v>-0.45833333333333331</v>
      </c>
    </row>
    <row r="649" spans="1:37">
      <c r="A649" s="180">
        <v>2026</v>
      </c>
      <c r="B649" s="119" t="s">
        <v>23</v>
      </c>
      <c r="C649" s="119" t="s">
        <v>205</v>
      </c>
      <c r="D649" s="119" t="s">
        <v>168</v>
      </c>
      <c r="E649" s="119" t="s">
        <v>24</v>
      </c>
      <c r="F649" s="119" t="s">
        <v>24</v>
      </c>
      <c r="G649" s="119">
        <v>52026</v>
      </c>
      <c r="H649" s="119" t="s">
        <v>158</v>
      </c>
      <c r="I649" s="119" t="s">
        <v>275</v>
      </c>
      <c r="J649" s="334">
        <v>46054</v>
      </c>
      <c r="K649">
        <v>8</v>
      </c>
      <c r="L649">
        <v>321</v>
      </c>
      <c r="M649">
        <v>585060</v>
      </c>
      <c r="N649">
        <v>0</v>
      </c>
      <c r="O649">
        <v>0</v>
      </c>
      <c r="P649">
        <v>0</v>
      </c>
      <c r="Q649">
        <v>0</v>
      </c>
      <c r="R649">
        <v>0</v>
      </c>
      <c r="T649">
        <f t="shared" si="353"/>
        <v>0</v>
      </c>
      <c r="U649" s="119">
        <f>(((700000/2)/2)/7)*1</f>
        <v>25000</v>
      </c>
      <c r="V649" s="76">
        <v>0</v>
      </c>
      <c r="W649" s="76">
        <v>0</v>
      </c>
      <c r="X649">
        <v>0</v>
      </c>
      <c r="Y649">
        <f t="shared" si="354"/>
        <v>25000</v>
      </c>
      <c r="Z649" s="12">
        <f>10%*M649</f>
        <v>58506</v>
      </c>
      <c r="AA649">
        <v>0</v>
      </c>
      <c r="AB649">
        <v>0</v>
      </c>
      <c r="AC649">
        <v>0</v>
      </c>
      <c r="AD649">
        <v>0</v>
      </c>
      <c r="AE649">
        <f t="shared" si="355"/>
        <v>58506</v>
      </c>
      <c r="AF649" s="12">
        <f t="shared" si="356"/>
        <v>33506</v>
      </c>
      <c r="AG64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33506</v>
      </c>
      <c r="AH649">
        <f>IFERROR(AG649/(Z649+Table5[[#This Row],[Rider Penalty (Claim, Other Denda to Riders)]]),0)</f>
        <v>0.57269339896762728</v>
      </c>
      <c r="AI649" s="12">
        <f t="shared" si="357"/>
        <v>0</v>
      </c>
      <c r="AJ649">
        <f t="shared" si="358"/>
        <v>0</v>
      </c>
    </row>
    <row r="650" spans="1:37">
      <c r="A650" s="180">
        <v>2026</v>
      </c>
      <c r="B650" s="179" t="s">
        <v>23</v>
      </c>
      <c r="C650" s="64" t="s">
        <v>23</v>
      </c>
      <c r="D650" t="s">
        <v>168</v>
      </c>
      <c r="E650" t="s">
        <v>28</v>
      </c>
      <c r="F650" t="s">
        <v>28</v>
      </c>
      <c r="G650" s="119">
        <v>52026</v>
      </c>
      <c r="H650" s="119" t="s">
        <v>21</v>
      </c>
      <c r="I650" s="119" t="s">
        <v>280</v>
      </c>
      <c r="J650" s="237" t="s">
        <v>295</v>
      </c>
      <c r="K650">
        <v>213</v>
      </c>
      <c r="L650">
        <v>42838</v>
      </c>
      <c r="M650">
        <v>374706000</v>
      </c>
      <c r="N650">
        <f>6/7*45130485</f>
        <v>38683272.857142858</v>
      </c>
      <c r="O650">
        <f>(55640000+300000)*6/7</f>
        <v>47948571.428571425</v>
      </c>
      <c r="P650">
        <v>0</v>
      </c>
      <c r="Q650">
        <v>0</v>
      </c>
      <c r="R650">
        <v>0</v>
      </c>
      <c r="T650">
        <f t="shared" si="353"/>
        <v>86631844.285714284</v>
      </c>
      <c r="U650">
        <f>6/7*3850000</f>
        <v>3300000</v>
      </c>
      <c r="V650" s="76">
        <f>52185000*6/7</f>
        <v>44730000</v>
      </c>
      <c r="W650" s="76">
        <v>0</v>
      </c>
      <c r="X650">
        <v>248012.72387096781</v>
      </c>
      <c r="Y650">
        <f t="shared" si="354"/>
        <v>48278012.72387097</v>
      </c>
      <c r="Z650" s="12">
        <f>26%*M650</f>
        <v>97423560</v>
      </c>
      <c r="AA650">
        <f>6/7*(30725000+2275000)</f>
        <v>28285714.285714284</v>
      </c>
      <c r="AB650">
        <v>0</v>
      </c>
      <c r="AC650">
        <f>6/7*1225000</f>
        <v>1050000</v>
      </c>
      <c r="AD650">
        <v>0</v>
      </c>
      <c r="AE650" s="12">
        <f>SUM(Z650:AD650)</f>
        <v>126759274.28571428</v>
      </c>
      <c r="AF650" s="12">
        <f t="shared" si="356"/>
        <v>-8150582.7238709778</v>
      </c>
      <c r="AG65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7243702.9904147489</v>
      </c>
      <c r="AH650">
        <f>IFERROR(AG650/(Z650+Table5[[#This Row],[Rider Penalty (Claim, Other Denda to Riders)]]),0)</f>
        <v>7.4352682148083576E-2</v>
      </c>
      <c r="AI650" s="12">
        <f t="shared" si="357"/>
        <v>-16444285.714285716</v>
      </c>
      <c r="AJ650">
        <f t="shared" si="358"/>
        <v>-0.58136363636363653</v>
      </c>
    </row>
    <row r="651" spans="1:37">
      <c r="A651" s="180">
        <v>2026</v>
      </c>
      <c r="B651" s="179" t="s">
        <v>23</v>
      </c>
      <c r="C651" s="64" t="s">
        <v>172</v>
      </c>
      <c r="D651" t="s">
        <v>168</v>
      </c>
      <c r="E651" t="s">
        <v>28</v>
      </c>
      <c r="F651" t="s">
        <v>28</v>
      </c>
      <c r="G651" s="119">
        <v>52026</v>
      </c>
      <c r="H651" s="119" t="s">
        <v>21</v>
      </c>
      <c r="I651" s="119" t="s">
        <v>280</v>
      </c>
      <c r="J651" s="237" t="s">
        <v>295</v>
      </c>
      <c r="K651">
        <v>29</v>
      </c>
      <c r="L651">
        <v>5875</v>
      </c>
      <c r="M651">
        <v>51472000</v>
      </c>
      <c r="N651">
        <f>6/7*6215660</f>
        <v>5327708.5714285709</v>
      </c>
      <c r="O651">
        <f>(8410000+10000)*6/7</f>
        <v>7217142.8571428573</v>
      </c>
      <c r="P651">
        <v>0</v>
      </c>
      <c r="Q651">
        <v>0</v>
      </c>
      <c r="R651">
        <v>0</v>
      </c>
      <c r="T651">
        <f t="shared" ref="T651:T652" si="359">SUM(N651:R651)</f>
        <v>12544851.428571429</v>
      </c>
      <c r="U651">
        <f>6/7*1100000</f>
        <v>942857.14285714284</v>
      </c>
      <c r="V651" s="1">
        <f>6/7*7105000</f>
        <v>6090000</v>
      </c>
      <c r="W651" s="1">
        <v>0</v>
      </c>
      <c r="X651">
        <v>245161.29032258061</v>
      </c>
      <c r="Y651">
        <f t="shared" ref="Y651" si="360">SUM(U651:X651)</f>
        <v>7278018.4331797231</v>
      </c>
      <c r="Z651" s="12">
        <f>26%*M651</f>
        <v>13382720</v>
      </c>
      <c r="AA651">
        <f>6/7*(4150000+150000)</f>
        <v>3685714.2857142854</v>
      </c>
      <c r="AB651">
        <v>0</v>
      </c>
      <c r="AC651">
        <f>6/7*175000</f>
        <v>150000</v>
      </c>
      <c r="AD651">
        <v>0</v>
      </c>
      <c r="AE651">
        <f t="shared" ref="AE651:AE652" si="361">SUM(Z651:AD651)</f>
        <v>17218434.285714284</v>
      </c>
      <c r="AF651" s="12">
        <f t="shared" ref="AF651:AF652" si="362">AE651-(T651+Y651)</f>
        <v>-2604435.5760368705</v>
      </c>
      <c r="AG65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-350149.86175115255</v>
      </c>
      <c r="AH651">
        <f>IFERROR(AG651/(Z651+Table5[[#This Row],[Rider Penalty (Claim, Other Denda to Riders)]]),0)</f>
        <v>-2.6164326964260819E-2</v>
      </c>
      <c r="AI651" s="12">
        <f t="shared" ref="AI651:AI652" si="363">AA651+AB651-V651</f>
        <v>-2404285.7142857146</v>
      </c>
      <c r="AJ651">
        <f t="shared" ref="AJ651:AJ652" si="364">IFERROR(AI651/(AA651+AB651),0)</f>
        <v>-0.65232558139534891</v>
      </c>
    </row>
    <row r="652" spans="1:37">
      <c r="A652" s="238">
        <v>2026</v>
      </c>
      <c r="B652" t="s">
        <v>176</v>
      </c>
      <c r="C652" t="s">
        <v>176</v>
      </c>
      <c r="D652" t="s">
        <v>169</v>
      </c>
      <c r="E652" t="s">
        <v>28</v>
      </c>
      <c r="F652" t="s">
        <v>28</v>
      </c>
      <c r="G652" s="119">
        <v>52026</v>
      </c>
      <c r="H652" s="119" t="s">
        <v>21</v>
      </c>
      <c r="I652" s="119" t="s">
        <v>280</v>
      </c>
      <c r="J652" s="237" t="s">
        <v>295</v>
      </c>
      <c r="K652">
        <v>8</v>
      </c>
      <c r="L652">
        <v>303</v>
      </c>
      <c r="M652">
        <v>2904000</v>
      </c>
      <c r="N652">
        <v>0</v>
      </c>
      <c r="O652">
        <v>0</v>
      </c>
      <c r="P652">
        <v>0</v>
      </c>
      <c r="Q652">
        <v>0</v>
      </c>
      <c r="R652">
        <v>0</v>
      </c>
      <c r="T652">
        <f t="shared" si="359"/>
        <v>0</v>
      </c>
      <c r="U652">
        <v>0</v>
      </c>
      <c r="V652" s="1">
        <v>0</v>
      </c>
      <c r="W652" s="1">
        <v>0</v>
      </c>
      <c r="X652">
        <v>0</v>
      </c>
      <c r="Y652">
        <v>0</v>
      </c>
      <c r="Z652" s="12">
        <f>7%*M652</f>
        <v>203280.00000000003</v>
      </c>
      <c r="AA652">
        <v>0</v>
      </c>
      <c r="AB652">
        <v>0</v>
      </c>
      <c r="AC652">
        <v>0</v>
      </c>
      <c r="AD652">
        <v>0</v>
      </c>
      <c r="AE652">
        <f t="shared" si="361"/>
        <v>203280.00000000003</v>
      </c>
      <c r="AF652" s="12">
        <f t="shared" si="362"/>
        <v>203280.00000000003</v>
      </c>
      <c r="AG65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203280.00000000003</v>
      </c>
      <c r="AH652">
        <f>IFERROR(AG652/(Z652+Table5[[#This Row],[Rider Penalty (Claim, Other Denda to Riders)]]),0)</f>
        <v>1</v>
      </c>
      <c r="AI652" s="12">
        <f t="shared" si="363"/>
        <v>0</v>
      </c>
      <c r="AJ652">
        <f t="shared" si="364"/>
        <v>0</v>
      </c>
    </row>
    <row r="653" spans="1:37">
      <c r="A653" s="180">
        <v>2026</v>
      </c>
      <c r="B653" s="179" t="s">
        <v>23</v>
      </c>
      <c r="C653" s="64" t="s">
        <v>23</v>
      </c>
      <c r="D653" t="s">
        <v>168</v>
      </c>
      <c r="E653" t="s">
        <v>28</v>
      </c>
      <c r="F653" t="s">
        <v>28</v>
      </c>
      <c r="G653" s="119">
        <v>52026</v>
      </c>
      <c r="H653" s="119" t="s">
        <v>158</v>
      </c>
      <c r="I653" s="119" t="s">
        <v>275</v>
      </c>
      <c r="J653" s="334">
        <v>46054</v>
      </c>
      <c r="K653">
        <v>213</v>
      </c>
      <c r="L653">
        <v>8689</v>
      </c>
      <c r="M653">
        <v>76216000</v>
      </c>
      <c r="N653">
        <f>1/7*45130485</f>
        <v>6447212.1428571427</v>
      </c>
      <c r="O653">
        <f>(55640000+300000)*1/7</f>
        <v>7991428.5714285718</v>
      </c>
      <c r="P653">
        <v>0</v>
      </c>
      <c r="Q653">
        <v>0</v>
      </c>
      <c r="R653">
        <v>0</v>
      </c>
      <c r="T653">
        <f t="shared" ref="T653:T655" si="365">SUM(N653:R653)</f>
        <v>14438640.714285715</v>
      </c>
      <c r="U653">
        <f>1/7*3850000</f>
        <v>550000</v>
      </c>
      <c r="V653" s="76">
        <f>52185000*1/7</f>
        <v>7455000</v>
      </c>
      <c r="W653" s="76">
        <v>0</v>
      </c>
      <c r="X653">
        <v>45764.252619047627</v>
      </c>
      <c r="Y653">
        <f t="shared" ref="Y653:Y655" si="366">SUM(U653:X653)</f>
        <v>8050764.2526190476</v>
      </c>
      <c r="Z653" s="12">
        <f>23%*M653</f>
        <v>17529680</v>
      </c>
      <c r="AA653">
        <f>1/7*(30725000+2275000)</f>
        <v>4714285.7142857136</v>
      </c>
      <c r="AB653">
        <v>0</v>
      </c>
      <c r="AC653">
        <f>1/7*1225000</f>
        <v>175000</v>
      </c>
      <c r="AD653">
        <v>0</v>
      </c>
      <c r="AE653" s="12">
        <f>SUM(Z653:AD653)</f>
        <v>22418965.714285713</v>
      </c>
      <c r="AF653" s="12">
        <f t="shared" ref="AF653:AF655" si="367">AE653-(T653+Y653)</f>
        <v>-70439.252619050443</v>
      </c>
      <c r="AG65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2495275.0330952378</v>
      </c>
      <c r="AH653">
        <f>IFERROR(AG653/(Z653+Table5[[#This Row],[Rider Penalty (Claim, Other Denda to Riders)]]),0)</f>
        <v>0.14234572639633111</v>
      </c>
      <c r="AI653" s="12">
        <f t="shared" ref="AI653:AI655" si="368">AA653+AB653-V653</f>
        <v>-2740714.2857142864</v>
      </c>
      <c r="AJ653">
        <f t="shared" ref="AJ653:AJ655" si="369">IFERROR(AI653/(AA653+AB653),0)</f>
        <v>-0.58136363636363664</v>
      </c>
    </row>
    <row r="654" spans="1:37">
      <c r="A654" s="180">
        <v>2026</v>
      </c>
      <c r="B654" s="179" t="s">
        <v>23</v>
      </c>
      <c r="C654" s="64" t="s">
        <v>172</v>
      </c>
      <c r="D654" t="s">
        <v>168</v>
      </c>
      <c r="E654" t="s">
        <v>28</v>
      </c>
      <c r="F654" t="s">
        <v>28</v>
      </c>
      <c r="G654" s="119">
        <v>52026</v>
      </c>
      <c r="H654" s="119" t="s">
        <v>158</v>
      </c>
      <c r="I654" s="119" t="s">
        <v>275</v>
      </c>
      <c r="J654" s="334">
        <v>46054</v>
      </c>
      <c r="K654">
        <v>29</v>
      </c>
      <c r="L654">
        <v>1201</v>
      </c>
      <c r="M654">
        <v>10584000</v>
      </c>
      <c r="N654">
        <f>1/7*6215660</f>
        <v>887951.42857142852</v>
      </c>
      <c r="O654">
        <f>(8410000+10000)*1/7</f>
        <v>1202857.142857143</v>
      </c>
      <c r="P654">
        <v>0</v>
      </c>
      <c r="Q654">
        <v>0</v>
      </c>
      <c r="R654">
        <v>0</v>
      </c>
      <c r="T654">
        <f t="shared" si="365"/>
        <v>2090808.5714285714</v>
      </c>
      <c r="U654">
        <f>1/7*1100000</f>
        <v>157142.85714285713</v>
      </c>
      <c r="V654" s="1">
        <f>1/7*7105000</f>
        <v>1015000</v>
      </c>
      <c r="W654" s="76">
        <v>0</v>
      </c>
      <c r="X654">
        <v>45238.095238095229</v>
      </c>
      <c r="Y654">
        <f t="shared" si="366"/>
        <v>1217380.9523809522</v>
      </c>
      <c r="Z654" s="12">
        <f t="shared" ref="Z654" si="370">23%*M654</f>
        <v>2434320</v>
      </c>
      <c r="AA654">
        <f>1/7*(4150000+150000)</f>
        <v>614285.7142857142</v>
      </c>
      <c r="AB654">
        <v>0</v>
      </c>
      <c r="AC654">
        <f>1/7*175000</f>
        <v>25000</v>
      </c>
      <c r="AD654">
        <v>0</v>
      </c>
      <c r="AE654" s="12">
        <f>SUM(Z654:AD654)</f>
        <v>3073605.7142857141</v>
      </c>
      <c r="AF654" s="12">
        <f t="shared" si="367"/>
        <v>-234583.80952380924</v>
      </c>
      <c r="AG65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141130.47619047627</v>
      </c>
      <c r="AH654">
        <f>IFERROR(AG654/(Z654+Table5[[#This Row],[Rider Penalty (Claim, Other Denda to Riders)]]),0)</f>
        <v>5.7975318031514456E-2</v>
      </c>
      <c r="AI654" s="12">
        <f t="shared" si="368"/>
        <v>-400714.2857142858</v>
      </c>
      <c r="AJ654">
        <f t="shared" si="369"/>
        <v>-0.65232558139534902</v>
      </c>
    </row>
    <row r="655" spans="1:37">
      <c r="A655" s="238">
        <v>2026</v>
      </c>
      <c r="B655" t="s">
        <v>176</v>
      </c>
      <c r="C655" t="s">
        <v>176</v>
      </c>
      <c r="D655" t="s">
        <v>169</v>
      </c>
      <c r="E655" t="s">
        <v>28</v>
      </c>
      <c r="F655" t="s">
        <v>28</v>
      </c>
      <c r="G655" s="119">
        <v>52026</v>
      </c>
      <c r="H655" s="119" t="s">
        <v>158</v>
      </c>
      <c r="I655" s="119" t="s">
        <v>275</v>
      </c>
      <c r="J655" s="334">
        <v>46054</v>
      </c>
      <c r="K655">
        <v>5</v>
      </c>
      <c r="L655">
        <v>58</v>
      </c>
      <c r="M655">
        <v>579000</v>
      </c>
      <c r="N655">
        <v>0</v>
      </c>
      <c r="O655">
        <v>0</v>
      </c>
      <c r="P655">
        <v>0</v>
      </c>
      <c r="Q655">
        <v>0</v>
      </c>
      <c r="R655">
        <v>0</v>
      </c>
      <c r="T655">
        <f t="shared" si="365"/>
        <v>0</v>
      </c>
      <c r="U655">
        <v>0</v>
      </c>
      <c r="V655" s="76">
        <v>0</v>
      </c>
      <c r="W655" s="76">
        <v>0</v>
      </c>
      <c r="X655">
        <v>0</v>
      </c>
      <c r="Y655">
        <f t="shared" si="366"/>
        <v>0</v>
      </c>
      <c r="Z655" s="12">
        <f>7%*M655</f>
        <v>40530.000000000007</v>
      </c>
      <c r="AA655">
        <v>0</v>
      </c>
      <c r="AB655">
        <v>0</v>
      </c>
      <c r="AC655">
        <v>0</v>
      </c>
      <c r="AD655">
        <v>0</v>
      </c>
      <c r="AE655">
        <f t="shared" ref="AE655" si="371">SUM(Z655:AD655)</f>
        <v>40530.000000000007</v>
      </c>
      <c r="AF655" s="12">
        <f t="shared" si="367"/>
        <v>40530.000000000007</v>
      </c>
      <c r="AG65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40530.000000000007</v>
      </c>
      <c r="AH655">
        <f>IFERROR(AG655/(Z655+Table5[[#This Row],[Rider Penalty (Claim, Other Denda to Riders)]]),0)</f>
        <v>1</v>
      </c>
      <c r="AI655" s="12">
        <f t="shared" si="368"/>
        <v>0</v>
      </c>
      <c r="AJ655">
        <f t="shared" si="369"/>
        <v>0</v>
      </c>
    </row>
    <row r="656" spans="1:37">
      <c r="A656" s="180">
        <v>2026</v>
      </c>
      <c r="B656" s="179" t="s">
        <v>23</v>
      </c>
      <c r="C656" s="64" t="s">
        <v>23</v>
      </c>
      <c r="D656" t="s">
        <v>168</v>
      </c>
      <c r="E656" t="s">
        <v>28</v>
      </c>
      <c r="F656" t="s">
        <v>28</v>
      </c>
      <c r="G656" s="119">
        <v>62026</v>
      </c>
      <c r="H656" s="119" t="s">
        <v>158</v>
      </c>
      <c r="I656" s="119" t="s">
        <v>256</v>
      </c>
      <c r="J656" s="334" t="s">
        <v>289</v>
      </c>
      <c r="K656" s="16">
        <v>201</v>
      </c>
      <c r="L656" s="16">
        <v>53186</v>
      </c>
      <c r="M656" s="16">
        <v>466800000</v>
      </c>
      <c r="N656" s="16">
        <v>48770650</v>
      </c>
      <c r="O656" s="16">
        <f>56290000+30000</f>
        <v>56320000</v>
      </c>
      <c r="P656" s="16">
        <v>0</v>
      </c>
      <c r="Q656" s="16">
        <v>0</v>
      </c>
      <c r="R656" s="16">
        <v>0</v>
      </c>
      <c r="S656" s="16">
        <v>0</v>
      </c>
      <c r="T656" s="16">
        <f t="shared" ref="T656:T658" si="372">SUM(N656:R656)</f>
        <v>105090650</v>
      </c>
      <c r="U656" s="16">
        <v>3450000</v>
      </c>
      <c r="V656" s="173">
        <v>49245000</v>
      </c>
      <c r="W656" s="173"/>
      <c r="X656" s="16">
        <v>320349.76833333337</v>
      </c>
      <c r="Y656" s="16">
        <f t="shared" ref="Y656:Y658" si="373">SUM(U656:X656)</f>
        <v>53015349.768333331</v>
      </c>
      <c r="Z656" s="16">
        <f>26%*M656</f>
        <v>121368000</v>
      </c>
      <c r="AA656" s="16">
        <f>29825000+2050000</f>
        <v>31875000</v>
      </c>
      <c r="AB656" s="16">
        <v>0</v>
      </c>
      <c r="AC656" s="16">
        <v>825000</v>
      </c>
      <c r="AD656" s="16">
        <v>0</v>
      </c>
      <c r="AE656" s="16">
        <f>SUM(Z656:AD656)</f>
        <v>154068000</v>
      </c>
      <c r="AF656" s="16">
        <f t="shared" ref="AF656:AF658" si="374">AE656-(T656+Y656)</f>
        <v>-4037999.7683333158</v>
      </c>
      <c r="AG656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12507000.231666667</v>
      </c>
      <c r="AH656" s="16">
        <f>IFERROR(AG656/(Z656+Table5[[#This Row],[Rider Penalty (Claim, Other Denda to Riders)]]),0)</f>
        <v>0.10305022931634918</v>
      </c>
      <c r="AI656" s="16">
        <f t="shared" ref="AI656:AI658" si="375">AA656+AB656-V656</f>
        <v>-17370000</v>
      </c>
      <c r="AJ656">
        <f t="shared" ref="AJ656:AJ658" si="376">IFERROR(AI656/(AA656+AB656),0)</f>
        <v>-0.54494117647058826</v>
      </c>
    </row>
    <row r="657" spans="1:36">
      <c r="A657" s="180">
        <v>2026</v>
      </c>
      <c r="B657" s="179" t="s">
        <v>23</v>
      </c>
      <c r="C657" s="64" t="s">
        <v>172</v>
      </c>
      <c r="D657" t="s">
        <v>168</v>
      </c>
      <c r="E657" t="s">
        <v>28</v>
      </c>
      <c r="F657" t="s">
        <v>28</v>
      </c>
      <c r="G657" s="119">
        <v>62026</v>
      </c>
      <c r="H657" s="119" t="s">
        <v>158</v>
      </c>
      <c r="I657" s="119" t="s">
        <v>256</v>
      </c>
      <c r="J657" s="334" t="s">
        <v>289</v>
      </c>
      <c r="K657" s="16">
        <v>31</v>
      </c>
      <c r="L657" s="16">
        <v>8276</v>
      </c>
      <c r="M657" s="16">
        <v>72686000</v>
      </c>
      <c r="N657" s="16">
        <v>7884560</v>
      </c>
      <c r="O657" s="16">
        <f>9370000+50000</f>
        <v>9420000</v>
      </c>
      <c r="P657" s="16">
        <v>0</v>
      </c>
      <c r="Q657" s="16">
        <v>0</v>
      </c>
      <c r="R657" s="16">
        <v>0</v>
      </c>
      <c r="S657" s="16">
        <v>0</v>
      </c>
      <c r="T657" s="16">
        <f t="shared" si="372"/>
        <v>17304560</v>
      </c>
      <c r="U657" s="16">
        <v>900000</v>
      </c>
      <c r="V657" s="173">
        <v>7595000</v>
      </c>
      <c r="W657" s="173"/>
      <c r="X657" s="16">
        <v>316666.66666666663</v>
      </c>
      <c r="Y657" s="16">
        <f t="shared" si="373"/>
        <v>8811666.666666666</v>
      </c>
      <c r="Z657" s="16">
        <f>26%*M657</f>
        <v>18898360</v>
      </c>
      <c r="AA657" s="16">
        <f>4525000+275000</f>
        <v>4800000</v>
      </c>
      <c r="AB657" s="16">
        <v>0</v>
      </c>
      <c r="AC657" s="16">
        <v>275000</v>
      </c>
      <c r="AD657" s="16">
        <v>0</v>
      </c>
      <c r="AE657" s="16">
        <f t="shared" ref="AE657:AE658" si="377">SUM(Z657:AD657)</f>
        <v>23973360</v>
      </c>
      <c r="AF657" s="16">
        <f t="shared" si="374"/>
        <v>-2142866.6666666642</v>
      </c>
      <c r="AG657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377133.33333333337</v>
      </c>
      <c r="AH657" s="16">
        <f>IFERROR(AG657/(Z657+Table5[[#This Row],[Rider Penalty (Claim, Other Denda to Riders)]]),0)</f>
        <v>1.9955876241818517E-2</v>
      </c>
      <c r="AI657" s="16">
        <f t="shared" si="375"/>
        <v>-2795000</v>
      </c>
      <c r="AJ657">
        <f t="shared" si="376"/>
        <v>-0.58229166666666665</v>
      </c>
    </row>
    <row r="658" spans="1:36">
      <c r="A658" s="238">
        <v>2026</v>
      </c>
      <c r="B658" t="s">
        <v>176</v>
      </c>
      <c r="C658" t="s">
        <v>176</v>
      </c>
      <c r="D658" t="s">
        <v>169</v>
      </c>
      <c r="E658" t="s">
        <v>28</v>
      </c>
      <c r="F658" t="s">
        <v>28</v>
      </c>
      <c r="G658" s="119">
        <v>62026</v>
      </c>
      <c r="H658" s="119" t="s">
        <v>158</v>
      </c>
      <c r="I658" s="119" t="s">
        <v>256</v>
      </c>
      <c r="J658" s="334" t="s">
        <v>289</v>
      </c>
      <c r="K658" s="16">
        <v>6</v>
      </c>
      <c r="L658" s="16">
        <v>218</v>
      </c>
      <c r="M658" s="16">
        <v>2139000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f t="shared" si="372"/>
        <v>0</v>
      </c>
      <c r="U658" s="16">
        <v>0</v>
      </c>
      <c r="V658" s="173">
        <v>0</v>
      </c>
      <c r="W658" s="173">
        <v>0</v>
      </c>
      <c r="X658" s="16">
        <v>0</v>
      </c>
      <c r="Y658" s="16">
        <f t="shared" si="373"/>
        <v>0</v>
      </c>
      <c r="Z658" s="16">
        <f>7%*M658</f>
        <v>149730</v>
      </c>
      <c r="AA658" s="16">
        <v>0</v>
      </c>
      <c r="AB658" s="16">
        <v>0</v>
      </c>
      <c r="AC658" s="16">
        <v>0</v>
      </c>
      <c r="AD658" s="16">
        <v>0</v>
      </c>
      <c r="AE658" s="16">
        <f t="shared" si="377"/>
        <v>149730</v>
      </c>
      <c r="AF658" s="16">
        <f t="shared" si="374"/>
        <v>149730</v>
      </c>
      <c r="AG658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149730</v>
      </c>
      <c r="AH658" s="16">
        <f>IFERROR(AG658/(Z658+Table5[[#This Row],[Rider Penalty (Claim, Other Denda to Riders)]]),0)</f>
        <v>1</v>
      </c>
      <c r="AI658" s="16">
        <f t="shared" si="375"/>
        <v>0</v>
      </c>
      <c r="AJ658">
        <f t="shared" si="376"/>
        <v>0</v>
      </c>
    </row>
    <row r="659" spans="1:36">
      <c r="A659" s="180">
        <v>2026</v>
      </c>
      <c r="B659" s="119" t="s">
        <v>23</v>
      </c>
      <c r="C659" s="119" t="s">
        <v>174</v>
      </c>
      <c r="D659" s="119" t="s">
        <v>168</v>
      </c>
      <c r="E659" s="119" t="s">
        <v>24</v>
      </c>
      <c r="F659" s="119" t="s">
        <v>24</v>
      </c>
      <c r="G659" s="119">
        <v>62026</v>
      </c>
      <c r="H659" s="119" t="s">
        <v>158</v>
      </c>
      <c r="I659" s="119" t="s">
        <v>256</v>
      </c>
      <c r="J659" s="334" t="s">
        <v>289</v>
      </c>
      <c r="K659" s="119">
        <v>20</v>
      </c>
      <c r="L659" s="119">
        <v>2751</v>
      </c>
      <c r="M659">
        <v>25200000</v>
      </c>
      <c r="N659">
        <v>2523800</v>
      </c>
      <c r="O659">
        <v>3575000</v>
      </c>
      <c r="P659">
        <v>0</v>
      </c>
      <c r="Q659">
        <v>0</v>
      </c>
      <c r="R659">
        <v>0</v>
      </c>
      <c r="T659">
        <f t="shared" ref="T659:T661" si="378">SUM(N659:R659)</f>
        <v>6098800</v>
      </c>
      <c r="U659">
        <f>600000/2</f>
        <v>300000</v>
      </c>
      <c r="V659" s="76">
        <f>101*35000</f>
        <v>3535000</v>
      </c>
      <c r="W659" s="76">
        <v>0</v>
      </c>
      <c r="X659">
        <v>0</v>
      </c>
      <c r="Y659">
        <f t="shared" ref="Y659:Y662" si="379">SUM(U659:X659)</f>
        <v>3835000</v>
      </c>
      <c r="Z659" s="12">
        <f>26%*M659</f>
        <v>6552000</v>
      </c>
      <c r="AA659">
        <f>(19*15000)+(95*25000)</f>
        <v>2660000</v>
      </c>
      <c r="AB659">
        <v>0</v>
      </c>
      <c r="AC659">
        <v>0</v>
      </c>
      <c r="AD659">
        <v>0</v>
      </c>
      <c r="AE659">
        <f t="shared" ref="AE659:AE662" si="380">SUM(Z659:AD659)</f>
        <v>9212000</v>
      </c>
      <c r="AF659" s="12">
        <f t="shared" ref="AF659:AF662" si="381">AE659-(T659+Y659)</f>
        <v>-721800</v>
      </c>
      <c r="AG65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153200</v>
      </c>
      <c r="AH659">
        <f>IFERROR(AG659/(Z659+Table5[[#This Row],[Rider Penalty (Claim, Other Denda to Riders)]]),0)</f>
        <v>2.3382173382173382E-2</v>
      </c>
      <c r="AI659" s="12">
        <f t="shared" ref="AI659:AI662" si="382">AA659+AB659-V659</f>
        <v>-875000</v>
      </c>
      <c r="AJ659">
        <f t="shared" ref="AJ659:AJ662" si="383">IFERROR(AI659/(AA659+AB659),0)</f>
        <v>-0.32894736842105265</v>
      </c>
    </row>
    <row r="660" spans="1:36">
      <c r="A660" s="180">
        <v>2026</v>
      </c>
      <c r="B660" s="64" t="s">
        <v>23</v>
      </c>
      <c r="C660" s="64" t="s">
        <v>173</v>
      </c>
      <c r="D660" s="64" t="s">
        <v>168</v>
      </c>
      <c r="E660" s="64" t="s">
        <v>24</v>
      </c>
      <c r="F660" s="64" t="s">
        <v>282</v>
      </c>
      <c r="G660" s="119">
        <v>62026</v>
      </c>
      <c r="H660" s="119" t="s">
        <v>158</v>
      </c>
      <c r="I660" s="119" t="s">
        <v>256</v>
      </c>
      <c r="J660" s="334" t="s">
        <v>289</v>
      </c>
      <c r="K660" s="64">
        <v>11</v>
      </c>
      <c r="L660" s="64">
        <v>1511</v>
      </c>
      <c r="M660">
        <v>13644000</v>
      </c>
      <c r="N660">
        <v>1117960</v>
      </c>
      <c r="O660">
        <v>1725000</v>
      </c>
      <c r="P660">
        <v>0</v>
      </c>
      <c r="Q660">
        <v>0</v>
      </c>
      <c r="T660">
        <f t="shared" si="378"/>
        <v>2842960</v>
      </c>
      <c r="U660">
        <v>0</v>
      </c>
      <c r="V660" s="76">
        <f>58*35000</f>
        <v>2030000</v>
      </c>
      <c r="W660" s="76">
        <v>0</v>
      </c>
      <c r="X660">
        <v>0</v>
      </c>
      <c r="Y660">
        <f t="shared" si="379"/>
        <v>2030000</v>
      </c>
      <c r="Z660" s="12">
        <f>26%*M660</f>
        <v>3547440</v>
      </c>
      <c r="AA660">
        <f>69*25000</f>
        <v>1725000</v>
      </c>
      <c r="AB660">
        <v>0</v>
      </c>
      <c r="AC660">
        <v>0</v>
      </c>
      <c r="AD660">
        <v>0</v>
      </c>
      <c r="AE660">
        <f t="shared" si="380"/>
        <v>5272440</v>
      </c>
      <c r="AF660" s="12">
        <f t="shared" si="381"/>
        <v>399480</v>
      </c>
      <c r="AG66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704480</v>
      </c>
      <c r="AH660">
        <f>IFERROR(AG660/(Z660+Table5[[#This Row],[Rider Penalty (Claim, Other Denda to Riders)]]),0)</f>
        <v>0.19858827774395058</v>
      </c>
      <c r="AI660" s="12">
        <f t="shared" si="382"/>
        <v>-305000</v>
      </c>
      <c r="AJ660">
        <f t="shared" si="383"/>
        <v>-0.17681159420289855</v>
      </c>
    </row>
    <row r="661" spans="1:36">
      <c r="A661" s="180">
        <v>2026</v>
      </c>
      <c r="B661" s="119" t="s">
        <v>23</v>
      </c>
      <c r="C661" s="119" t="s">
        <v>205</v>
      </c>
      <c r="D661" s="119" t="s">
        <v>168</v>
      </c>
      <c r="E661" s="119" t="s">
        <v>24</v>
      </c>
      <c r="F661" s="119" t="s">
        <v>24</v>
      </c>
      <c r="G661" s="119">
        <v>62026</v>
      </c>
      <c r="H661" s="119" t="s">
        <v>158</v>
      </c>
      <c r="I661" s="119" t="s">
        <v>256</v>
      </c>
      <c r="J661" s="334" t="s">
        <v>289</v>
      </c>
      <c r="K661" s="119">
        <v>9</v>
      </c>
      <c r="L661" s="119">
        <v>1852</v>
      </c>
      <c r="M661">
        <v>3259720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f t="shared" si="378"/>
        <v>0</v>
      </c>
      <c r="U661">
        <f>600000/2</f>
        <v>300000</v>
      </c>
      <c r="V661" s="76">
        <v>0</v>
      </c>
      <c r="W661" s="76">
        <v>0</v>
      </c>
      <c r="X661">
        <v>0</v>
      </c>
      <c r="Y661">
        <f t="shared" si="379"/>
        <v>300000</v>
      </c>
      <c r="Z661" s="12">
        <f>10%*M661</f>
        <v>325972</v>
      </c>
      <c r="AA661">
        <v>0</v>
      </c>
      <c r="AB661">
        <v>0</v>
      </c>
      <c r="AC661">
        <v>0</v>
      </c>
      <c r="AD661">
        <v>0</v>
      </c>
      <c r="AE661">
        <f t="shared" si="380"/>
        <v>325972</v>
      </c>
      <c r="AF661" s="12">
        <f t="shared" si="381"/>
        <v>25972</v>
      </c>
      <c r="AG66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25972</v>
      </c>
      <c r="AH661">
        <f>IFERROR(AG661/(Z661+Table5[[#This Row],[Rider Penalty (Claim, Other Denda to Riders)]]),0)</f>
        <v>7.9675554955640368E-2</v>
      </c>
      <c r="AI661" s="12">
        <f t="shared" si="382"/>
        <v>0</v>
      </c>
      <c r="AJ661">
        <f t="shared" si="383"/>
        <v>0</v>
      </c>
    </row>
    <row r="662" spans="1:36">
      <c r="A662" s="238">
        <v>2026</v>
      </c>
      <c r="B662" s="191" t="s">
        <v>202</v>
      </c>
      <c r="C662" s="191" t="s">
        <v>202</v>
      </c>
      <c r="D662" s="191" t="s">
        <v>168</v>
      </c>
      <c r="E662" s="191" t="s">
        <v>24</v>
      </c>
      <c r="F662" s="191" t="s">
        <v>24</v>
      </c>
      <c r="G662" s="119">
        <v>62026</v>
      </c>
      <c r="H662" s="119" t="s">
        <v>158</v>
      </c>
      <c r="I662" s="119" t="s">
        <v>256</v>
      </c>
      <c r="J662" s="334" t="s">
        <v>289</v>
      </c>
      <c r="K662" s="179">
        <v>1</v>
      </c>
      <c r="L662" s="179">
        <v>49</v>
      </c>
      <c r="M662">
        <v>466000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64"/>
      <c r="V662" s="76">
        <v>0</v>
      </c>
      <c r="W662" s="76">
        <v>0</v>
      </c>
      <c r="X662">
        <v>0</v>
      </c>
      <c r="Y662">
        <f t="shared" si="379"/>
        <v>0</v>
      </c>
      <c r="Z662" s="12">
        <f>10%*M662</f>
        <v>46600</v>
      </c>
      <c r="AA662">
        <v>0</v>
      </c>
      <c r="AB662">
        <v>0</v>
      </c>
      <c r="AC662">
        <v>0</v>
      </c>
      <c r="AD662">
        <v>0</v>
      </c>
      <c r="AE662">
        <f t="shared" si="380"/>
        <v>46600</v>
      </c>
      <c r="AF662" s="12">
        <f t="shared" si="381"/>
        <v>46600</v>
      </c>
      <c r="AG66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46600</v>
      </c>
      <c r="AH662">
        <f>IFERROR(AG662/(Z662+Table5[[#This Row],[Rider Penalty (Claim, Other Denda to Riders)]]),0)</f>
        <v>1</v>
      </c>
      <c r="AI662" s="12">
        <f t="shared" si="382"/>
        <v>0</v>
      </c>
      <c r="AJ662">
        <f t="shared" si="383"/>
        <v>0</v>
      </c>
    </row>
    <row r="663" spans="1:36">
      <c r="A663" s="180">
        <v>2026</v>
      </c>
      <c r="B663" s="119" t="s">
        <v>23</v>
      </c>
      <c r="C663" s="119" t="s">
        <v>174</v>
      </c>
      <c r="D663" s="119" t="s">
        <v>168</v>
      </c>
      <c r="E663" s="119" t="s">
        <v>24</v>
      </c>
      <c r="F663" s="119" t="s">
        <v>24</v>
      </c>
      <c r="G663" s="119">
        <v>72026</v>
      </c>
      <c r="H663" s="119" t="s">
        <v>158</v>
      </c>
      <c r="I663" s="119" t="s">
        <v>278</v>
      </c>
      <c r="J663" s="334" t="s">
        <v>287</v>
      </c>
      <c r="K663">
        <v>18</v>
      </c>
      <c r="L663">
        <v>2346</v>
      </c>
      <c r="M663">
        <v>21520000</v>
      </c>
      <c r="N663">
        <v>1907340</v>
      </c>
      <c r="O663">
        <v>2925000</v>
      </c>
      <c r="P663">
        <v>0</v>
      </c>
      <c r="Q663">
        <v>0</v>
      </c>
      <c r="R663">
        <v>0</v>
      </c>
      <c r="S663">
        <v>0</v>
      </c>
      <c r="T663">
        <f t="shared" ref="T663:T666" si="384">SUM(N663:R663)</f>
        <v>4832340</v>
      </c>
      <c r="U663">
        <f>700000/2</f>
        <v>350000</v>
      </c>
      <c r="V663" s="76">
        <f>85*35000</f>
        <v>2975000</v>
      </c>
      <c r="W663" s="76">
        <v>0</v>
      </c>
      <c r="X663">
        <v>0</v>
      </c>
      <c r="Y663">
        <f t="shared" ref="Y663:Y666" si="385">SUM(U663:X663)</f>
        <v>3325000</v>
      </c>
      <c r="Z663" s="12">
        <f>26%*M663</f>
        <v>5595200</v>
      </c>
      <c r="AA663">
        <f>(10*15000)+(88*25000)</f>
        <v>2350000</v>
      </c>
      <c r="AB663">
        <v>0</v>
      </c>
      <c r="AC663">
        <v>0</v>
      </c>
      <c r="AD663">
        <v>0</v>
      </c>
      <c r="AE663">
        <f t="shared" ref="AE663:AE666" si="386">SUM(Z663:AD663)</f>
        <v>7945200</v>
      </c>
      <c r="AF663" s="12">
        <f t="shared" ref="AF663:AF666" si="387">AE663-(T663+Y663)</f>
        <v>-212140</v>
      </c>
      <c r="AG66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412860</v>
      </c>
      <c r="AH663">
        <f>IFERROR(AG663/(Z663+Table5[[#This Row],[Rider Penalty (Claim, Other Denda to Riders)]]),0)</f>
        <v>7.3788247068916207E-2</v>
      </c>
      <c r="AI663" s="12">
        <f t="shared" ref="AI663:AI666" si="388">AA663+AB663-V663</f>
        <v>-625000</v>
      </c>
      <c r="AJ663">
        <f t="shared" ref="AJ663:AJ666" si="389">IFERROR(AI663/(AA663+AB663),0)</f>
        <v>-0.26595744680851063</v>
      </c>
    </row>
    <row r="664" spans="1:36">
      <c r="A664" s="180">
        <v>2026</v>
      </c>
      <c r="B664" s="64" t="s">
        <v>23</v>
      </c>
      <c r="C664" s="64" t="s">
        <v>173</v>
      </c>
      <c r="D664" s="64" t="s">
        <v>168</v>
      </c>
      <c r="E664" s="64" t="s">
        <v>24</v>
      </c>
      <c r="F664" s="64" t="s">
        <v>282</v>
      </c>
      <c r="G664" s="119">
        <v>72026</v>
      </c>
      <c r="H664" s="119" t="s">
        <v>158</v>
      </c>
      <c r="I664" s="119" t="s">
        <v>278</v>
      </c>
      <c r="J664" s="334" t="s">
        <v>287</v>
      </c>
      <c r="K664">
        <v>12</v>
      </c>
      <c r="L664">
        <v>1759</v>
      </c>
      <c r="M664">
        <v>15924000</v>
      </c>
      <c r="N664">
        <v>1290720</v>
      </c>
      <c r="O664">
        <v>2075000</v>
      </c>
      <c r="P664">
        <v>0</v>
      </c>
      <c r="Q664">
        <v>0</v>
      </c>
      <c r="R664">
        <v>0</v>
      </c>
      <c r="S664">
        <v>0</v>
      </c>
      <c r="T664">
        <f t="shared" si="384"/>
        <v>3365720</v>
      </c>
      <c r="U664">
        <v>0</v>
      </c>
      <c r="V664" s="76">
        <f>61*35000</f>
        <v>2135000</v>
      </c>
      <c r="W664" s="76">
        <v>0</v>
      </c>
      <c r="X664">
        <v>0</v>
      </c>
      <c r="Y664">
        <f t="shared" si="385"/>
        <v>2135000</v>
      </c>
      <c r="Z664" s="12">
        <f>26%*M664</f>
        <v>4140240</v>
      </c>
      <c r="AA664">
        <f>(12*15000)+(57*25000)</f>
        <v>1605000</v>
      </c>
      <c r="AB664">
        <v>0</v>
      </c>
      <c r="AC664">
        <v>0</v>
      </c>
      <c r="AD664">
        <v>0</v>
      </c>
      <c r="AE664">
        <f t="shared" si="386"/>
        <v>5745240</v>
      </c>
      <c r="AF664" s="12">
        <f t="shared" si="387"/>
        <v>244520</v>
      </c>
      <c r="AG66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774520</v>
      </c>
      <c r="AH664">
        <f>IFERROR(AG664/(Z664+Table5[[#This Row],[Rider Penalty (Claim, Other Denda to Riders)]]),0)</f>
        <v>0.18707128089192898</v>
      </c>
      <c r="AI664" s="12">
        <f t="shared" si="388"/>
        <v>-530000</v>
      </c>
      <c r="AJ664">
        <f t="shared" si="389"/>
        <v>-0.33021806853582553</v>
      </c>
    </row>
    <row r="665" spans="1:36">
      <c r="A665" s="180">
        <v>2026</v>
      </c>
      <c r="B665" s="119" t="s">
        <v>23</v>
      </c>
      <c r="C665" s="119" t="s">
        <v>205</v>
      </c>
      <c r="D665" s="119" t="s">
        <v>168</v>
      </c>
      <c r="E665" s="119" t="s">
        <v>24</v>
      </c>
      <c r="F665" s="119" t="s">
        <v>24</v>
      </c>
      <c r="G665" s="119">
        <v>72026</v>
      </c>
      <c r="H665" s="119" t="s">
        <v>158</v>
      </c>
      <c r="I665" s="119" t="s">
        <v>278</v>
      </c>
      <c r="J665" s="334" t="s">
        <v>287</v>
      </c>
      <c r="K665">
        <v>9</v>
      </c>
      <c r="L665">
        <v>1469</v>
      </c>
      <c r="M665">
        <v>2650700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384"/>
        <v>0</v>
      </c>
      <c r="U665">
        <f>700000/2</f>
        <v>350000</v>
      </c>
      <c r="V665" s="76">
        <v>0</v>
      </c>
      <c r="W665" s="76">
        <v>0</v>
      </c>
      <c r="X665">
        <v>0</v>
      </c>
      <c r="Y665">
        <f t="shared" si="385"/>
        <v>350000</v>
      </c>
      <c r="Z665" s="12">
        <f>7%*M665</f>
        <v>185549.00000000003</v>
      </c>
      <c r="AA665">
        <v>0</v>
      </c>
      <c r="AB665">
        <v>0</v>
      </c>
      <c r="AC665">
        <v>0</v>
      </c>
      <c r="AD665">
        <v>0</v>
      </c>
      <c r="AE665">
        <f t="shared" si="386"/>
        <v>185549.00000000003</v>
      </c>
      <c r="AF665" s="12">
        <f t="shared" si="387"/>
        <v>-164450.99999999997</v>
      </c>
      <c r="AG66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-164450.99999999997</v>
      </c>
      <c r="AH665">
        <f>IFERROR(AG665/(Z665+Table5[[#This Row],[Rider Penalty (Claim, Other Denda to Riders)]]),0)</f>
        <v>-0.88629418644131708</v>
      </c>
      <c r="AI665" s="12">
        <f t="shared" si="388"/>
        <v>0</v>
      </c>
      <c r="AJ665">
        <f t="shared" si="389"/>
        <v>0</v>
      </c>
    </row>
    <row r="666" spans="1:36">
      <c r="A666" s="238">
        <v>2026</v>
      </c>
      <c r="B666" s="191" t="s">
        <v>202</v>
      </c>
      <c r="C666" s="191" t="s">
        <v>202</v>
      </c>
      <c r="D666" s="191" t="s">
        <v>168</v>
      </c>
      <c r="E666" s="191" t="s">
        <v>24</v>
      </c>
      <c r="F666" s="191" t="s">
        <v>24</v>
      </c>
      <c r="G666" s="119">
        <v>72026</v>
      </c>
      <c r="H666" s="119" t="s">
        <v>158</v>
      </c>
      <c r="I666" s="119" t="s">
        <v>278</v>
      </c>
      <c r="J666" s="334" t="s">
        <v>287</v>
      </c>
      <c r="K666">
        <v>1</v>
      </c>
      <c r="L666">
        <v>17</v>
      </c>
      <c r="M666">
        <v>161000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384"/>
        <v>0</v>
      </c>
      <c r="U666">
        <v>0</v>
      </c>
      <c r="V666" s="76">
        <v>0</v>
      </c>
      <c r="W666" s="76">
        <v>0</v>
      </c>
      <c r="X666">
        <v>0</v>
      </c>
      <c r="Y666">
        <f t="shared" si="385"/>
        <v>0</v>
      </c>
      <c r="Z666" s="12">
        <f>10%*M666</f>
        <v>16100</v>
      </c>
      <c r="AA666">
        <v>0</v>
      </c>
      <c r="AB666">
        <v>0</v>
      </c>
      <c r="AC666">
        <v>0</v>
      </c>
      <c r="AD666">
        <v>0</v>
      </c>
      <c r="AE666">
        <f t="shared" si="386"/>
        <v>16100</v>
      </c>
      <c r="AF666" s="12">
        <f t="shared" si="387"/>
        <v>16100</v>
      </c>
      <c r="AG66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16100</v>
      </c>
      <c r="AH666">
        <f>IFERROR(AG666/(Z666+Table5[[#This Row],[Rider Penalty (Claim, Other Denda to Riders)]]),0)</f>
        <v>1</v>
      </c>
      <c r="AI666" s="12">
        <f t="shared" si="388"/>
        <v>0</v>
      </c>
      <c r="AJ666">
        <f t="shared" si="389"/>
        <v>0</v>
      </c>
    </row>
    <row r="667" spans="1:36">
      <c r="A667" s="180">
        <v>2026</v>
      </c>
      <c r="B667" s="179" t="s">
        <v>23</v>
      </c>
      <c r="C667" s="64" t="s">
        <v>23</v>
      </c>
      <c r="D667" t="s">
        <v>168</v>
      </c>
      <c r="E667" t="s">
        <v>28</v>
      </c>
      <c r="F667" t="s">
        <v>28</v>
      </c>
      <c r="G667" s="119">
        <v>72026</v>
      </c>
      <c r="H667" s="119" t="s">
        <v>158</v>
      </c>
      <c r="I667" s="119" t="s">
        <v>278</v>
      </c>
      <c r="J667" s="334" t="s">
        <v>287</v>
      </c>
      <c r="K667">
        <v>197</v>
      </c>
      <c r="L667">
        <v>53593</v>
      </c>
      <c r="M667">
        <v>471142000</v>
      </c>
      <c r="N667">
        <v>49625410</v>
      </c>
      <c r="O667">
        <v>47295000</v>
      </c>
      <c r="P667">
        <v>0</v>
      </c>
      <c r="Q667">
        <v>0</v>
      </c>
      <c r="R667">
        <v>0</v>
      </c>
      <c r="S667">
        <v>0</v>
      </c>
      <c r="T667">
        <f>SUM(N667:R667)</f>
        <v>96920410</v>
      </c>
      <c r="U667" s="199">
        <v>3150000</v>
      </c>
      <c r="V667" s="76">
        <v>48265000</v>
      </c>
      <c r="W667" s="76">
        <v>0</v>
      </c>
      <c r="X667" s="188">
        <v>320349.76833333337</v>
      </c>
      <c r="Y667">
        <f>SUM(U667:X667)</f>
        <v>51735349.768333331</v>
      </c>
      <c r="Z667" s="12">
        <f>26%*M667</f>
        <v>122496920</v>
      </c>
      <c r="AA667">
        <f>29325000+2400000</f>
        <v>31725000</v>
      </c>
      <c r="AB667">
        <v>0</v>
      </c>
      <c r="AC667">
        <v>725000</v>
      </c>
      <c r="AD667">
        <v>0</v>
      </c>
      <c r="AE667">
        <f>SUM(Z667:AD667)</f>
        <v>154946920</v>
      </c>
      <c r="AF667" s="12">
        <f>AE667-(T667+Y667)</f>
        <v>6291160.2316666842</v>
      </c>
      <c r="AG66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22106160.231666666</v>
      </c>
      <c r="AH667">
        <f>IFERROR(AG667/(Z667+Table5[[#This Row],[Rider Penalty (Claim, Other Denda to Riders)]]),0)</f>
        <v>0.18046298822588083</v>
      </c>
      <c r="AI667" s="12">
        <f>AA667+AB667-V667</f>
        <v>-16540000</v>
      </c>
      <c r="AJ667">
        <f>IFERROR(AI667/(AA667+AB667),0)</f>
        <v>-0.52135539795114261</v>
      </c>
    </row>
    <row r="668" spans="1:36">
      <c r="A668" s="238">
        <v>2026</v>
      </c>
      <c r="B668" t="s">
        <v>23</v>
      </c>
      <c r="C668" t="s">
        <v>172</v>
      </c>
      <c r="D668" t="s">
        <v>168</v>
      </c>
      <c r="E668" t="s">
        <v>28</v>
      </c>
      <c r="F668" t="s">
        <v>28</v>
      </c>
      <c r="G668" s="119">
        <v>72026</v>
      </c>
      <c r="H668" s="119" t="s">
        <v>158</v>
      </c>
      <c r="I668" s="119" t="s">
        <v>278</v>
      </c>
      <c r="J668" s="334" t="s">
        <v>287</v>
      </c>
      <c r="K668">
        <v>29</v>
      </c>
      <c r="L668">
        <v>7616</v>
      </c>
      <c r="M668">
        <v>67116000</v>
      </c>
      <c r="N668">
        <v>7013970</v>
      </c>
      <c r="O668">
        <v>7145000</v>
      </c>
      <c r="P668">
        <v>0</v>
      </c>
      <c r="Q668">
        <v>0</v>
      </c>
      <c r="R668">
        <v>0</v>
      </c>
      <c r="S668">
        <v>0</v>
      </c>
      <c r="T668">
        <f>SUM(N668:R668)</f>
        <v>14158970</v>
      </c>
      <c r="U668" s="199">
        <v>900000</v>
      </c>
      <c r="V668" s="76">
        <v>7105000</v>
      </c>
      <c r="W668" s="76">
        <v>0</v>
      </c>
      <c r="X668" s="188">
        <v>316666.66666666663</v>
      </c>
      <c r="Y668">
        <f>SUM(U668:X668)</f>
        <v>8321666.666666667</v>
      </c>
      <c r="Z668" s="12">
        <f>26%*M668</f>
        <v>17450160</v>
      </c>
      <c r="AA668">
        <f>4225000+325000</f>
        <v>4550000</v>
      </c>
      <c r="AB668">
        <v>0</v>
      </c>
      <c r="AC668">
        <v>225000</v>
      </c>
      <c r="AD668">
        <v>0</v>
      </c>
      <c r="AE668">
        <f>SUM(Z668:AD668)</f>
        <v>22225160</v>
      </c>
      <c r="AF668" s="12">
        <f>AE668-(T668+Y668)</f>
        <v>-255476.66666666791</v>
      </c>
      <c r="AG66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2074523.3333333335</v>
      </c>
      <c r="AH668">
        <f>IFERROR(AG668/(Z668+Table5[[#This Row],[Rider Penalty (Claim, Other Denda to Riders)]]),0)</f>
        <v>0.1188827686011666</v>
      </c>
      <c r="AI668" s="12">
        <f>AA668+AB668-V668</f>
        <v>-2555000</v>
      </c>
      <c r="AJ668">
        <f>IFERROR(AI668/(AA668+AB668),0)</f>
        <v>-0.56153846153846154</v>
      </c>
    </row>
    <row r="669" spans="1:36">
      <c r="A669" s="238">
        <v>2026</v>
      </c>
      <c r="B669" s="191" t="s">
        <v>176</v>
      </c>
      <c r="C669" s="191" t="s">
        <v>176</v>
      </c>
      <c r="D669" s="191" t="s">
        <v>169</v>
      </c>
      <c r="E669" s="191" t="s">
        <v>28</v>
      </c>
      <c r="F669" s="191" t="s">
        <v>28</v>
      </c>
      <c r="G669" s="119">
        <v>72026</v>
      </c>
      <c r="H669" s="119" t="s">
        <v>158</v>
      </c>
      <c r="I669" s="119" t="s">
        <v>278</v>
      </c>
      <c r="J669" s="334" t="s">
        <v>287</v>
      </c>
      <c r="K669">
        <v>6</v>
      </c>
      <c r="L669">
        <v>309</v>
      </c>
      <c r="M669">
        <v>2991000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f>SUM(N669:R669)</f>
        <v>0</v>
      </c>
      <c r="U669">
        <v>0</v>
      </c>
      <c r="V669" s="76">
        <v>0</v>
      </c>
      <c r="W669" s="76">
        <v>0</v>
      </c>
      <c r="X669">
        <v>0</v>
      </c>
      <c r="Y669">
        <f>SUM(U669:X669)</f>
        <v>0</v>
      </c>
      <c r="Z669" s="12">
        <f>7%*M669</f>
        <v>209370.00000000003</v>
      </c>
      <c r="AA669">
        <v>0</v>
      </c>
      <c r="AB669">
        <v>0</v>
      </c>
      <c r="AC669">
        <v>0</v>
      </c>
      <c r="AD669">
        <v>0</v>
      </c>
      <c r="AE669">
        <f>SUM(Z669:AD669)</f>
        <v>209370.00000000003</v>
      </c>
      <c r="AF669" s="12">
        <f>AE669-(T669+Y669)</f>
        <v>209370.00000000003</v>
      </c>
      <c r="AG66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209370.00000000003</v>
      </c>
      <c r="AH669">
        <f>IFERROR(AG669/(Z669+Table5[[#This Row],[Rider Penalty (Claim, Other Denda to Riders)]]),0)</f>
        <v>1</v>
      </c>
      <c r="AI669" s="12">
        <f>AA669+AB669-V669</f>
        <v>0</v>
      </c>
      <c r="AJ669">
        <f>IFERROR(AI669/(AA669+AB669),0)</f>
        <v>0</v>
      </c>
    </row>
    <row r="670" spans="1:36">
      <c r="A670" s="180">
        <v>2026</v>
      </c>
      <c r="B670" s="119" t="s">
        <v>23</v>
      </c>
      <c r="C670" s="119" t="s">
        <v>174</v>
      </c>
      <c r="D670" s="119" t="s">
        <v>168</v>
      </c>
      <c r="E670" s="119" t="s">
        <v>24</v>
      </c>
      <c r="F670" s="119" t="s">
        <v>24</v>
      </c>
      <c r="G670" s="119">
        <v>82026</v>
      </c>
      <c r="H670" s="119" t="s">
        <v>158</v>
      </c>
      <c r="I670" s="119" t="s">
        <v>279</v>
      </c>
      <c r="J670" s="334" t="s">
        <v>334</v>
      </c>
      <c r="K670">
        <v>19</v>
      </c>
      <c r="L670">
        <v>1617</v>
      </c>
      <c r="M670">
        <v>15004000</v>
      </c>
      <c r="N670">
        <v>1111400</v>
      </c>
      <c r="O670">
        <v>2925000</v>
      </c>
      <c r="P670">
        <v>0</v>
      </c>
      <c r="Q670">
        <v>0</v>
      </c>
      <c r="R670">
        <v>0</v>
      </c>
      <c r="S670">
        <v>0</v>
      </c>
      <c r="T670">
        <f t="shared" ref="T670:T673" si="390">SUM(N670:R670)</f>
        <v>4036400</v>
      </c>
      <c r="U670">
        <f>700000/2</f>
        <v>350000</v>
      </c>
      <c r="V670" s="76">
        <f>83*35000</f>
        <v>2905000</v>
      </c>
      <c r="W670" s="76">
        <v>0</v>
      </c>
      <c r="X670">
        <v>0</v>
      </c>
      <c r="Y670">
        <f t="shared" ref="Y670:Y673" si="391">SUM(U670:X670)</f>
        <v>3255000</v>
      </c>
      <c r="Z670" s="12">
        <f>26%*M670</f>
        <v>3901040</v>
      </c>
      <c r="AA670">
        <f>(26*15000)+(69*25000)</f>
        <v>2115000</v>
      </c>
      <c r="AB670">
        <v>0</v>
      </c>
      <c r="AC670">
        <v>0</v>
      </c>
      <c r="AD670">
        <v>0</v>
      </c>
      <c r="AE670">
        <f t="shared" ref="AE670" si="392">SUM(Z670:AD670)</f>
        <v>6016040</v>
      </c>
      <c r="AF670" s="12">
        <f t="shared" ref="AF670:AF673" si="393">AE670-(T670+Y670)</f>
        <v>-1275360</v>
      </c>
      <c r="AG67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-485360</v>
      </c>
      <c r="AH670">
        <f>IFERROR(AG670/(Z670+Table5[[#This Row],[Rider Penalty (Claim, Other Denda to Riders)]]),0)</f>
        <v>-0.12441810389024466</v>
      </c>
      <c r="AI670" s="12">
        <f t="shared" ref="AI670:AI672" si="394">AA670+AB670-V670</f>
        <v>-790000</v>
      </c>
      <c r="AJ670">
        <f t="shared" ref="AJ670:AJ672" si="395">IFERROR(AI670/(AA670+AB670),0)</f>
        <v>-0.37352245862884159</v>
      </c>
    </row>
    <row r="671" spans="1:36">
      <c r="A671" s="180">
        <v>2026</v>
      </c>
      <c r="B671" s="64" t="s">
        <v>23</v>
      </c>
      <c r="C671" s="64" t="s">
        <v>173</v>
      </c>
      <c r="D671" s="64" t="s">
        <v>168</v>
      </c>
      <c r="E671" s="64" t="s">
        <v>24</v>
      </c>
      <c r="F671" s="64" t="s">
        <v>282</v>
      </c>
      <c r="G671" s="119">
        <v>82026</v>
      </c>
      <c r="H671" s="119" t="s">
        <v>158</v>
      </c>
      <c r="I671" s="119" t="s">
        <v>279</v>
      </c>
      <c r="J671" s="334" t="s">
        <v>334</v>
      </c>
      <c r="K671">
        <v>11</v>
      </c>
      <c r="L671">
        <v>898</v>
      </c>
      <c r="M671">
        <v>8102000</v>
      </c>
      <c r="N671">
        <v>484240</v>
      </c>
      <c r="O671">
        <v>1275000</v>
      </c>
      <c r="P671">
        <v>0</v>
      </c>
      <c r="Q671">
        <v>0</v>
      </c>
      <c r="R671">
        <v>0</v>
      </c>
      <c r="S671">
        <v>0</v>
      </c>
      <c r="T671">
        <f t="shared" si="390"/>
        <v>1759240</v>
      </c>
      <c r="U671">
        <v>0</v>
      </c>
      <c r="V671" s="76">
        <f>40*35000</f>
        <v>1400000</v>
      </c>
      <c r="W671" s="76">
        <v>0</v>
      </c>
      <c r="X671">
        <v>0</v>
      </c>
      <c r="Y671">
        <f t="shared" si="391"/>
        <v>1400000</v>
      </c>
      <c r="Z671" s="12">
        <f>26%*M671</f>
        <v>2106520</v>
      </c>
      <c r="AA671">
        <f>(11*15000)+(39*25000)</f>
        <v>1140000</v>
      </c>
      <c r="AB671">
        <v>0</v>
      </c>
      <c r="AC671">
        <v>0</v>
      </c>
      <c r="AD671">
        <v>0</v>
      </c>
      <c r="AE671" s="12">
        <f>SUM(Z671:AD671)</f>
        <v>3246520</v>
      </c>
      <c r="AF671" s="12">
        <f t="shared" si="393"/>
        <v>87280</v>
      </c>
      <c r="AG67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347280</v>
      </c>
      <c r="AH671">
        <f>IFERROR(AG671/(Z671+Table5[[#This Row],[Rider Penalty (Claim, Other Denda to Riders)]]),0)</f>
        <v>0.16485957883143762</v>
      </c>
      <c r="AI671" s="12">
        <f t="shared" si="394"/>
        <v>-260000</v>
      </c>
      <c r="AJ671">
        <f t="shared" si="395"/>
        <v>-0.22807017543859648</v>
      </c>
    </row>
    <row r="672" spans="1:36">
      <c r="A672" s="180">
        <v>2026</v>
      </c>
      <c r="B672" s="119" t="s">
        <v>23</v>
      </c>
      <c r="C672" s="119" t="s">
        <v>205</v>
      </c>
      <c r="D672" s="119" t="s">
        <v>168</v>
      </c>
      <c r="E672" s="119" t="s">
        <v>24</v>
      </c>
      <c r="F672" s="119" t="s">
        <v>24</v>
      </c>
      <c r="G672" s="119">
        <v>82026</v>
      </c>
      <c r="H672" s="119" t="s">
        <v>158</v>
      </c>
      <c r="I672" s="119" t="s">
        <v>279</v>
      </c>
      <c r="J672" s="334" t="s">
        <v>334</v>
      </c>
      <c r="K672">
        <v>9</v>
      </c>
      <c r="L672">
        <v>1195</v>
      </c>
      <c r="M672">
        <v>2492400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390"/>
        <v>0</v>
      </c>
      <c r="U672">
        <f>700000/2</f>
        <v>350000</v>
      </c>
      <c r="V672" s="76">
        <v>0</v>
      </c>
      <c r="W672" s="76">
        <v>0</v>
      </c>
      <c r="X672">
        <v>0</v>
      </c>
      <c r="Y672">
        <f t="shared" si="391"/>
        <v>350000</v>
      </c>
      <c r="Z672" s="12">
        <f>7%*M672</f>
        <v>174468.00000000003</v>
      </c>
      <c r="AA672">
        <v>0</v>
      </c>
      <c r="AB672">
        <v>0</v>
      </c>
      <c r="AC672">
        <v>0</v>
      </c>
      <c r="AD672">
        <v>0</v>
      </c>
      <c r="AE672" s="12">
        <f>SUM(Z672:AD672)</f>
        <v>174468.00000000003</v>
      </c>
      <c r="AF672" s="12">
        <f t="shared" si="393"/>
        <v>-175531.99999999997</v>
      </c>
      <c r="AG67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-175531.99999999997</v>
      </c>
      <c r="AH672">
        <f>IFERROR(AG672/(Z672+Table5[[#This Row],[Rider Penalty (Claim, Other Denda to Riders)]]),0)</f>
        <v>-1.0060985395602629</v>
      </c>
      <c r="AI672" s="12">
        <f t="shared" si="394"/>
        <v>0</v>
      </c>
      <c r="AJ672">
        <f t="shared" si="395"/>
        <v>0</v>
      </c>
    </row>
    <row r="673" spans="1:36">
      <c r="A673" s="180">
        <v>2026</v>
      </c>
      <c r="B673" s="179" t="s">
        <v>23</v>
      </c>
      <c r="C673" s="64" t="s">
        <v>23</v>
      </c>
      <c r="D673" t="s">
        <v>168</v>
      </c>
      <c r="E673" t="s">
        <v>28</v>
      </c>
      <c r="F673" t="s">
        <v>28</v>
      </c>
      <c r="G673" s="119">
        <v>82026</v>
      </c>
      <c r="H673" s="119" t="s">
        <v>158</v>
      </c>
      <c r="I673" s="119" t="s">
        <v>279</v>
      </c>
      <c r="J673" s="334" t="s">
        <v>334</v>
      </c>
      <c r="K673">
        <v>193</v>
      </c>
      <c r="L673" s="16">
        <v>34756</v>
      </c>
      <c r="M673" s="16">
        <v>305800000</v>
      </c>
      <c r="N673" s="16">
        <v>23669400</v>
      </c>
      <c r="O673" s="16">
        <v>35935000</v>
      </c>
      <c r="P673" s="16">
        <v>0</v>
      </c>
      <c r="Q673" s="16">
        <v>0</v>
      </c>
      <c r="R673" s="16">
        <v>0</v>
      </c>
      <c r="S673" s="16">
        <v>0</v>
      </c>
      <c r="T673" s="16">
        <f t="shared" si="390"/>
        <v>59604400</v>
      </c>
      <c r="U673" s="16">
        <v>3450000</v>
      </c>
      <c r="V673" s="173">
        <v>47285000</v>
      </c>
      <c r="W673" s="173">
        <v>0</v>
      </c>
      <c r="X673" s="16">
        <v>320349.76833333337</v>
      </c>
      <c r="Y673" s="16">
        <f t="shared" si="391"/>
        <v>51055349.768333331</v>
      </c>
      <c r="Z673" s="16">
        <f>26%*M673</f>
        <v>79508000</v>
      </c>
      <c r="AA673" s="16">
        <f>28525000+3475000</f>
        <v>32000000</v>
      </c>
      <c r="AB673" s="16">
        <v>0</v>
      </c>
      <c r="AC673" s="16">
        <v>775000</v>
      </c>
      <c r="AD673" s="16">
        <v>0</v>
      </c>
      <c r="AE673" s="16">
        <f>SUM(Z673:AD673)</f>
        <v>112283000</v>
      </c>
      <c r="AF673" s="12">
        <f t="shared" si="393"/>
        <v>1623250.2316666692</v>
      </c>
      <c r="AG67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16133250.231666667</v>
      </c>
      <c r="AH673">
        <f>IFERROR(AG673/(Z673+Table5[[#This Row],[Rider Penalty (Claim, Other Denda to Riders)]]),0)</f>
        <v>0.20291354620499405</v>
      </c>
      <c r="AI673" s="12">
        <f t="shared" ref="AI673:AI674" si="396">AA673+AB673-V673</f>
        <v>-15285000</v>
      </c>
      <c r="AJ673">
        <f t="shared" ref="AJ673:AJ674" si="397">IFERROR(AI673/(AA673+AB673),0)</f>
        <v>-0.47765625</v>
      </c>
    </row>
    <row r="674" spans="1:36">
      <c r="A674" s="238">
        <v>2026</v>
      </c>
      <c r="B674" t="s">
        <v>23</v>
      </c>
      <c r="C674" t="s">
        <v>172</v>
      </c>
      <c r="D674" t="s">
        <v>168</v>
      </c>
      <c r="E674" t="s">
        <v>28</v>
      </c>
      <c r="F674" t="s">
        <v>28</v>
      </c>
      <c r="G674" s="119">
        <v>82026</v>
      </c>
      <c r="H674" s="119" t="s">
        <v>158</v>
      </c>
      <c r="I674" s="119" t="s">
        <v>279</v>
      </c>
      <c r="J674" s="334" t="s">
        <v>334</v>
      </c>
      <c r="K674">
        <v>30</v>
      </c>
      <c r="L674" s="16">
        <v>5682</v>
      </c>
      <c r="M674" s="16">
        <v>50198000</v>
      </c>
      <c r="N674" s="16">
        <v>4199900</v>
      </c>
      <c r="O674" s="16">
        <v>6585000</v>
      </c>
      <c r="P674" s="16">
        <v>0</v>
      </c>
      <c r="Q674" s="16">
        <v>0</v>
      </c>
      <c r="R674" s="16">
        <v>0</v>
      </c>
      <c r="S674" s="16">
        <v>0</v>
      </c>
      <c r="T674" s="16">
        <f>SUM(N674:R674)</f>
        <v>10784900</v>
      </c>
      <c r="U674" s="16">
        <v>900000</v>
      </c>
      <c r="V674" s="14">
        <v>7350000</v>
      </c>
      <c r="W674" s="14">
        <v>0</v>
      </c>
      <c r="X674" s="16">
        <v>316666.66666666663</v>
      </c>
      <c r="Y674" s="16">
        <f t="shared" ref="Y674:Y675" si="398">SUM(U674:X674)</f>
        <v>8566666.666666666</v>
      </c>
      <c r="Z674" s="16">
        <f t="shared" ref="Z674" si="399">26%*M674</f>
        <v>13051480</v>
      </c>
      <c r="AA674" s="16">
        <f>4075000+75000</f>
        <v>4150000</v>
      </c>
      <c r="AB674" s="16">
        <v>0</v>
      </c>
      <c r="AC674" s="16">
        <v>250000</v>
      </c>
      <c r="AD674" s="16">
        <v>0</v>
      </c>
      <c r="AE674" s="16">
        <f>SUM(Z674:AD674)</f>
        <v>17451480</v>
      </c>
      <c r="AF674" s="12">
        <f>AE674-(T674+Y674)</f>
        <v>-1900086.6666666642</v>
      </c>
      <c r="AG67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1049913.3333333335</v>
      </c>
      <c r="AH674">
        <f>IFERROR(AG674/(Z674+Table5[[#This Row],[Rider Penalty (Claim, Other Denda to Riders)]]),0)</f>
        <v>8.0444005839439933E-2</v>
      </c>
      <c r="AI674" s="12">
        <f t="shared" si="396"/>
        <v>-3200000</v>
      </c>
      <c r="AJ674">
        <f t="shared" si="397"/>
        <v>-0.77108433734939763</v>
      </c>
    </row>
    <row r="675" spans="1:36">
      <c r="A675" s="238">
        <v>2026</v>
      </c>
      <c r="B675" s="191" t="s">
        <v>176</v>
      </c>
      <c r="C675" s="191" t="s">
        <v>176</v>
      </c>
      <c r="D675" s="191" t="s">
        <v>169</v>
      </c>
      <c r="E675" s="191" t="s">
        <v>28</v>
      </c>
      <c r="F675" s="191" t="s">
        <v>28</v>
      </c>
      <c r="G675" s="119">
        <v>82026</v>
      </c>
      <c r="H675" s="119" t="s">
        <v>158</v>
      </c>
      <c r="I675" s="119" t="s">
        <v>279</v>
      </c>
      <c r="J675" s="334" t="s">
        <v>334</v>
      </c>
      <c r="K675">
        <v>4</v>
      </c>
      <c r="L675">
        <v>73</v>
      </c>
      <c r="M675">
        <v>941000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s="1">
        <v>0</v>
      </c>
      <c r="W675" s="1">
        <v>0</v>
      </c>
      <c r="X675">
        <v>0</v>
      </c>
      <c r="Y675">
        <f t="shared" si="398"/>
        <v>0</v>
      </c>
      <c r="Z675" s="12">
        <f>7%*M675</f>
        <v>65870</v>
      </c>
      <c r="AA675">
        <v>0</v>
      </c>
      <c r="AB675">
        <v>0</v>
      </c>
      <c r="AC675">
        <v>0</v>
      </c>
      <c r="AD675">
        <v>0</v>
      </c>
      <c r="AE675">
        <f t="shared" ref="AE675" si="400">SUM(Z675:AD675)</f>
        <v>65870</v>
      </c>
      <c r="AF675" s="12">
        <f t="shared" ref="AF675" si="401">AE675-(T675+Y675)</f>
        <v>65870</v>
      </c>
      <c r="AG67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65870</v>
      </c>
      <c r="AH675">
        <f>IFERROR(AG675/(Z675+Table5[[#This Row],[Rider Penalty (Claim, Other Denda to Riders)]]),0)</f>
        <v>1</v>
      </c>
      <c r="AI675" s="12">
        <f t="shared" ref="AI675" si="402">AA675+AB675-V675</f>
        <v>0</v>
      </c>
      <c r="AJ675">
        <f t="shared" ref="AJ675" si="403">IFERROR(AI675/(AA675+AB675),0)</f>
        <v>0</v>
      </c>
    </row>
    <row r="676" spans="1:36">
      <c r="A676" s="180">
        <v>2026</v>
      </c>
      <c r="B676" s="119" t="s">
        <v>23</v>
      </c>
      <c r="C676" s="119" t="s">
        <v>174</v>
      </c>
      <c r="D676" s="119" t="s">
        <v>168</v>
      </c>
      <c r="E676" s="119" t="s">
        <v>24</v>
      </c>
      <c r="F676" s="119" t="s">
        <v>24</v>
      </c>
      <c r="G676" s="119">
        <v>92026</v>
      </c>
      <c r="H676" s="119" t="s">
        <v>158</v>
      </c>
      <c r="I676" s="119" t="s">
        <v>280</v>
      </c>
      <c r="J676" s="334" t="s">
        <v>337</v>
      </c>
      <c r="K676">
        <v>13</v>
      </c>
      <c r="L676">
        <v>826</v>
      </c>
      <c r="M676">
        <v>7628000</v>
      </c>
      <c r="N676">
        <v>552100</v>
      </c>
      <c r="O676">
        <v>1550000</v>
      </c>
      <c r="P676">
        <v>0</v>
      </c>
      <c r="Q676">
        <v>0</v>
      </c>
      <c r="R676">
        <v>0</v>
      </c>
      <c r="S676">
        <v>0</v>
      </c>
      <c r="T676">
        <f t="shared" ref="T676:T678" si="404">SUM(N676:R676)</f>
        <v>2102100</v>
      </c>
      <c r="U676">
        <f>(700000/2)/7*6</f>
        <v>300000</v>
      </c>
      <c r="V676" s="76">
        <f>47*35000</f>
        <v>1645000</v>
      </c>
      <c r="W676" s="76">
        <v>0</v>
      </c>
      <c r="X676">
        <v>0</v>
      </c>
      <c r="Y676">
        <f t="shared" ref="Y676:Y678" si="405">SUM(U676:X676)</f>
        <v>1945000</v>
      </c>
      <c r="Z676" s="12">
        <f>26%*M676</f>
        <v>1983280</v>
      </c>
      <c r="AA676">
        <f>(10*15000)+(37*25000)</f>
        <v>1075000</v>
      </c>
      <c r="AB676">
        <v>0</v>
      </c>
      <c r="AC676">
        <v>0</v>
      </c>
      <c r="AD676">
        <v>0</v>
      </c>
      <c r="AE676">
        <f t="shared" ref="AE676:AE678" si="406">SUM(Z676:AD676)</f>
        <v>3058280</v>
      </c>
      <c r="AF676" s="12">
        <f t="shared" ref="AF676:AF678" si="407">AE676-(T676+Y676)</f>
        <v>-988820</v>
      </c>
      <c r="AG67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-418820</v>
      </c>
      <c r="AH676">
        <f>IFERROR(AG676/(Z676+Table5[[#This Row],[Rider Penalty (Claim, Other Denda to Riders)]]),0)</f>
        <v>-0.21117542656609253</v>
      </c>
      <c r="AI676" s="12">
        <f t="shared" ref="AI676:AI678" si="408">AA676+AB676-V676</f>
        <v>-570000</v>
      </c>
      <c r="AJ676">
        <f t="shared" ref="AJ676:AJ678" si="409">IFERROR(AI676/(AA676+AB676),0)</f>
        <v>-0.53023255813953485</v>
      </c>
    </row>
    <row r="677" spans="1:36">
      <c r="A677" s="180">
        <v>2026</v>
      </c>
      <c r="B677" s="64" t="s">
        <v>23</v>
      </c>
      <c r="C677" s="64" t="s">
        <v>173</v>
      </c>
      <c r="D677" s="64" t="s">
        <v>168</v>
      </c>
      <c r="E677" s="64" t="s">
        <v>24</v>
      </c>
      <c r="F677" s="64" t="s">
        <v>282</v>
      </c>
      <c r="G677" s="119">
        <v>92026</v>
      </c>
      <c r="H677" s="119" t="s">
        <v>158</v>
      </c>
      <c r="I677" s="119" t="s">
        <v>280</v>
      </c>
      <c r="J677" s="334" t="s">
        <v>337</v>
      </c>
      <c r="K677">
        <v>8</v>
      </c>
      <c r="L677">
        <v>541</v>
      </c>
      <c r="M677">
        <v>4928000</v>
      </c>
      <c r="N677">
        <v>310800</v>
      </c>
      <c r="O677">
        <v>975000</v>
      </c>
      <c r="P677">
        <v>0</v>
      </c>
      <c r="Q677">
        <v>0</v>
      </c>
      <c r="R677">
        <v>0</v>
      </c>
      <c r="S677">
        <v>0</v>
      </c>
      <c r="T677">
        <f t="shared" si="404"/>
        <v>1285800</v>
      </c>
      <c r="U677">
        <v>0</v>
      </c>
      <c r="V677" s="76">
        <f>34*35000</f>
        <v>1190000</v>
      </c>
      <c r="W677" s="76">
        <v>0</v>
      </c>
      <c r="X677">
        <v>0</v>
      </c>
      <c r="Y677">
        <f t="shared" si="405"/>
        <v>1190000</v>
      </c>
      <c r="Z677" s="12">
        <f>26%*M677</f>
        <v>1281280</v>
      </c>
      <c r="AA677">
        <f>(3*15000)+(31*25000)</f>
        <v>820000</v>
      </c>
      <c r="AB677">
        <v>0</v>
      </c>
      <c r="AC677">
        <v>0</v>
      </c>
      <c r="AD677">
        <v>0</v>
      </c>
      <c r="AE677">
        <f t="shared" si="406"/>
        <v>2101280</v>
      </c>
      <c r="AF677" s="12">
        <f t="shared" si="407"/>
        <v>-374520</v>
      </c>
      <c r="AG67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-4520</v>
      </c>
      <c r="AH677">
        <f>IFERROR(AG677/(Z677+Table5[[#This Row],[Rider Penalty (Claim, Other Denda to Riders)]]),0)</f>
        <v>-3.5277222777222775E-3</v>
      </c>
      <c r="AI677" s="12">
        <f t="shared" si="408"/>
        <v>-370000</v>
      </c>
      <c r="AJ677">
        <f t="shared" si="409"/>
        <v>-0.45121951219512196</v>
      </c>
    </row>
    <row r="678" spans="1:36">
      <c r="A678" s="238">
        <v>2026</v>
      </c>
      <c r="B678" s="191" t="s">
        <v>23</v>
      </c>
      <c r="C678" s="191" t="s">
        <v>205</v>
      </c>
      <c r="D678" s="191" t="s">
        <v>168</v>
      </c>
      <c r="E678" s="191" t="s">
        <v>24</v>
      </c>
      <c r="F678" s="191" t="s">
        <v>24</v>
      </c>
      <c r="G678" s="119">
        <v>92026</v>
      </c>
      <c r="H678" s="191" t="s">
        <v>158</v>
      </c>
      <c r="I678" s="119" t="s">
        <v>280</v>
      </c>
      <c r="J678" s="343" t="s">
        <v>337</v>
      </c>
      <c r="K678">
        <v>8</v>
      </c>
      <c r="L678">
        <v>441</v>
      </c>
      <c r="M678">
        <v>1450000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f t="shared" si="404"/>
        <v>0</v>
      </c>
      <c r="U678">
        <v>300000</v>
      </c>
      <c r="V678" s="76">
        <v>0</v>
      </c>
      <c r="W678" s="76">
        <v>0</v>
      </c>
      <c r="X678">
        <v>0</v>
      </c>
      <c r="Y678">
        <f t="shared" si="405"/>
        <v>300000</v>
      </c>
      <c r="Z678" s="12">
        <f>7%*M678</f>
        <v>101500.00000000001</v>
      </c>
      <c r="AA678">
        <v>0</v>
      </c>
      <c r="AB678">
        <v>0</v>
      </c>
      <c r="AC678">
        <v>0</v>
      </c>
      <c r="AD678">
        <v>0</v>
      </c>
      <c r="AE678">
        <f t="shared" si="406"/>
        <v>101500.00000000001</v>
      </c>
      <c r="AF678" s="12">
        <f t="shared" si="407"/>
        <v>-198500</v>
      </c>
      <c r="AG67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-198500</v>
      </c>
      <c r="AH678">
        <f>IFERROR(AG678/(Z678+Table5[[#This Row],[Rider Penalty (Claim, Other Denda to Riders)]]),0)</f>
        <v>-1.9556650246305416</v>
      </c>
      <c r="AI678" s="12">
        <f t="shared" si="408"/>
        <v>0</v>
      </c>
      <c r="AJ678">
        <f t="shared" si="409"/>
        <v>0</v>
      </c>
    </row>
    <row r="679" spans="1:36">
      <c r="A679" s="180">
        <v>2026</v>
      </c>
      <c r="B679" s="119" t="s">
        <v>23</v>
      </c>
      <c r="C679" s="119" t="s">
        <v>174</v>
      </c>
      <c r="D679" s="119" t="s">
        <v>168</v>
      </c>
      <c r="E679" s="119" t="s">
        <v>24</v>
      </c>
      <c r="F679" s="119" t="s">
        <v>24</v>
      </c>
      <c r="G679" s="119">
        <v>92026</v>
      </c>
      <c r="H679" s="119" t="s">
        <v>159</v>
      </c>
      <c r="I679" s="119" t="s">
        <v>275</v>
      </c>
      <c r="J679" s="334">
        <v>46082</v>
      </c>
      <c r="K679">
        <v>9</v>
      </c>
      <c r="L679">
        <v>216</v>
      </c>
      <c r="M679">
        <v>1994000</v>
      </c>
      <c r="N679">
        <v>148160</v>
      </c>
      <c r="O679">
        <v>375000</v>
      </c>
      <c r="P679">
        <v>0</v>
      </c>
      <c r="Q679">
        <v>0</v>
      </c>
      <c r="R679">
        <v>0</v>
      </c>
      <c r="S679">
        <v>0</v>
      </c>
      <c r="T679">
        <f t="shared" ref="T679:T681" si="410">SUM(N679:R679)</f>
        <v>523160</v>
      </c>
      <c r="U679">
        <v>50000</v>
      </c>
      <c r="V679" s="76">
        <f>9*35000</f>
        <v>315000</v>
      </c>
      <c r="W679" s="76">
        <v>0</v>
      </c>
      <c r="X679">
        <v>0</v>
      </c>
      <c r="Y679">
        <f t="shared" ref="Y679:Y681" si="411">SUM(U679:X679)</f>
        <v>365000</v>
      </c>
      <c r="Z679" s="12">
        <f>26%*M679</f>
        <v>518440</v>
      </c>
      <c r="AA679">
        <f>(3*15000)+(11*25000)</f>
        <v>320000</v>
      </c>
      <c r="AB679">
        <v>0</v>
      </c>
      <c r="AC679">
        <v>0</v>
      </c>
      <c r="AD679">
        <v>0</v>
      </c>
      <c r="AE679">
        <f t="shared" ref="AE679:AE681" si="412">SUM(Z679:AD679)</f>
        <v>838440</v>
      </c>
      <c r="AF679" s="12">
        <f t="shared" ref="AF679:AF681" si="413">AE679-(T679+Y679)</f>
        <v>-49720</v>
      </c>
      <c r="AG67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-54720</v>
      </c>
      <c r="AH679">
        <f>IFERROR(AG679/(Z679+Table5[[#This Row],[Rider Penalty (Claim, Other Denda to Riders)]]),0)</f>
        <v>-0.10554741146516472</v>
      </c>
      <c r="AI679" s="12">
        <f t="shared" ref="AI679:AI681" si="414">AA679+AB679-V679</f>
        <v>5000</v>
      </c>
      <c r="AJ679">
        <f t="shared" ref="AJ679:AJ681" si="415">IFERROR(AI679/(AA679+AB679),0)</f>
        <v>1.5625E-2</v>
      </c>
    </row>
    <row r="680" spans="1:36">
      <c r="A680" s="180">
        <v>2026</v>
      </c>
      <c r="B680" s="64" t="s">
        <v>23</v>
      </c>
      <c r="C680" s="64" t="s">
        <v>173</v>
      </c>
      <c r="D680" s="64" t="s">
        <v>168</v>
      </c>
      <c r="E680" s="64" t="s">
        <v>24</v>
      </c>
      <c r="F680" s="64" t="s">
        <v>282</v>
      </c>
      <c r="G680" s="119">
        <v>92026</v>
      </c>
      <c r="H680" s="119" t="s">
        <v>159</v>
      </c>
      <c r="I680" s="119" t="s">
        <v>275</v>
      </c>
      <c r="J680" s="334">
        <v>46082</v>
      </c>
      <c r="K680">
        <v>6</v>
      </c>
      <c r="L680">
        <v>123</v>
      </c>
      <c r="M680">
        <v>1122000</v>
      </c>
      <c r="N680">
        <v>72340</v>
      </c>
      <c r="O680">
        <v>175000</v>
      </c>
      <c r="P680">
        <v>0</v>
      </c>
      <c r="Q680">
        <v>0</v>
      </c>
      <c r="R680">
        <v>0</v>
      </c>
      <c r="S680">
        <v>0</v>
      </c>
      <c r="T680">
        <f t="shared" si="410"/>
        <v>247340</v>
      </c>
      <c r="U680">
        <v>0</v>
      </c>
      <c r="V680" s="76">
        <f>6*35000</f>
        <v>210000</v>
      </c>
      <c r="W680" s="76">
        <v>0</v>
      </c>
      <c r="X680">
        <v>0</v>
      </c>
      <c r="Y680">
        <f t="shared" si="411"/>
        <v>210000</v>
      </c>
      <c r="Z680" s="12">
        <f>26%*M680</f>
        <v>291720</v>
      </c>
      <c r="AA680">
        <f>(11*25000)</f>
        <v>275000</v>
      </c>
      <c r="AB680">
        <v>0</v>
      </c>
      <c r="AC680">
        <v>0</v>
      </c>
      <c r="AD680">
        <v>0</v>
      </c>
      <c r="AE680">
        <f t="shared" si="412"/>
        <v>566720</v>
      </c>
      <c r="AF680" s="12">
        <f t="shared" si="413"/>
        <v>109380</v>
      </c>
      <c r="AG68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44380</v>
      </c>
      <c r="AH680">
        <f>IFERROR(AG680/(Z680+Table5[[#This Row],[Rider Penalty (Claim, Other Denda to Riders)]]),0)</f>
        <v>0.15213218154394625</v>
      </c>
      <c r="AI680" s="12">
        <f t="shared" si="414"/>
        <v>65000</v>
      </c>
      <c r="AJ680">
        <f t="shared" si="415"/>
        <v>0.23636363636363636</v>
      </c>
    </row>
    <row r="681" spans="1:36">
      <c r="A681" s="238">
        <v>2026</v>
      </c>
      <c r="B681" s="191" t="s">
        <v>23</v>
      </c>
      <c r="C681" s="191" t="s">
        <v>205</v>
      </c>
      <c r="D681" s="191" t="s">
        <v>168</v>
      </c>
      <c r="E681" s="191" t="s">
        <v>24</v>
      </c>
      <c r="F681" s="191" t="s">
        <v>24</v>
      </c>
      <c r="G681" s="119">
        <v>92026</v>
      </c>
      <c r="H681" s="119" t="s">
        <v>159</v>
      </c>
      <c r="I681" s="119" t="s">
        <v>275</v>
      </c>
      <c r="J681" s="334">
        <v>46082</v>
      </c>
      <c r="K681">
        <v>7</v>
      </c>
      <c r="L681">
        <v>123</v>
      </c>
      <c r="M681">
        <v>350000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f t="shared" si="410"/>
        <v>0</v>
      </c>
      <c r="U681">
        <v>50000</v>
      </c>
      <c r="V681" s="76">
        <v>0</v>
      </c>
      <c r="W681" s="76">
        <v>0</v>
      </c>
      <c r="X681">
        <v>0</v>
      </c>
      <c r="Y681">
        <f t="shared" si="411"/>
        <v>50000</v>
      </c>
      <c r="Z681" s="12">
        <f>7%*M681</f>
        <v>24500.000000000004</v>
      </c>
      <c r="AA681">
        <v>0</v>
      </c>
      <c r="AB681">
        <v>0</v>
      </c>
      <c r="AC681">
        <v>0</v>
      </c>
      <c r="AD681">
        <v>0</v>
      </c>
      <c r="AE681">
        <f t="shared" si="412"/>
        <v>24500.000000000004</v>
      </c>
      <c r="AF681" s="12">
        <f t="shared" si="413"/>
        <v>-25499.999999999996</v>
      </c>
      <c r="AG68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-25499.999999999996</v>
      </c>
      <c r="AH681">
        <f>IFERROR(AG681/(Z681+Table5[[#This Row],[Rider Penalty (Claim, Other Denda to Riders)]]),0)</f>
        <v>-1.0408163265306118</v>
      </c>
      <c r="AI681" s="12">
        <f t="shared" si="414"/>
        <v>0</v>
      </c>
      <c r="AJ681">
        <f t="shared" si="415"/>
        <v>0</v>
      </c>
    </row>
    <row r="682" spans="1:36">
      <c r="A682" s="180">
        <v>2026</v>
      </c>
      <c r="B682" s="179" t="s">
        <v>23</v>
      </c>
      <c r="C682" s="64" t="s">
        <v>23</v>
      </c>
      <c r="D682" t="s">
        <v>168</v>
      </c>
      <c r="E682" t="s">
        <v>28</v>
      </c>
      <c r="F682" t="s">
        <v>28</v>
      </c>
      <c r="G682" s="119">
        <v>92026</v>
      </c>
      <c r="H682" s="119" t="s">
        <v>158</v>
      </c>
      <c r="I682" s="119" t="s">
        <v>280</v>
      </c>
      <c r="J682" s="334" t="s">
        <v>337</v>
      </c>
      <c r="K682">
        <v>186</v>
      </c>
      <c r="L682">
        <v>22084</v>
      </c>
      <c r="M682">
        <v>194986000</v>
      </c>
      <c r="N682">
        <f>6/7*15412950</f>
        <v>13211100</v>
      </c>
      <c r="O682">
        <f>6/7*29850000</f>
        <v>25585714.285714284</v>
      </c>
      <c r="P682">
        <v>0</v>
      </c>
      <c r="Q682">
        <f>6/7*800000</f>
        <v>685714.28571428568</v>
      </c>
      <c r="R682">
        <f>6/7*600000</f>
        <v>514285.71428571426</v>
      </c>
      <c r="S682">
        <v>0</v>
      </c>
      <c r="T682">
        <f t="shared" ref="T682:T684" si="416">SUM(N682:R682)</f>
        <v>39996814.285714284</v>
      </c>
      <c r="U682">
        <f>6/7*3750000</f>
        <v>3214285.7142857141</v>
      </c>
      <c r="V682">
        <f>6/7*45570000</f>
        <v>39060000</v>
      </c>
      <c r="W682" s="76">
        <v>0</v>
      </c>
      <c r="X682">
        <v>274585.51571428572</v>
      </c>
      <c r="Y682">
        <f t="shared" ref="Y682:Y684" si="417">SUM(U682:X682)</f>
        <v>42548871.230000004</v>
      </c>
      <c r="Z682" s="12">
        <f>26%*M682</f>
        <v>50696360</v>
      </c>
      <c r="AA682">
        <f>27025000*6/7</f>
        <v>23164285.714285713</v>
      </c>
      <c r="AB682">
        <v>0</v>
      </c>
      <c r="AC682">
        <f>6/7*350000</f>
        <v>300000</v>
      </c>
      <c r="AE682" s="12">
        <f>SUM(Z682:AD682)</f>
        <v>74160645.714285716</v>
      </c>
      <c r="AF682" s="12">
        <f>AE682-(T682+Y682)</f>
        <v>-8385039.8014285713</v>
      </c>
      <c r="AG682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7210674.484285716</v>
      </c>
      <c r="AH682">
        <f>IFERROR(AG682/(Z682+Table5[[#This Row],[Rider Penalty (Claim, Other Denda to Riders)]]),0)</f>
        <v>0.14223258798631136</v>
      </c>
      <c r="AI682" s="12">
        <f t="shared" ref="AI682:AI684" si="418">AA682+AB682-V682</f>
        <v>-15895714.285714287</v>
      </c>
      <c r="AJ682">
        <f t="shared" ref="AJ682:AJ684" si="419">IFERROR(AI682/(AA682+AB682),0)</f>
        <v>-0.68621646623496779</v>
      </c>
    </row>
    <row r="683" spans="1:36">
      <c r="A683" s="238">
        <v>2026</v>
      </c>
      <c r="B683" t="s">
        <v>23</v>
      </c>
      <c r="C683" t="s">
        <v>172</v>
      </c>
      <c r="D683" t="s">
        <v>168</v>
      </c>
      <c r="E683" t="s">
        <v>28</v>
      </c>
      <c r="F683" t="s">
        <v>28</v>
      </c>
      <c r="G683" s="119">
        <v>92026</v>
      </c>
      <c r="H683" s="119" t="s">
        <v>158</v>
      </c>
      <c r="I683" s="119" t="s">
        <v>280</v>
      </c>
      <c r="J683" s="334" t="s">
        <v>337</v>
      </c>
      <c r="K683">
        <v>27</v>
      </c>
      <c r="L683">
        <v>3682</v>
      </c>
      <c r="M683">
        <v>32680000</v>
      </c>
      <c r="N683">
        <f>6/7*2199270</f>
        <v>1885088.5714285714</v>
      </c>
      <c r="O683">
        <f>6/7*4610000</f>
        <v>3951428.5714285714</v>
      </c>
      <c r="P683">
        <v>0</v>
      </c>
      <c r="Q683">
        <f>6/7*500000</f>
        <v>428571.42857142852</v>
      </c>
      <c r="S683">
        <v>0</v>
      </c>
      <c r="T683">
        <f t="shared" si="416"/>
        <v>6265088.5714285709</v>
      </c>
      <c r="U683">
        <f>6/7*900000</f>
        <v>771428.57142857136</v>
      </c>
      <c r="V683" s="76">
        <f>6615000*6/7</f>
        <v>5670000</v>
      </c>
      <c r="W683" s="76">
        <v>0</v>
      </c>
      <c r="X683">
        <v>271428.57142857136</v>
      </c>
      <c r="Y683">
        <f t="shared" si="417"/>
        <v>6712857.1428571418</v>
      </c>
      <c r="Z683" s="12">
        <f t="shared" ref="Z683:Z686" si="420">26%*M683</f>
        <v>8496800</v>
      </c>
      <c r="AA683">
        <f>6/7*3950000</f>
        <v>3385714.2857142854</v>
      </c>
      <c r="AB683">
        <v>0</v>
      </c>
      <c r="AC683">
        <f>6/7*175000</f>
        <v>150000</v>
      </c>
      <c r="AE683" s="12">
        <f>SUM(Z683:AD683)</f>
        <v>12032514.285714285</v>
      </c>
      <c r="AF683" s="12">
        <f>AE683-(T683+Y683)</f>
        <v>-945431.42857142724</v>
      </c>
      <c r="AG683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1188854.2857142864</v>
      </c>
      <c r="AH683">
        <f>IFERROR(AG683/(Z683+Table5[[#This Row],[Rider Penalty (Claim, Other Denda to Riders)]]),0)</f>
        <v>0.13991788505252406</v>
      </c>
      <c r="AI683" s="12">
        <f t="shared" si="418"/>
        <v>-2284285.7142857146</v>
      </c>
      <c r="AJ683">
        <f t="shared" si="419"/>
        <v>-0.67468354430379762</v>
      </c>
    </row>
    <row r="684" spans="1:36">
      <c r="A684" s="238">
        <v>2026</v>
      </c>
      <c r="B684" s="191" t="s">
        <v>176</v>
      </c>
      <c r="C684" s="191" t="s">
        <v>176</v>
      </c>
      <c r="D684" s="191" t="s">
        <v>169</v>
      </c>
      <c r="E684" s="191" t="s">
        <v>28</v>
      </c>
      <c r="F684" s="191" t="s">
        <v>28</v>
      </c>
      <c r="G684" s="119">
        <v>92026</v>
      </c>
      <c r="H684" s="191" t="s">
        <v>158</v>
      </c>
      <c r="I684" s="119" t="s">
        <v>280</v>
      </c>
      <c r="J684" s="343" t="s">
        <v>337</v>
      </c>
      <c r="K684">
        <v>4</v>
      </c>
      <c r="L684">
        <v>43</v>
      </c>
      <c r="M684">
        <v>409000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f t="shared" si="416"/>
        <v>0</v>
      </c>
      <c r="U684">
        <v>0</v>
      </c>
      <c r="V684" s="76">
        <v>0</v>
      </c>
      <c r="W684" s="76">
        <v>0</v>
      </c>
      <c r="X684">
        <v>0</v>
      </c>
      <c r="Y684">
        <f t="shared" si="417"/>
        <v>0</v>
      </c>
      <c r="Z684" s="12">
        <f>7%*M684</f>
        <v>28630.000000000004</v>
      </c>
      <c r="AA684">
        <v>0</v>
      </c>
      <c r="AB684">
        <v>0</v>
      </c>
      <c r="AC684">
        <v>0</v>
      </c>
      <c r="AD684">
        <v>0</v>
      </c>
      <c r="AE684">
        <f t="shared" ref="AE684" si="421">SUM(Z684:AD684)</f>
        <v>28630.000000000004</v>
      </c>
      <c r="AF684" s="12">
        <f t="shared" ref="AF684" si="422">AE684-(T684+Y684)</f>
        <v>28630.000000000004</v>
      </c>
      <c r="AG68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28630.000000000004</v>
      </c>
      <c r="AH684">
        <f>IFERROR(AG684/(Z684+Table5[[#This Row],[Rider Penalty (Claim, Other Denda to Riders)]]),0)</f>
        <v>1</v>
      </c>
      <c r="AI684" s="12">
        <f t="shared" si="418"/>
        <v>0</v>
      </c>
      <c r="AJ684">
        <f t="shared" si="419"/>
        <v>0</v>
      </c>
    </row>
    <row r="685" spans="1:36">
      <c r="A685" s="180">
        <v>2026</v>
      </c>
      <c r="B685" s="179" t="s">
        <v>23</v>
      </c>
      <c r="C685" s="64" t="s">
        <v>23</v>
      </c>
      <c r="D685" t="s">
        <v>168</v>
      </c>
      <c r="E685" t="s">
        <v>28</v>
      </c>
      <c r="F685" t="s">
        <v>28</v>
      </c>
      <c r="G685" s="119">
        <v>92026</v>
      </c>
      <c r="H685" s="119" t="s">
        <v>159</v>
      </c>
      <c r="I685" s="119" t="s">
        <v>275</v>
      </c>
      <c r="J685" s="334">
        <v>46082</v>
      </c>
      <c r="K685">
        <v>113</v>
      </c>
      <c r="L685">
        <v>4125</v>
      </c>
      <c r="M685">
        <v>36494000</v>
      </c>
      <c r="N685">
        <f>1/7*15412950</f>
        <v>2201850</v>
      </c>
      <c r="O685">
        <f>1/7*29850000</f>
        <v>4264285.7142857136</v>
      </c>
      <c r="P685">
        <v>0</v>
      </c>
      <c r="Q685">
        <f>1/7*500000</f>
        <v>71428.57142857142</v>
      </c>
      <c r="R685">
        <f>1/7*600000</f>
        <v>85714.28571428571</v>
      </c>
      <c r="S685">
        <v>0</v>
      </c>
      <c r="T685">
        <f t="shared" ref="T685:T686" si="423">SUM(N685:R685)</f>
        <v>6623278.5714285709</v>
      </c>
      <c r="U685">
        <f>1/7*3750000</f>
        <v>535714.28571428568</v>
      </c>
      <c r="V685">
        <f>1/7*45570000</f>
        <v>6510000</v>
      </c>
      <c r="W685" s="76">
        <v>0</v>
      </c>
      <c r="X685">
        <v>41335.453978494632</v>
      </c>
      <c r="Y685">
        <f t="shared" ref="Y685:Y686" si="424">SUM(U685:X685)</f>
        <v>7087049.7396927802</v>
      </c>
      <c r="Z685" s="12">
        <f>26%*M685</f>
        <v>9488440</v>
      </c>
      <c r="AA685">
        <f>27025000*1/7</f>
        <v>3860714.2857142859</v>
      </c>
      <c r="AB685">
        <v>0</v>
      </c>
      <c r="AC685">
        <f>1/7*350000</f>
        <v>50000</v>
      </c>
      <c r="AE685" s="12">
        <f>SUM(Z685:AD685)</f>
        <v>13399154.285714285</v>
      </c>
      <c r="AF685" s="12">
        <f>AE685-(T685+Y685)</f>
        <v>-311174.02540706657</v>
      </c>
      <c r="AG685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2288111.6888786489</v>
      </c>
      <c r="AH685">
        <f>IFERROR(AG685/(Z685+Table5[[#This Row],[Rider Penalty (Claim, Other Denda to Riders)]]),0)</f>
        <v>0.24114730017565048</v>
      </c>
      <c r="AI685" s="12">
        <f t="shared" ref="AI685:AI686" si="425">AA685+AB685-V685</f>
        <v>-2649285.7142857141</v>
      </c>
      <c r="AJ685">
        <f t="shared" ref="AJ685:AJ691" si="426">IFERROR(AI685/(AA685+AB685),0)</f>
        <v>-0.68621646623496757</v>
      </c>
    </row>
    <row r="686" spans="1:36">
      <c r="A686" s="238">
        <v>2026</v>
      </c>
      <c r="B686" t="s">
        <v>23</v>
      </c>
      <c r="C686" t="s">
        <v>172</v>
      </c>
      <c r="D686" t="s">
        <v>168</v>
      </c>
      <c r="E686" t="s">
        <v>28</v>
      </c>
      <c r="F686" t="s">
        <v>28</v>
      </c>
      <c r="G686" s="119">
        <v>92026</v>
      </c>
      <c r="H686" s="119" t="s">
        <v>159</v>
      </c>
      <c r="I686" s="119" t="s">
        <v>275</v>
      </c>
      <c r="J686" s="334">
        <v>46082</v>
      </c>
      <c r="K686">
        <v>22</v>
      </c>
      <c r="L686">
        <v>653</v>
      </c>
      <c r="M686">
        <v>5794000</v>
      </c>
      <c r="N686">
        <f>1/7*2199270</f>
        <v>314181.42857142858</v>
      </c>
      <c r="O686">
        <f>1/7*4610000</f>
        <v>658571.42857142852</v>
      </c>
      <c r="P686">
        <v>0</v>
      </c>
      <c r="Q686">
        <f>1/7*800000</f>
        <v>114285.71428571428</v>
      </c>
      <c r="R686">
        <v>0</v>
      </c>
      <c r="S686">
        <v>0</v>
      </c>
      <c r="T686">
        <f t="shared" si="423"/>
        <v>1087038.5714285714</v>
      </c>
      <c r="U686">
        <f>1/7*900000</f>
        <v>128571.42857142857</v>
      </c>
      <c r="V686" s="76">
        <f>6615000*1/7</f>
        <v>945000</v>
      </c>
      <c r="W686" s="76">
        <v>0</v>
      </c>
      <c r="X686">
        <v>40860.215053763437</v>
      </c>
      <c r="Y686">
        <f t="shared" si="424"/>
        <v>1114431.6436251921</v>
      </c>
      <c r="Z686" s="12">
        <f t="shared" si="420"/>
        <v>1506440</v>
      </c>
      <c r="AA686">
        <f>1/7*3950000</f>
        <v>564285.7142857142</v>
      </c>
      <c r="AB686">
        <v>0</v>
      </c>
      <c r="AC686">
        <f>1/7*175000</f>
        <v>25000</v>
      </c>
      <c r="AE686" s="12">
        <f>SUM(Z686:AD686)</f>
        <v>2095725.7142857141</v>
      </c>
      <c r="AF686" s="12">
        <f t="shared" ref="AF686" si="427">AE686-(T686+Y686)</f>
        <v>-105744.50076804915</v>
      </c>
      <c r="AG686" s="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249969.78494623661</v>
      </c>
      <c r="AH686">
        <f>IFERROR(AG686/(Z686+Table5[[#This Row],[Rider Penalty (Claim, Other Denda to Riders)]]),0)</f>
        <v>0.1659341128396993</v>
      </c>
      <c r="AI686" s="12">
        <f t="shared" si="425"/>
        <v>-380714.2857142858</v>
      </c>
      <c r="AJ686">
        <f t="shared" si="426"/>
        <v>-0.67468354430379773</v>
      </c>
    </row>
    <row r="687" spans="1:36">
      <c r="A687" s="180">
        <v>2026</v>
      </c>
      <c r="B687" s="119" t="s">
        <v>23</v>
      </c>
      <c r="C687" s="119" t="s">
        <v>174</v>
      </c>
      <c r="D687" s="119" t="s">
        <v>168</v>
      </c>
      <c r="E687" s="119" t="s">
        <v>24</v>
      </c>
      <c r="F687" s="119" t="s">
        <v>24</v>
      </c>
      <c r="G687" s="119">
        <v>102026</v>
      </c>
      <c r="H687" s="119" t="s">
        <v>159</v>
      </c>
      <c r="I687" s="119" t="s">
        <v>256</v>
      </c>
      <c r="J687" s="334" t="s">
        <v>340</v>
      </c>
      <c r="K687">
        <v>14</v>
      </c>
      <c r="L687">
        <v>1061</v>
      </c>
      <c r="M687">
        <v>9836000</v>
      </c>
      <c r="N687">
        <v>704080</v>
      </c>
      <c r="O687">
        <v>2250000</v>
      </c>
      <c r="P687">
        <v>0</v>
      </c>
      <c r="Q687">
        <v>0</v>
      </c>
      <c r="R687">
        <v>0</v>
      </c>
      <c r="S687">
        <v>0</v>
      </c>
      <c r="T687">
        <f t="shared" ref="T687:T691" si="428">SUM(N687:R687)</f>
        <v>2954080</v>
      </c>
      <c r="U687">
        <v>350000</v>
      </c>
      <c r="V687" s="76">
        <f>66*35000</f>
        <v>2310000</v>
      </c>
      <c r="W687" s="76">
        <v>0</v>
      </c>
      <c r="X687">
        <v>0</v>
      </c>
      <c r="Y687">
        <f t="shared" ref="Y687:Y691" si="429">SUM(U687:X687)</f>
        <v>2660000</v>
      </c>
      <c r="Z687" s="12">
        <f>26%*M687</f>
        <v>2557360</v>
      </c>
      <c r="AA687">
        <f>(22*15000)+(51*25000)</f>
        <v>1605000</v>
      </c>
      <c r="AB687">
        <v>0</v>
      </c>
      <c r="AC687">
        <v>0</v>
      </c>
      <c r="AD687">
        <v>0</v>
      </c>
      <c r="AE687">
        <f t="shared" ref="AE687:AE689" si="430">SUM(Z687:AD687)</f>
        <v>4162360</v>
      </c>
      <c r="AF687" s="12">
        <f t="shared" ref="AF687:AF689" si="431">AE687-(T687+Y687)</f>
        <v>-1451720</v>
      </c>
      <c r="AG68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-746720</v>
      </c>
      <c r="AH687">
        <f>IFERROR(AG687/(Z687+Table5[[#This Row],[Rider Penalty (Claim, Other Denda to Riders)]]),0)</f>
        <v>-0.2919886132574217</v>
      </c>
      <c r="AI687" s="12">
        <f t="shared" ref="AI687:AI689" si="432">AA687+AB687-V687</f>
        <v>-705000</v>
      </c>
      <c r="AJ687">
        <f t="shared" si="426"/>
        <v>-0.43925233644859812</v>
      </c>
    </row>
    <row r="688" spans="1:36">
      <c r="A688" s="180">
        <v>2026</v>
      </c>
      <c r="B688" s="64" t="s">
        <v>23</v>
      </c>
      <c r="C688" s="64" t="s">
        <v>173</v>
      </c>
      <c r="D688" s="64" t="s">
        <v>168</v>
      </c>
      <c r="E688" s="64" t="s">
        <v>24</v>
      </c>
      <c r="F688" s="64" t="s">
        <v>282</v>
      </c>
      <c r="G688" s="119">
        <v>102026</v>
      </c>
      <c r="H688" s="119" t="s">
        <v>159</v>
      </c>
      <c r="I688" s="119" t="s">
        <v>256</v>
      </c>
      <c r="J688" s="334" t="s">
        <v>340</v>
      </c>
      <c r="K688">
        <v>7</v>
      </c>
      <c r="L688">
        <v>775</v>
      </c>
      <c r="M688">
        <v>7110000</v>
      </c>
      <c r="N688">
        <v>574660</v>
      </c>
      <c r="O688">
        <v>1150000</v>
      </c>
      <c r="P688">
        <v>0</v>
      </c>
      <c r="Q688">
        <v>0</v>
      </c>
      <c r="R688">
        <v>0</v>
      </c>
      <c r="S688">
        <v>0</v>
      </c>
      <c r="T688">
        <f t="shared" si="428"/>
        <v>1724660</v>
      </c>
      <c r="U688">
        <v>0</v>
      </c>
      <c r="V688" s="76">
        <f>39*35000</f>
        <v>1365000</v>
      </c>
      <c r="W688" s="76">
        <v>0</v>
      </c>
      <c r="X688">
        <v>0</v>
      </c>
      <c r="Y688">
        <f t="shared" si="429"/>
        <v>1365000</v>
      </c>
      <c r="Z688" s="12">
        <f>26%*M688</f>
        <v>1848600</v>
      </c>
      <c r="AA688">
        <f>46*25000</f>
        <v>1150000</v>
      </c>
      <c r="AB688">
        <v>0</v>
      </c>
      <c r="AC688">
        <v>0</v>
      </c>
      <c r="AD688">
        <v>0</v>
      </c>
      <c r="AE688">
        <f t="shared" si="430"/>
        <v>2998600</v>
      </c>
      <c r="AF688" s="12">
        <f t="shared" si="431"/>
        <v>-91060</v>
      </c>
      <c r="AG68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123940</v>
      </c>
      <c r="AH688">
        <f>IFERROR(AG688/(Z688+Table5[[#This Row],[Rider Penalty (Claim, Other Denda to Riders)]]),0)</f>
        <v>6.7045331602293631E-2</v>
      </c>
      <c r="AI688" s="12">
        <f t="shared" si="432"/>
        <v>-215000</v>
      </c>
      <c r="AJ688">
        <f t="shared" si="426"/>
        <v>-0.18695652173913044</v>
      </c>
    </row>
    <row r="689" spans="1:36">
      <c r="A689" s="238">
        <v>2026</v>
      </c>
      <c r="B689" s="191" t="s">
        <v>23</v>
      </c>
      <c r="C689" s="191" t="s">
        <v>205</v>
      </c>
      <c r="D689" s="191" t="s">
        <v>168</v>
      </c>
      <c r="E689" s="191" t="s">
        <v>24</v>
      </c>
      <c r="F689" s="191" t="s">
        <v>24</v>
      </c>
      <c r="G689" s="119">
        <v>102026</v>
      </c>
      <c r="H689" s="119" t="s">
        <v>159</v>
      </c>
      <c r="I689" s="119" t="s">
        <v>256</v>
      </c>
      <c r="J689" s="334" t="s">
        <v>340</v>
      </c>
      <c r="K689">
        <v>9</v>
      </c>
      <c r="L689">
        <v>880</v>
      </c>
      <c r="M689">
        <v>2580880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428"/>
        <v>0</v>
      </c>
      <c r="U689">
        <v>350000</v>
      </c>
      <c r="V689" s="76">
        <v>0</v>
      </c>
      <c r="W689" s="76">
        <v>0</v>
      </c>
      <c r="X689">
        <v>0</v>
      </c>
      <c r="Y689">
        <f t="shared" si="429"/>
        <v>350000</v>
      </c>
      <c r="Z689" s="12">
        <f>7%*M689</f>
        <v>180661.6</v>
      </c>
      <c r="AA689">
        <v>0</v>
      </c>
      <c r="AB689">
        <v>0</v>
      </c>
      <c r="AC689">
        <v>0</v>
      </c>
      <c r="AD689">
        <v>0</v>
      </c>
      <c r="AE689">
        <f t="shared" si="430"/>
        <v>180661.6</v>
      </c>
      <c r="AF689" s="12">
        <f t="shared" si="431"/>
        <v>-169338.4</v>
      </c>
      <c r="AG68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-169338.4</v>
      </c>
      <c r="AH689">
        <f>IFERROR(AG689/(Z689+Table5[[#This Row],[Rider Penalty (Claim, Other Denda to Riders)]]),0)</f>
        <v>-0.93732370354297756</v>
      </c>
      <c r="AI689" s="12">
        <f t="shared" si="432"/>
        <v>0</v>
      </c>
      <c r="AJ689">
        <f t="shared" si="426"/>
        <v>0</v>
      </c>
    </row>
    <row r="690" spans="1:36">
      <c r="A690" s="180">
        <v>2026</v>
      </c>
      <c r="B690" s="179" t="s">
        <v>23</v>
      </c>
      <c r="C690" s="64" t="s">
        <v>23</v>
      </c>
      <c r="D690" t="s">
        <v>168</v>
      </c>
      <c r="E690" t="s">
        <v>28</v>
      </c>
      <c r="F690" t="s">
        <v>28</v>
      </c>
      <c r="G690" s="119">
        <v>102026</v>
      </c>
      <c r="H690" s="119" t="s">
        <v>159</v>
      </c>
      <c r="I690" s="119" t="s">
        <v>256</v>
      </c>
      <c r="J690" s="334" t="s">
        <v>340</v>
      </c>
      <c r="K690">
        <v>188</v>
      </c>
      <c r="L690">
        <v>26578</v>
      </c>
      <c r="M690">
        <v>234908000</v>
      </c>
      <c r="N690">
        <v>15851230</v>
      </c>
      <c r="O690" s="345">
        <v>31050000</v>
      </c>
      <c r="P690">
        <v>0</v>
      </c>
      <c r="Q690">
        <v>0</v>
      </c>
      <c r="R690">
        <v>0</v>
      </c>
      <c r="S690">
        <v>0</v>
      </c>
      <c r="T690">
        <f t="shared" si="428"/>
        <v>46901230</v>
      </c>
      <c r="U690">
        <v>3450000</v>
      </c>
      <c r="V690" s="76">
        <v>46060000</v>
      </c>
      <c r="W690" s="76">
        <v>0</v>
      </c>
      <c r="X690" s="188">
        <v>289348.17784946243</v>
      </c>
      <c r="Y690">
        <f t="shared" si="429"/>
        <v>49799348.177849464</v>
      </c>
      <c r="Z690" s="12">
        <f>26%*M690</f>
        <v>61076080</v>
      </c>
      <c r="AA690">
        <v>26950000</v>
      </c>
      <c r="AB690">
        <v>0</v>
      </c>
      <c r="AC690">
        <v>900000</v>
      </c>
      <c r="AD690">
        <v>0</v>
      </c>
      <c r="AE690" s="12">
        <f t="shared" ref="AE690:AE698" si="433">SUM(Z690:AD690)</f>
        <v>88926080</v>
      </c>
      <c r="AF690" s="12">
        <f t="shared" ref="AF690:AF691" si="434">AE690-(T690+Y690)</f>
        <v>-7774498.1778494716</v>
      </c>
      <c r="AG69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10435501.822150538</v>
      </c>
      <c r="AH690">
        <f>IFERROR(AG690/(Z690+Table5[[#This Row],[Rider Penalty (Claim, Other Denda to Riders)]]),0)</f>
        <v>0.17086070065646874</v>
      </c>
      <c r="AI690" s="12">
        <f t="shared" ref="AI690:AI691" si="435">AA690+AB690-V690</f>
        <v>-19110000</v>
      </c>
      <c r="AJ690">
        <f t="shared" si="426"/>
        <v>-0.70909090909090911</v>
      </c>
    </row>
    <row r="691" spans="1:36">
      <c r="A691" s="238">
        <v>2026</v>
      </c>
      <c r="B691" t="s">
        <v>23</v>
      </c>
      <c r="C691" t="s">
        <v>172</v>
      </c>
      <c r="D691" t="s">
        <v>168</v>
      </c>
      <c r="E691" t="s">
        <v>28</v>
      </c>
      <c r="F691" t="s">
        <v>28</v>
      </c>
      <c r="G691" s="119">
        <v>102026</v>
      </c>
      <c r="H691" s="119" t="s">
        <v>159</v>
      </c>
      <c r="I691" s="119" t="s">
        <v>256</v>
      </c>
      <c r="J691" s="334" t="s">
        <v>340</v>
      </c>
      <c r="K691">
        <v>30</v>
      </c>
      <c r="L691">
        <v>4403</v>
      </c>
      <c r="M691">
        <v>38970000</v>
      </c>
      <c r="N691">
        <v>2841145</v>
      </c>
      <c r="O691">
        <v>4685000</v>
      </c>
      <c r="P691">
        <v>0</v>
      </c>
      <c r="Q691">
        <v>0</v>
      </c>
      <c r="R691">
        <v>0</v>
      </c>
      <c r="S691">
        <v>0</v>
      </c>
      <c r="T691">
        <f t="shared" si="428"/>
        <v>7526145</v>
      </c>
      <c r="U691">
        <v>900000</v>
      </c>
      <c r="V691" s="76">
        <v>7350000</v>
      </c>
      <c r="W691" s="76">
        <v>0</v>
      </c>
      <c r="X691" s="188">
        <v>286021.50537634408</v>
      </c>
      <c r="Y691">
        <f t="shared" si="429"/>
        <v>8536021.5053763445</v>
      </c>
      <c r="Z691" s="12">
        <f>26%*M691</f>
        <v>10132200</v>
      </c>
      <c r="AA691">
        <v>4275000</v>
      </c>
      <c r="AB691">
        <v>0</v>
      </c>
      <c r="AC691">
        <v>325000</v>
      </c>
      <c r="AD691">
        <v>0</v>
      </c>
      <c r="AE691" s="12">
        <f t="shared" si="433"/>
        <v>14732200</v>
      </c>
      <c r="AF691" s="12">
        <f t="shared" si="434"/>
        <v>-1329966.5053763445</v>
      </c>
      <c r="AG69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1420033.4946236559</v>
      </c>
      <c r="AH691">
        <f>IFERROR(AG691/(Z691+Table5[[#This Row],[Rider Penalty (Claim, Other Denda to Riders)]]),0)</f>
        <v>0.14015055907144114</v>
      </c>
      <c r="AI691" s="12">
        <f t="shared" si="435"/>
        <v>-3075000</v>
      </c>
      <c r="AJ691">
        <f t="shared" si="426"/>
        <v>-0.7192982456140351</v>
      </c>
    </row>
    <row r="692" spans="1:36">
      <c r="A692" s="180">
        <v>2026</v>
      </c>
      <c r="B692" s="119" t="s">
        <v>23</v>
      </c>
      <c r="C692" s="119" t="s">
        <v>174</v>
      </c>
      <c r="D692" s="119" t="s">
        <v>168</v>
      </c>
      <c r="E692" s="119" t="s">
        <v>24</v>
      </c>
      <c r="F692" s="119" t="s">
        <v>24</v>
      </c>
      <c r="G692" s="119">
        <v>112026</v>
      </c>
      <c r="H692" s="119" t="s">
        <v>159</v>
      </c>
      <c r="I692" s="119" t="s">
        <v>278</v>
      </c>
      <c r="J692" s="334" t="s">
        <v>342</v>
      </c>
      <c r="K692">
        <v>13</v>
      </c>
      <c r="L692">
        <v>1234</v>
      </c>
      <c r="M692">
        <v>11594000</v>
      </c>
      <c r="N692">
        <v>811860</v>
      </c>
      <c r="O692">
        <v>2050000</v>
      </c>
      <c r="P692">
        <v>0</v>
      </c>
      <c r="Q692">
        <v>0</v>
      </c>
      <c r="R692">
        <v>0</v>
      </c>
      <c r="S692">
        <v>0</v>
      </c>
      <c r="T692">
        <f t="shared" ref="T692:T698" si="436">SUM(N692:R692)</f>
        <v>2861860</v>
      </c>
      <c r="U692">
        <v>350000</v>
      </c>
      <c r="V692" s="76">
        <f>63*35000</f>
        <v>2205000</v>
      </c>
      <c r="W692" s="76">
        <v>0</v>
      </c>
      <c r="X692">
        <v>0</v>
      </c>
      <c r="Y692">
        <f t="shared" ref="Y692:Y698" si="437">SUM(U692:X692)</f>
        <v>2555000</v>
      </c>
      <c r="Z692" s="12">
        <f>26%*M692</f>
        <v>3014440</v>
      </c>
      <c r="AA692">
        <f>(12*15000)+(56*25000)</f>
        <v>1580000</v>
      </c>
      <c r="AB692">
        <v>0</v>
      </c>
      <c r="AC692">
        <v>0</v>
      </c>
      <c r="AD692">
        <v>0</v>
      </c>
      <c r="AE692" s="12">
        <f t="shared" si="433"/>
        <v>4594440</v>
      </c>
      <c r="AF692" s="12">
        <f t="shared" ref="AF692:AF698" si="438">AE692-(T692+Y692)</f>
        <v>-822420</v>
      </c>
      <c r="AG69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-197420</v>
      </c>
      <c r="AH692">
        <f>IFERROR(AG692/(Z692+Table5[[#This Row],[Rider Penalty (Claim, Other Denda to Riders)]]),0)</f>
        <v>-6.5491434561643289E-2</v>
      </c>
      <c r="AI692" s="12">
        <f t="shared" ref="AI692:AI698" si="439">AA692+AB692-V692</f>
        <v>-625000</v>
      </c>
      <c r="AJ692">
        <f t="shared" ref="AJ692:AJ698" si="440">IFERROR(AI692/(AA692+AB692),0)</f>
        <v>-0.39556962025316456</v>
      </c>
    </row>
    <row r="693" spans="1:36">
      <c r="A693" s="180">
        <v>2026</v>
      </c>
      <c r="B693" s="64" t="s">
        <v>23</v>
      </c>
      <c r="C693" s="64" t="s">
        <v>173</v>
      </c>
      <c r="D693" s="64" t="s">
        <v>168</v>
      </c>
      <c r="E693" s="64" t="s">
        <v>24</v>
      </c>
      <c r="F693" s="64" t="s">
        <v>282</v>
      </c>
      <c r="G693" s="119">
        <v>112026</v>
      </c>
      <c r="H693" s="119" t="s">
        <v>159</v>
      </c>
      <c r="I693" s="119" t="s">
        <v>278</v>
      </c>
      <c r="J693" s="334" t="s">
        <v>342</v>
      </c>
      <c r="K693">
        <v>6</v>
      </c>
      <c r="L693">
        <v>434</v>
      </c>
      <c r="M693">
        <v>3952000</v>
      </c>
      <c r="N693">
        <v>247440</v>
      </c>
      <c r="O693">
        <v>675000</v>
      </c>
      <c r="P693">
        <v>0</v>
      </c>
      <c r="Q693">
        <v>0</v>
      </c>
      <c r="R693">
        <v>0</v>
      </c>
      <c r="S693">
        <v>0</v>
      </c>
      <c r="T693">
        <f t="shared" si="436"/>
        <v>922440</v>
      </c>
      <c r="U693">
        <v>0</v>
      </c>
      <c r="V693" s="1">
        <f>26*35000</f>
        <v>910000</v>
      </c>
      <c r="W693" s="1">
        <v>0</v>
      </c>
      <c r="X693">
        <v>0</v>
      </c>
      <c r="Y693">
        <f t="shared" si="437"/>
        <v>910000</v>
      </c>
      <c r="Z693" s="12">
        <f>26%*M693</f>
        <v>1027520</v>
      </c>
      <c r="AA693">
        <f>34*25000</f>
        <v>850000</v>
      </c>
      <c r="AB693">
        <v>0</v>
      </c>
      <c r="AC693">
        <v>0</v>
      </c>
      <c r="AD693">
        <v>0</v>
      </c>
      <c r="AE693">
        <f t="shared" si="433"/>
        <v>1877520</v>
      </c>
      <c r="AF693" s="12">
        <f t="shared" si="438"/>
        <v>45080</v>
      </c>
      <c r="AG69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105080</v>
      </c>
      <c r="AH693">
        <f>IFERROR(AG693/(Z693+Table5[[#This Row],[Rider Penalty (Claim, Other Denda to Riders)]]),0)</f>
        <v>0.10226564933042666</v>
      </c>
      <c r="AI693" s="12">
        <f t="shared" si="439"/>
        <v>-60000</v>
      </c>
      <c r="AJ693">
        <f t="shared" si="440"/>
        <v>-7.0588235294117646E-2</v>
      </c>
    </row>
    <row r="694" spans="1:36">
      <c r="A694" s="238">
        <v>2026</v>
      </c>
      <c r="B694" s="191" t="s">
        <v>23</v>
      </c>
      <c r="C694" s="191" t="s">
        <v>205</v>
      </c>
      <c r="D694" s="191" t="s">
        <v>168</v>
      </c>
      <c r="E694" s="191" t="s">
        <v>24</v>
      </c>
      <c r="F694" s="191" t="s">
        <v>24</v>
      </c>
      <c r="G694" s="119">
        <v>112026</v>
      </c>
      <c r="H694" s="119" t="s">
        <v>159</v>
      </c>
      <c r="I694" s="119" t="s">
        <v>278</v>
      </c>
      <c r="J694" s="334" t="s">
        <v>342</v>
      </c>
      <c r="K694">
        <v>8</v>
      </c>
      <c r="L694">
        <v>953</v>
      </c>
      <c r="M694" s="16">
        <v>2599200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f t="shared" si="436"/>
        <v>0</v>
      </c>
      <c r="U694">
        <v>350000</v>
      </c>
      <c r="V694" s="1">
        <v>0</v>
      </c>
      <c r="W694" s="1">
        <v>0</v>
      </c>
      <c r="X694">
        <v>0</v>
      </c>
      <c r="Y694">
        <f t="shared" si="437"/>
        <v>350000</v>
      </c>
      <c r="Z694" s="12">
        <f>7%*M694</f>
        <v>181944.00000000003</v>
      </c>
      <c r="AA694">
        <v>0</v>
      </c>
      <c r="AB694">
        <v>0</v>
      </c>
      <c r="AC694">
        <v>0</v>
      </c>
      <c r="AD694">
        <v>0</v>
      </c>
      <c r="AE694">
        <f t="shared" si="433"/>
        <v>181944.00000000003</v>
      </c>
      <c r="AF694" s="12">
        <f t="shared" si="438"/>
        <v>-168055.99999999997</v>
      </c>
      <c r="AG69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-168055.99999999997</v>
      </c>
      <c r="AH694">
        <f>IFERROR(AG694/(Z694+Table5[[#This Row],[Rider Penalty (Claim, Other Denda to Riders)]]),0)</f>
        <v>-0.92366882117574611</v>
      </c>
      <c r="AI694" s="12">
        <f t="shared" si="439"/>
        <v>0</v>
      </c>
      <c r="AJ694">
        <f t="shared" si="440"/>
        <v>0</v>
      </c>
    </row>
    <row r="695" spans="1:36">
      <c r="A695" s="180">
        <v>2026</v>
      </c>
      <c r="B695" s="179" t="s">
        <v>23</v>
      </c>
      <c r="C695" s="64" t="s">
        <v>23</v>
      </c>
      <c r="D695" t="s">
        <v>168</v>
      </c>
      <c r="E695" t="s">
        <v>28</v>
      </c>
      <c r="F695" t="s">
        <v>28</v>
      </c>
      <c r="G695" s="119">
        <v>112026</v>
      </c>
      <c r="H695" s="119" t="s">
        <v>159</v>
      </c>
      <c r="I695" s="119" t="s">
        <v>278</v>
      </c>
      <c r="J695" s="334" t="s">
        <v>342</v>
      </c>
      <c r="K695" s="16">
        <v>189</v>
      </c>
      <c r="L695" s="16">
        <v>37478</v>
      </c>
      <c r="M695" s="16">
        <v>332090000</v>
      </c>
      <c r="N695" s="16">
        <v>30047945</v>
      </c>
      <c r="O695" s="16">
        <v>38080000</v>
      </c>
      <c r="P695" s="16">
        <v>0</v>
      </c>
      <c r="Q695" s="16">
        <v>0</v>
      </c>
      <c r="R695" s="16">
        <v>0</v>
      </c>
      <c r="S695" s="16">
        <v>0</v>
      </c>
      <c r="T695" s="16">
        <f t="shared" si="436"/>
        <v>68127945</v>
      </c>
      <c r="U695" s="16">
        <v>4350000</v>
      </c>
      <c r="V695" s="173">
        <v>46305000</v>
      </c>
      <c r="W695" s="1">
        <v>0</v>
      </c>
      <c r="X695" s="16">
        <v>289348.17784946243</v>
      </c>
      <c r="Y695" s="16">
        <f t="shared" si="437"/>
        <v>50944348.177849464</v>
      </c>
      <c r="Z695" s="16">
        <f t="shared" ref="Z695:Z700" si="441">26%*M695</f>
        <v>86343400</v>
      </c>
      <c r="AA695" s="16">
        <v>27925000</v>
      </c>
      <c r="AB695" s="16">
        <v>0</v>
      </c>
      <c r="AC695">
        <v>1075000</v>
      </c>
      <c r="AD695">
        <v>0</v>
      </c>
      <c r="AE695" s="16">
        <f t="shared" si="433"/>
        <v>115343400</v>
      </c>
      <c r="AF695" s="12">
        <f t="shared" si="438"/>
        <v>-3728893.1778494716</v>
      </c>
      <c r="AG695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13576106.822150538</v>
      </c>
      <c r="AH695">
        <f>IFERROR(AG695/(Z695+Table5[[#This Row],[Rider Penalty (Claim, Other Denda to Riders)]]),0)</f>
        <v>0.15723386873982884</v>
      </c>
      <c r="AI695" s="12">
        <f t="shared" si="439"/>
        <v>-18380000</v>
      </c>
      <c r="AJ695">
        <f t="shared" si="440"/>
        <v>-0.65819158460161142</v>
      </c>
    </row>
    <row r="696" spans="1:36">
      <c r="A696" s="238">
        <v>2026</v>
      </c>
      <c r="B696" t="s">
        <v>23</v>
      </c>
      <c r="C696" t="s">
        <v>172</v>
      </c>
      <c r="D696" t="s">
        <v>168</v>
      </c>
      <c r="E696" t="s">
        <v>28</v>
      </c>
      <c r="F696" t="s">
        <v>28</v>
      </c>
      <c r="G696" s="119">
        <v>112026</v>
      </c>
      <c r="H696" s="119" t="s">
        <v>159</v>
      </c>
      <c r="I696" s="119" t="s">
        <v>278</v>
      </c>
      <c r="J696" s="334" t="s">
        <v>342</v>
      </c>
      <c r="K696" s="16">
        <v>30</v>
      </c>
      <c r="L696" s="16">
        <v>5314</v>
      </c>
      <c r="M696" s="16">
        <v>47190000</v>
      </c>
      <c r="N696" s="16">
        <v>3843360</v>
      </c>
      <c r="O696" s="16">
        <v>5995000</v>
      </c>
      <c r="P696" s="16">
        <v>0</v>
      </c>
      <c r="Q696" s="16">
        <v>0</v>
      </c>
      <c r="R696" s="16">
        <v>0</v>
      </c>
      <c r="S696" s="16">
        <v>0</v>
      </c>
      <c r="T696" s="16">
        <f t="shared" si="436"/>
        <v>9838360</v>
      </c>
      <c r="U696" s="16">
        <v>900000</v>
      </c>
      <c r="V696" s="173">
        <v>7350000</v>
      </c>
      <c r="W696" s="1">
        <v>0</v>
      </c>
      <c r="X696" s="16">
        <v>286021.50537634408</v>
      </c>
      <c r="Y696" s="16">
        <f t="shared" si="437"/>
        <v>8536021.5053763445</v>
      </c>
      <c r="Z696" s="16">
        <f t="shared" si="441"/>
        <v>12269400</v>
      </c>
      <c r="AA696" s="16">
        <v>4400000</v>
      </c>
      <c r="AB696" s="16">
        <v>0</v>
      </c>
      <c r="AC696">
        <v>350000</v>
      </c>
      <c r="AD696">
        <v>0</v>
      </c>
      <c r="AE696">
        <f t="shared" si="433"/>
        <v>17019400</v>
      </c>
      <c r="AF696" s="12">
        <f t="shared" si="438"/>
        <v>-1354981.5053763464</v>
      </c>
      <c r="AG69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1245018.4946236559</v>
      </c>
      <c r="AH696">
        <f>IFERROR(AG696/(Z696+Table5[[#This Row],[Rider Penalty (Claim, Other Denda to Riders)]]),0)</f>
        <v>0.10147346199680962</v>
      </c>
      <c r="AI696" s="12">
        <f t="shared" si="439"/>
        <v>-2950000</v>
      </c>
      <c r="AJ696">
        <f t="shared" si="440"/>
        <v>-0.67045454545454541</v>
      </c>
    </row>
    <row r="697" spans="1:36">
      <c r="A697" s="180">
        <v>2026</v>
      </c>
      <c r="B697" s="179" t="s">
        <v>23</v>
      </c>
      <c r="C697" s="64" t="s">
        <v>23</v>
      </c>
      <c r="D697" t="s">
        <v>168</v>
      </c>
      <c r="E697" t="s">
        <v>28</v>
      </c>
      <c r="F697" t="s">
        <v>28</v>
      </c>
      <c r="G697" s="119">
        <v>122026</v>
      </c>
      <c r="H697" s="119" t="s">
        <v>159</v>
      </c>
      <c r="I697" s="119" t="s">
        <v>279</v>
      </c>
      <c r="J697" s="334" t="s">
        <v>418</v>
      </c>
      <c r="K697" s="16">
        <v>174</v>
      </c>
      <c r="L697" s="16">
        <v>47318</v>
      </c>
      <c r="M697" s="16">
        <v>420036000</v>
      </c>
      <c r="N697" s="16">
        <v>46087135</v>
      </c>
      <c r="O697" s="16">
        <v>38520000</v>
      </c>
      <c r="P697" s="16">
        <v>0</v>
      </c>
      <c r="Q697" s="16">
        <v>0</v>
      </c>
      <c r="R697" s="16">
        <v>0</v>
      </c>
      <c r="S697" s="16">
        <v>0</v>
      </c>
      <c r="T697" s="16">
        <f t="shared" si="436"/>
        <v>84607135</v>
      </c>
      <c r="U697" s="16">
        <v>2875000</v>
      </c>
      <c r="V697">
        <v>42630000</v>
      </c>
      <c r="W697" s="173">
        <v>0</v>
      </c>
      <c r="X697" s="16">
        <v>289348.17784946243</v>
      </c>
      <c r="Y697" s="16">
        <f t="shared" si="437"/>
        <v>45794348.177849464</v>
      </c>
      <c r="Z697" s="16">
        <f t="shared" si="441"/>
        <v>109209360</v>
      </c>
      <c r="AA697">
        <v>25575000</v>
      </c>
      <c r="AB697" s="16">
        <v>0</v>
      </c>
      <c r="AC697">
        <v>850000</v>
      </c>
      <c r="AD697">
        <v>0</v>
      </c>
      <c r="AE697">
        <f t="shared" si="433"/>
        <v>135634360</v>
      </c>
      <c r="AF697" s="12">
        <f t="shared" si="438"/>
        <v>5232876.8221505284</v>
      </c>
      <c r="AG69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21437876.822150536</v>
      </c>
      <c r="AH697">
        <f>IFERROR(AG697/(Z697+Table5[[#This Row],[Rider Penalty (Claim, Other Denda to Riders)]]),0)</f>
        <v>0.19630072753975059</v>
      </c>
      <c r="AI697" s="12">
        <f t="shared" si="439"/>
        <v>-17055000</v>
      </c>
      <c r="AJ697">
        <f t="shared" si="440"/>
        <v>-0.66686217008797655</v>
      </c>
    </row>
    <row r="698" spans="1:36">
      <c r="A698" s="238">
        <v>2026</v>
      </c>
      <c r="B698" t="s">
        <v>23</v>
      </c>
      <c r="C698" t="s">
        <v>172</v>
      </c>
      <c r="D698" t="s">
        <v>168</v>
      </c>
      <c r="E698" t="s">
        <v>28</v>
      </c>
      <c r="F698" t="s">
        <v>28</v>
      </c>
      <c r="G698" s="119">
        <v>122026</v>
      </c>
      <c r="H698" s="119" t="s">
        <v>159</v>
      </c>
      <c r="I698" s="119" t="s">
        <v>279</v>
      </c>
      <c r="J698" s="334" t="s">
        <v>418</v>
      </c>
      <c r="K698" s="16">
        <v>30</v>
      </c>
      <c r="L698" s="16">
        <v>6992</v>
      </c>
      <c r="M698" s="16">
        <v>62418000</v>
      </c>
      <c r="N698" s="16">
        <v>6263575</v>
      </c>
      <c r="O698" s="16">
        <v>6420000</v>
      </c>
      <c r="P698" s="16">
        <v>0</v>
      </c>
      <c r="Q698" s="16">
        <v>0</v>
      </c>
      <c r="R698" s="16">
        <v>0</v>
      </c>
      <c r="S698" s="16">
        <v>0</v>
      </c>
      <c r="T698" s="16">
        <f t="shared" si="436"/>
        <v>12683575</v>
      </c>
      <c r="U698" s="16">
        <v>750000</v>
      </c>
      <c r="V698">
        <v>7350000</v>
      </c>
      <c r="W698" s="173">
        <v>0</v>
      </c>
      <c r="X698" s="16">
        <v>286021.50537634408</v>
      </c>
      <c r="Y698" s="16">
        <f t="shared" si="437"/>
        <v>8386021.5053763445</v>
      </c>
      <c r="Z698" s="16">
        <f t="shared" si="441"/>
        <v>16228680</v>
      </c>
      <c r="AA698">
        <v>4450000</v>
      </c>
      <c r="AB698" s="16">
        <v>0</v>
      </c>
      <c r="AC698">
        <v>275000</v>
      </c>
      <c r="AD698">
        <v>0</v>
      </c>
      <c r="AE698">
        <f t="shared" si="433"/>
        <v>20953680</v>
      </c>
      <c r="AF698" s="12">
        <f t="shared" si="438"/>
        <v>-115916.50537634641</v>
      </c>
      <c r="AG69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2509083.4946236559</v>
      </c>
      <c r="AH698">
        <f>IFERROR(AG698/(Z698+Table5[[#This Row],[Rider Penalty (Claim, Other Denda to Riders)]]),0)</f>
        <v>0.15460798380543925</v>
      </c>
      <c r="AI698" s="12">
        <f t="shared" si="439"/>
        <v>-2900000</v>
      </c>
      <c r="AJ698">
        <f t="shared" si="440"/>
        <v>-0.651685393258427</v>
      </c>
    </row>
    <row r="699" spans="1:36">
      <c r="A699" s="180">
        <v>2026</v>
      </c>
      <c r="B699" s="119" t="s">
        <v>23</v>
      </c>
      <c r="C699" s="119" t="s">
        <v>174</v>
      </c>
      <c r="D699" s="119" t="s">
        <v>168</v>
      </c>
      <c r="E699" s="119" t="s">
        <v>24</v>
      </c>
      <c r="F699" s="119" t="s">
        <v>24</v>
      </c>
      <c r="G699" s="119">
        <v>122026</v>
      </c>
      <c r="H699" s="119" t="s">
        <v>159</v>
      </c>
      <c r="I699" s="119" t="s">
        <v>279</v>
      </c>
      <c r="J699" s="334" t="s">
        <v>418</v>
      </c>
      <c r="K699" s="119">
        <v>15</v>
      </c>
      <c r="L699" s="119">
        <v>1416</v>
      </c>
      <c r="M699">
        <v>13098000</v>
      </c>
      <c r="N699">
        <v>1138140</v>
      </c>
      <c r="O699">
        <v>1975000</v>
      </c>
      <c r="P699">
        <v>0</v>
      </c>
      <c r="Q699">
        <v>0</v>
      </c>
      <c r="R699">
        <v>0</v>
      </c>
      <c r="S699">
        <v>0</v>
      </c>
      <c r="T699">
        <f t="shared" ref="T699:T701" si="442">SUM(N699:R699)</f>
        <v>3113140</v>
      </c>
      <c r="U699">
        <v>200000</v>
      </c>
      <c r="V699" s="76">
        <f>53*35000</f>
        <v>1855000</v>
      </c>
      <c r="W699" s="76">
        <v>0</v>
      </c>
      <c r="X699">
        <v>0</v>
      </c>
      <c r="Y699">
        <f t="shared" ref="Y699:Y701" si="443">SUM(U699:X699)</f>
        <v>2055000</v>
      </c>
      <c r="Z699" s="12">
        <f t="shared" si="441"/>
        <v>3405480</v>
      </c>
      <c r="AA699">
        <f>(13*15000)+(40*25000)</f>
        <v>1195000</v>
      </c>
      <c r="AB699">
        <v>0</v>
      </c>
      <c r="AC699">
        <v>0</v>
      </c>
      <c r="AD699">
        <v>0</v>
      </c>
      <c r="AE699">
        <f t="shared" ref="AE699:AE701" si="444">SUM(Z699:AD699)</f>
        <v>4600480</v>
      </c>
      <c r="AF699" s="12">
        <f t="shared" ref="AF699:AF701" si="445">AE699-(T699+Y699)</f>
        <v>-567660</v>
      </c>
      <c r="AG69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92340</v>
      </c>
      <c r="AH699">
        <f>IFERROR(AG699/(Z699+Table5[[#This Row],[Rider Penalty (Claim, Other Denda to Riders)]]),0)</f>
        <v>2.711512033545932E-2</v>
      </c>
      <c r="AI699" s="12">
        <f t="shared" ref="AI699:AI701" si="446">AA699+AB699-V699</f>
        <v>-660000</v>
      </c>
      <c r="AJ699">
        <f t="shared" ref="AJ699:AJ701" si="447">IFERROR(AI699/(AA699+AB699),0)</f>
        <v>-0.55230125523012552</v>
      </c>
    </row>
    <row r="700" spans="1:36">
      <c r="A700" s="180">
        <v>2026</v>
      </c>
      <c r="B700" s="64" t="s">
        <v>23</v>
      </c>
      <c r="C700" s="64" t="s">
        <v>173</v>
      </c>
      <c r="D700" s="64" t="s">
        <v>168</v>
      </c>
      <c r="E700" s="64" t="s">
        <v>24</v>
      </c>
      <c r="F700" s="64" t="s">
        <v>282</v>
      </c>
      <c r="G700" s="119">
        <v>122026</v>
      </c>
      <c r="H700" s="119" t="s">
        <v>159</v>
      </c>
      <c r="I700" s="119" t="s">
        <v>279</v>
      </c>
      <c r="J700" s="334" t="s">
        <v>418</v>
      </c>
      <c r="K700" s="64">
        <v>5</v>
      </c>
      <c r="L700" s="64">
        <v>454</v>
      </c>
      <c r="M700">
        <v>4102000</v>
      </c>
      <c r="N700">
        <v>327400</v>
      </c>
      <c r="O700">
        <v>600000</v>
      </c>
      <c r="P700">
        <v>0</v>
      </c>
      <c r="Q700">
        <v>0</v>
      </c>
      <c r="R700">
        <v>0</v>
      </c>
      <c r="S700">
        <v>0</v>
      </c>
      <c r="T700">
        <f t="shared" si="442"/>
        <v>927400</v>
      </c>
      <c r="U700">
        <v>0</v>
      </c>
      <c r="V700" s="76">
        <f>19*35000</f>
        <v>665000</v>
      </c>
      <c r="W700" s="76">
        <v>0</v>
      </c>
      <c r="X700">
        <v>0</v>
      </c>
      <c r="Y700">
        <f t="shared" si="443"/>
        <v>665000</v>
      </c>
      <c r="Z700" s="12">
        <f t="shared" si="441"/>
        <v>1066520</v>
      </c>
      <c r="AA700">
        <f>23*25000</f>
        <v>575000</v>
      </c>
      <c r="AB700">
        <v>0</v>
      </c>
      <c r="AC700">
        <v>0</v>
      </c>
      <c r="AD700">
        <v>0</v>
      </c>
      <c r="AE700">
        <f t="shared" si="444"/>
        <v>1641520</v>
      </c>
      <c r="AF700" s="12">
        <f t="shared" si="445"/>
        <v>49120</v>
      </c>
      <c r="AG70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139120</v>
      </c>
      <c r="AH700">
        <f>IFERROR(AG700/(Z700+Table5[[#This Row],[Rider Penalty (Claim, Other Denda to Riders)]]),0)</f>
        <v>0.13044293590368675</v>
      </c>
      <c r="AI700" s="12">
        <f t="shared" si="446"/>
        <v>-90000</v>
      </c>
      <c r="AJ700">
        <f t="shared" si="447"/>
        <v>-0.15652173913043479</v>
      </c>
    </row>
    <row r="701" spans="1:36">
      <c r="A701" s="238">
        <v>2026</v>
      </c>
      <c r="B701" s="191" t="s">
        <v>23</v>
      </c>
      <c r="C701" s="191" t="s">
        <v>205</v>
      </c>
      <c r="D701" s="191" t="s">
        <v>168</v>
      </c>
      <c r="E701" s="191" t="s">
        <v>24</v>
      </c>
      <c r="F701" s="191" t="s">
        <v>24</v>
      </c>
      <c r="G701" s="119">
        <v>122026</v>
      </c>
      <c r="H701" s="119" t="s">
        <v>159</v>
      </c>
      <c r="I701" s="119" t="s">
        <v>279</v>
      </c>
      <c r="J701" s="334" t="s">
        <v>418</v>
      </c>
      <c r="K701" s="191">
        <v>11</v>
      </c>
      <c r="L701" s="191">
        <v>1567</v>
      </c>
      <c r="M701">
        <v>4244120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f t="shared" si="442"/>
        <v>0</v>
      </c>
      <c r="U701">
        <v>200000</v>
      </c>
      <c r="V701" s="76">
        <v>0</v>
      </c>
      <c r="W701" s="76">
        <v>0</v>
      </c>
      <c r="X701">
        <v>0</v>
      </c>
      <c r="Y701">
        <f t="shared" si="443"/>
        <v>200000</v>
      </c>
      <c r="Z701" s="12">
        <f>7%*M701</f>
        <v>297088.40000000002</v>
      </c>
      <c r="AA701">
        <v>0</v>
      </c>
      <c r="AB701">
        <v>0</v>
      </c>
      <c r="AC701">
        <v>0</v>
      </c>
      <c r="AD701">
        <v>0</v>
      </c>
      <c r="AE701">
        <f t="shared" si="444"/>
        <v>297088.40000000002</v>
      </c>
      <c r="AF701" s="12">
        <f t="shared" si="445"/>
        <v>97088.400000000023</v>
      </c>
      <c r="AG70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97088.400000000023</v>
      </c>
      <c r="AH701">
        <f>IFERROR(AG701/(Z701+Table5[[#This Row],[Rider Penalty (Claim, Other Denda to Riders)]]),0)</f>
        <v>0.32679970002194636</v>
      </c>
      <c r="AI701" s="12">
        <f t="shared" si="446"/>
        <v>0</v>
      </c>
      <c r="AJ701">
        <f t="shared" si="447"/>
        <v>0</v>
      </c>
    </row>
    <row r="702" spans="1:36">
      <c r="A702" s="180">
        <v>2026</v>
      </c>
      <c r="B702" s="179" t="s">
        <v>23</v>
      </c>
      <c r="C702" s="64" t="s">
        <v>23</v>
      </c>
      <c r="D702" t="s">
        <v>168</v>
      </c>
      <c r="E702" t="s">
        <v>28</v>
      </c>
      <c r="F702" t="s">
        <v>28</v>
      </c>
      <c r="G702" s="119">
        <v>132026</v>
      </c>
      <c r="H702" s="119" t="s">
        <v>159</v>
      </c>
      <c r="I702" s="119" t="s">
        <v>280</v>
      </c>
      <c r="J702" s="334" t="s">
        <v>348</v>
      </c>
      <c r="K702" s="16">
        <v>177</v>
      </c>
      <c r="L702" s="16">
        <v>59517</v>
      </c>
      <c r="M702" s="16">
        <v>526664000</v>
      </c>
      <c r="N702" s="16">
        <v>63719225</v>
      </c>
      <c r="O702" s="16">
        <v>45490000</v>
      </c>
      <c r="P702">
        <v>0</v>
      </c>
      <c r="Q702">
        <v>200000</v>
      </c>
      <c r="R702" s="16">
        <v>200000</v>
      </c>
      <c r="S702">
        <v>0</v>
      </c>
      <c r="T702" s="16">
        <f>SUM(N702:R702)</f>
        <v>109609225</v>
      </c>
      <c r="U702" s="16">
        <v>3450000</v>
      </c>
      <c r="V702" s="173">
        <v>43365000</v>
      </c>
      <c r="W702" s="173">
        <v>0</v>
      </c>
      <c r="X702" s="16">
        <v>289348.17784946243</v>
      </c>
      <c r="Y702" s="16">
        <f>SUM(U702:X702)</f>
        <v>47104348.177849464</v>
      </c>
      <c r="Z702" s="16">
        <f>26%*M702</f>
        <v>136932640</v>
      </c>
      <c r="AA702" s="16">
        <v>25850000</v>
      </c>
      <c r="AB702">
        <v>0</v>
      </c>
      <c r="AC702" s="16">
        <v>1225000</v>
      </c>
      <c r="AD702">
        <v>0</v>
      </c>
      <c r="AE702" s="16">
        <f t="shared" ref="AE702:AE703" si="448">SUM(Z702:AD702)</f>
        <v>164007640</v>
      </c>
      <c r="AF702" s="16">
        <f t="shared" ref="AF702:AF703" si="449">AE702-(T702+Y702)</f>
        <v>7294066.8221505284</v>
      </c>
      <c r="AG702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23584066.822150536</v>
      </c>
      <c r="AH702" s="16">
        <f>IFERROR(AG702/(Z702+Table5[[#This Row],[Rider Penalty (Claim, Other Denda to Riders)]]),0)</f>
        <v>0.17223115556780719</v>
      </c>
      <c r="AI702" s="16">
        <f t="shared" ref="AI702:AI703" si="450">AA702+AB702-V702</f>
        <v>-17515000</v>
      </c>
      <c r="AJ702" s="16">
        <f t="shared" ref="AJ702:AJ703" si="451">IFERROR(AI702/(AA702+AB702),0)</f>
        <v>-0.6775628626692457</v>
      </c>
    </row>
    <row r="703" spans="1:36">
      <c r="A703" s="238">
        <v>2026</v>
      </c>
      <c r="B703" t="s">
        <v>23</v>
      </c>
      <c r="C703" t="s">
        <v>172</v>
      </c>
      <c r="D703" t="s">
        <v>168</v>
      </c>
      <c r="E703" t="s">
        <v>28</v>
      </c>
      <c r="F703" t="s">
        <v>28</v>
      </c>
      <c r="G703" s="119">
        <v>132026</v>
      </c>
      <c r="H703" s="119" t="s">
        <v>159</v>
      </c>
      <c r="I703" s="119" t="s">
        <v>280</v>
      </c>
      <c r="J703" s="334" t="s">
        <v>348</v>
      </c>
      <c r="K703" s="16">
        <v>31</v>
      </c>
      <c r="L703" s="16">
        <v>10208</v>
      </c>
      <c r="M703" s="16">
        <v>90598000</v>
      </c>
      <c r="N703" s="16">
        <v>10902695</v>
      </c>
      <c r="O703" s="16">
        <v>8510000</v>
      </c>
      <c r="P703">
        <v>0</v>
      </c>
      <c r="R703" s="16">
        <v>200000</v>
      </c>
      <c r="S703">
        <v>0</v>
      </c>
      <c r="T703" s="16">
        <f t="shared" ref="T703" si="452">SUM(N703:R703)</f>
        <v>19612695</v>
      </c>
      <c r="U703" s="16">
        <v>900000</v>
      </c>
      <c r="V703" s="173">
        <v>7595000</v>
      </c>
      <c r="W703" s="173">
        <v>0</v>
      </c>
      <c r="X703" s="16">
        <v>286021.50537634408</v>
      </c>
      <c r="Y703" s="16">
        <f t="shared" ref="Y703" si="453">SUM(U703:X703)</f>
        <v>8781021.5053763445</v>
      </c>
      <c r="Z703" s="16">
        <f>26%*M703</f>
        <v>23555480</v>
      </c>
      <c r="AA703" s="16">
        <v>4500000</v>
      </c>
      <c r="AB703">
        <v>0</v>
      </c>
      <c r="AC703" s="16">
        <v>375000</v>
      </c>
      <c r="AD703">
        <v>0</v>
      </c>
      <c r="AE703" s="16">
        <f t="shared" si="448"/>
        <v>28430480</v>
      </c>
      <c r="AF703" s="16">
        <f t="shared" si="449"/>
        <v>36763.494623653591</v>
      </c>
      <c r="AG703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2756763.4946236559</v>
      </c>
      <c r="AH703" s="16">
        <f>IFERROR(AG703/(Z703+Table5[[#This Row],[Rider Penalty (Claim, Other Denda to Riders)]]),0)</f>
        <v>0.11703278789579563</v>
      </c>
      <c r="AI703" s="16">
        <f t="shared" si="450"/>
        <v>-3095000</v>
      </c>
      <c r="AJ703" s="16">
        <f t="shared" si="451"/>
        <v>-0.68777777777777782</v>
      </c>
    </row>
    <row r="704" spans="1:36">
      <c r="A704" s="180">
        <v>2026</v>
      </c>
      <c r="B704" s="119" t="s">
        <v>23</v>
      </c>
      <c r="C704" s="119" t="s">
        <v>174</v>
      </c>
      <c r="D704" s="119" t="s">
        <v>168</v>
      </c>
      <c r="E704" s="119" t="s">
        <v>24</v>
      </c>
      <c r="F704" s="119" t="s">
        <v>24</v>
      </c>
      <c r="G704" s="119">
        <v>132026</v>
      </c>
      <c r="H704" s="119" t="s">
        <v>159</v>
      </c>
      <c r="I704" s="119" t="s">
        <v>280</v>
      </c>
      <c r="J704" s="334" t="s">
        <v>348</v>
      </c>
      <c r="K704" s="119">
        <v>13</v>
      </c>
      <c r="L704" s="119">
        <v>1762</v>
      </c>
      <c r="M704" s="16">
        <v>16356000</v>
      </c>
      <c r="N704" s="16">
        <v>1649700</v>
      </c>
      <c r="O704" s="16">
        <v>1775000</v>
      </c>
      <c r="P704" s="16">
        <v>0</v>
      </c>
      <c r="Q704" s="16">
        <v>0</v>
      </c>
      <c r="R704" s="16">
        <v>0</v>
      </c>
      <c r="S704" s="16">
        <v>0</v>
      </c>
      <c r="T704" s="16">
        <f t="shared" ref="T704:T706" si="454">SUM(N704:R704)</f>
        <v>3424700</v>
      </c>
      <c r="U704" s="16">
        <v>350000</v>
      </c>
      <c r="V704" s="173">
        <f>47*35000</f>
        <v>1645000</v>
      </c>
      <c r="W704" s="173">
        <v>0</v>
      </c>
      <c r="X704" s="16">
        <v>0</v>
      </c>
      <c r="Y704" s="16">
        <f t="shared" ref="Y704:Y706" si="455">SUM(U704:X704)</f>
        <v>1995000</v>
      </c>
      <c r="Z704" s="16">
        <f>26%*M704</f>
        <v>4252560</v>
      </c>
      <c r="AA704" s="16">
        <f>(4*15000)+(35*25000)</f>
        <v>935000</v>
      </c>
      <c r="AB704" s="16">
        <v>0</v>
      </c>
      <c r="AC704" s="16">
        <v>0</v>
      </c>
      <c r="AD704" s="16">
        <v>0</v>
      </c>
      <c r="AE704" s="16">
        <f t="shared" ref="AE704:AE706" si="456">SUM(Z704:AD704)</f>
        <v>5187560</v>
      </c>
      <c r="AF704" s="16">
        <f t="shared" ref="AF704:AF706" si="457">AE704-(T704+Y704)</f>
        <v>-232140</v>
      </c>
      <c r="AG704" s="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477860</v>
      </c>
      <c r="AH704" s="16">
        <f>IFERROR(AG704/(Z704+Table5[[#This Row],[Rider Penalty (Claim, Other Denda to Riders)]]),0)</f>
        <v>0.11236996068250654</v>
      </c>
      <c r="AI704" s="16">
        <f t="shared" ref="AI704:AI706" si="458">AA704+AB704-V704</f>
        <v>-710000</v>
      </c>
      <c r="AJ704" s="16">
        <f t="shared" ref="AJ704:AJ706" si="459">IFERROR(AI704/(AA704+AB704),0)</f>
        <v>-0.75935828877005351</v>
      </c>
    </row>
    <row r="705" spans="1:37">
      <c r="A705" s="180">
        <v>2026</v>
      </c>
      <c r="B705" s="64" t="s">
        <v>23</v>
      </c>
      <c r="C705" s="64" t="s">
        <v>173</v>
      </c>
      <c r="D705" s="64" t="s">
        <v>168</v>
      </c>
      <c r="E705" s="64" t="s">
        <v>24</v>
      </c>
      <c r="F705" s="64" t="s">
        <v>282</v>
      </c>
      <c r="G705" s="119">
        <v>132026</v>
      </c>
      <c r="H705" s="119" t="s">
        <v>159</v>
      </c>
      <c r="I705" s="119" t="s">
        <v>280</v>
      </c>
      <c r="J705" s="334" t="s">
        <v>348</v>
      </c>
      <c r="K705" s="64">
        <v>4</v>
      </c>
      <c r="L705" s="64">
        <v>812</v>
      </c>
      <c r="M705">
        <v>7414000</v>
      </c>
      <c r="N705">
        <v>777020</v>
      </c>
      <c r="O705">
        <v>775000</v>
      </c>
      <c r="P705">
        <v>0</v>
      </c>
      <c r="Q705">
        <v>0</v>
      </c>
      <c r="R705">
        <v>0</v>
      </c>
      <c r="S705">
        <v>0</v>
      </c>
      <c r="T705">
        <f t="shared" si="454"/>
        <v>1552020</v>
      </c>
      <c r="U705">
        <v>0</v>
      </c>
      <c r="V705" s="76">
        <f>20*35000</f>
        <v>700000</v>
      </c>
      <c r="W705" s="76">
        <v>0</v>
      </c>
      <c r="X705">
        <v>0</v>
      </c>
      <c r="Y705">
        <f t="shared" si="455"/>
        <v>700000</v>
      </c>
      <c r="Z705" s="12">
        <f>26%*M705</f>
        <v>1927640</v>
      </c>
      <c r="AA705">
        <f>21*25000</f>
        <v>525000</v>
      </c>
      <c r="AB705">
        <v>0</v>
      </c>
      <c r="AC705">
        <v>0</v>
      </c>
      <c r="AD705">
        <v>0</v>
      </c>
      <c r="AE705">
        <f t="shared" si="456"/>
        <v>2452640</v>
      </c>
      <c r="AF705" s="12">
        <f t="shared" si="457"/>
        <v>200620</v>
      </c>
      <c r="AG70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375620</v>
      </c>
      <c r="AH705">
        <f>IFERROR(AG705/(Z705+Table5[[#This Row],[Rider Penalty (Claim, Other Denda to Riders)]]),0)</f>
        <v>0.19486003610632691</v>
      </c>
      <c r="AI705" s="12">
        <f t="shared" si="458"/>
        <v>-175000</v>
      </c>
      <c r="AJ705">
        <f t="shared" si="459"/>
        <v>-0.33333333333333331</v>
      </c>
    </row>
    <row r="706" spans="1:37">
      <c r="A706" s="238">
        <v>2026</v>
      </c>
      <c r="B706" s="191" t="s">
        <v>23</v>
      </c>
      <c r="C706" s="191" t="s">
        <v>205</v>
      </c>
      <c r="D706" s="191" t="s">
        <v>168</v>
      </c>
      <c r="E706" s="191" t="s">
        <v>24</v>
      </c>
      <c r="F706" s="191" t="s">
        <v>24</v>
      </c>
      <c r="G706" s="119">
        <v>132026</v>
      </c>
      <c r="H706" s="119" t="s">
        <v>159</v>
      </c>
      <c r="I706" s="119" t="s">
        <v>280</v>
      </c>
      <c r="J706" s="334" t="s">
        <v>348</v>
      </c>
      <c r="K706" s="191">
        <v>6</v>
      </c>
      <c r="L706" s="191">
        <v>1142</v>
      </c>
      <c r="M706" s="16">
        <v>2228360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f t="shared" si="454"/>
        <v>0</v>
      </c>
      <c r="U706">
        <v>350000</v>
      </c>
      <c r="V706" s="76">
        <v>0</v>
      </c>
      <c r="W706" s="76">
        <v>0</v>
      </c>
      <c r="X706">
        <v>0</v>
      </c>
      <c r="Y706">
        <f t="shared" si="455"/>
        <v>350000</v>
      </c>
      <c r="Z706" s="12">
        <f>7%*M706</f>
        <v>155985.20000000001</v>
      </c>
      <c r="AA706">
        <v>0</v>
      </c>
      <c r="AB706">
        <v>0</v>
      </c>
      <c r="AC706">
        <v>0</v>
      </c>
      <c r="AD706">
        <v>0</v>
      </c>
      <c r="AE706">
        <f t="shared" si="456"/>
        <v>155985.20000000001</v>
      </c>
      <c r="AF706" s="12">
        <f t="shared" si="457"/>
        <v>-194014.8</v>
      </c>
      <c r="AG70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-194014.8</v>
      </c>
      <c r="AH706">
        <f>IFERROR(AG706/(Z706+Table5[[#This Row],[Rider Penalty (Claim, Other Denda to Riders)]]),0)</f>
        <v>-1.2438026171713725</v>
      </c>
      <c r="AI706" s="12">
        <f t="shared" si="458"/>
        <v>0</v>
      </c>
      <c r="AJ706">
        <f t="shared" si="459"/>
        <v>0</v>
      </c>
    </row>
    <row r="707" spans="1:37">
      <c r="A707" s="180">
        <v>2026</v>
      </c>
      <c r="B707" s="119" t="s">
        <v>23</v>
      </c>
      <c r="C707" s="119" t="s">
        <v>174</v>
      </c>
      <c r="D707" s="119" t="s">
        <v>168</v>
      </c>
      <c r="E707" s="119" t="s">
        <v>24</v>
      </c>
      <c r="F707" s="119" t="s">
        <v>24</v>
      </c>
      <c r="G707" s="119">
        <v>142026</v>
      </c>
      <c r="H707" s="119" t="s">
        <v>159</v>
      </c>
      <c r="I707" s="119" t="s">
        <v>275</v>
      </c>
      <c r="J707" s="334" t="s">
        <v>349</v>
      </c>
      <c r="K707" s="119">
        <v>11</v>
      </c>
      <c r="L707" s="119">
        <v>778</v>
      </c>
      <c r="M707">
        <v>7410000</v>
      </c>
      <c r="N707">
        <v>733980</v>
      </c>
      <c r="O707">
        <v>600000</v>
      </c>
      <c r="P707">
        <v>0</v>
      </c>
      <c r="Q707">
        <v>0</v>
      </c>
      <c r="R707">
        <v>0</v>
      </c>
      <c r="S707">
        <v>0</v>
      </c>
      <c r="T707">
        <f t="shared" ref="T707:T709" si="460">SUM(N707:R707)</f>
        <v>1333980</v>
      </c>
      <c r="U707">
        <v>100000</v>
      </c>
      <c r="V707" s="76">
        <f>16*35000</f>
        <v>560000</v>
      </c>
      <c r="W707" s="76">
        <v>0</v>
      </c>
      <c r="X707">
        <v>0</v>
      </c>
      <c r="Y707">
        <f t="shared" ref="Y707:Y709" si="461">SUM(U707:X707)</f>
        <v>660000</v>
      </c>
      <c r="Z707" s="12">
        <f>26%*M707</f>
        <v>1926600</v>
      </c>
      <c r="AA707">
        <f>15000+(15*25000)</f>
        <v>390000</v>
      </c>
      <c r="AB707">
        <v>0</v>
      </c>
      <c r="AC707">
        <v>0</v>
      </c>
      <c r="AD707">
        <v>0</v>
      </c>
      <c r="AE707">
        <f t="shared" ref="AE707:AE709" si="462">SUM(Z707:AD707)</f>
        <v>2316600</v>
      </c>
      <c r="AF707" s="12">
        <f t="shared" ref="AF707:AF709" si="463">AE707-(T707+Y707)</f>
        <v>322620</v>
      </c>
      <c r="AG70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492620</v>
      </c>
      <c r="AH707">
        <f>IFERROR(AG707/(Z707+Table5[[#This Row],[Rider Penalty (Claim, Other Denda to Riders)]]),0)</f>
        <v>0.25569396864943422</v>
      </c>
      <c r="AI707" s="12">
        <f t="shared" ref="AI707:AI709" si="464">AA707+AB707-V707</f>
        <v>-170000</v>
      </c>
      <c r="AJ707">
        <f t="shared" ref="AJ707:AJ709" si="465">IFERROR(AI707/(AA707+AB707),0)</f>
        <v>-0.4358974358974359</v>
      </c>
    </row>
    <row r="708" spans="1:37">
      <c r="A708" s="180">
        <v>2026</v>
      </c>
      <c r="B708" s="119" t="s">
        <v>23</v>
      </c>
      <c r="C708" s="119" t="s">
        <v>173</v>
      </c>
      <c r="D708" s="119" t="s">
        <v>168</v>
      </c>
      <c r="E708" s="119" t="s">
        <v>24</v>
      </c>
      <c r="F708" s="119" t="s">
        <v>282</v>
      </c>
      <c r="G708" s="119">
        <v>142026</v>
      </c>
      <c r="H708" s="119" t="s">
        <v>159</v>
      </c>
      <c r="I708" s="119" t="s">
        <v>275</v>
      </c>
      <c r="J708" s="334" t="s">
        <v>349</v>
      </c>
      <c r="K708" s="119">
        <v>4</v>
      </c>
      <c r="L708" s="119">
        <v>257</v>
      </c>
      <c r="M708">
        <v>2272000</v>
      </c>
      <c r="N708">
        <v>273840</v>
      </c>
      <c r="O708">
        <v>225000</v>
      </c>
      <c r="P708">
        <v>0</v>
      </c>
      <c r="Q708">
        <v>0</v>
      </c>
      <c r="R708">
        <v>0</v>
      </c>
      <c r="S708">
        <v>0</v>
      </c>
      <c r="T708">
        <f t="shared" si="460"/>
        <v>498840</v>
      </c>
      <c r="U708">
        <v>0</v>
      </c>
      <c r="V708" s="76">
        <f>5*35000</f>
        <v>175000</v>
      </c>
      <c r="W708" s="76">
        <v>0</v>
      </c>
      <c r="X708">
        <v>0</v>
      </c>
      <c r="Y708">
        <f t="shared" si="461"/>
        <v>175000</v>
      </c>
      <c r="Z708" s="12">
        <f>26%*M708</f>
        <v>590720</v>
      </c>
      <c r="AA708">
        <f>15000+(4*25000)</f>
        <v>115000</v>
      </c>
      <c r="AB708">
        <v>0</v>
      </c>
      <c r="AC708">
        <v>0</v>
      </c>
      <c r="AD708">
        <v>0</v>
      </c>
      <c r="AE708">
        <f t="shared" si="462"/>
        <v>705720</v>
      </c>
      <c r="AF708" s="12">
        <f t="shared" si="463"/>
        <v>31880</v>
      </c>
      <c r="AG70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91880</v>
      </c>
      <c r="AH708">
        <f>IFERROR(AG708/(Z708+Table5[[#This Row],[Rider Penalty (Claim, Other Denda to Riders)]]),0)</f>
        <v>0.15553900325027087</v>
      </c>
      <c r="AI708" s="12">
        <f t="shared" si="464"/>
        <v>-60000</v>
      </c>
      <c r="AJ708">
        <f t="shared" si="465"/>
        <v>-0.52173913043478259</v>
      </c>
    </row>
    <row r="709" spans="1:37">
      <c r="A709" s="238">
        <v>2026</v>
      </c>
      <c r="B709" s="191" t="s">
        <v>23</v>
      </c>
      <c r="C709" s="191" t="s">
        <v>205</v>
      </c>
      <c r="D709" s="191" t="s">
        <v>168</v>
      </c>
      <c r="E709" s="191" t="s">
        <v>24</v>
      </c>
      <c r="F709" s="191" t="s">
        <v>24</v>
      </c>
      <c r="G709" s="119">
        <v>142026</v>
      </c>
      <c r="H709" s="191" t="s">
        <v>159</v>
      </c>
      <c r="I709" s="119" t="s">
        <v>275</v>
      </c>
      <c r="J709" s="334" t="s">
        <v>349</v>
      </c>
      <c r="K709" s="191">
        <v>8</v>
      </c>
      <c r="L709" s="191">
        <v>530</v>
      </c>
      <c r="M709">
        <v>975020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f t="shared" si="460"/>
        <v>0</v>
      </c>
      <c r="U709">
        <v>100000</v>
      </c>
      <c r="V709" s="76">
        <v>0</v>
      </c>
      <c r="W709" s="76">
        <v>0</v>
      </c>
      <c r="X709">
        <v>0</v>
      </c>
      <c r="Y709">
        <f t="shared" si="461"/>
        <v>100000</v>
      </c>
      <c r="Z709" s="12">
        <f>7%*M709</f>
        <v>68251.400000000009</v>
      </c>
      <c r="AA709">
        <v>0</v>
      </c>
      <c r="AB709">
        <v>0</v>
      </c>
      <c r="AC709">
        <v>0</v>
      </c>
      <c r="AD709">
        <v>0</v>
      </c>
      <c r="AE709">
        <f t="shared" si="462"/>
        <v>68251.400000000009</v>
      </c>
      <c r="AF709" s="12">
        <f t="shared" si="463"/>
        <v>-31748.599999999991</v>
      </c>
      <c r="AG70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-31748.599999999991</v>
      </c>
      <c r="AH709">
        <f>IFERROR(AG709/(Z709+Table5[[#This Row],[Rider Penalty (Claim, Other Denda to Riders)]]),0)</f>
        <v>-0.4651714104033029</v>
      </c>
      <c r="AI709" s="12">
        <f t="shared" si="464"/>
        <v>0</v>
      </c>
      <c r="AJ709">
        <f t="shared" si="465"/>
        <v>0</v>
      </c>
    </row>
    <row r="710" spans="1:37">
      <c r="A710" s="180">
        <v>2026</v>
      </c>
      <c r="B710" s="119" t="s">
        <v>23</v>
      </c>
      <c r="C710" s="119" t="s">
        <v>174</v>
      </c>
      <c r="D710" s="119" t="s">
        <v>168</v>
      </c>
      <c r="E710" s="119" t="s">
        <v>24</v>
      </c>
      <c r="F710" s="119" t="s">
        <v>24</v>
      </c>
      <c r="G710" s="119">
        <v>142026</v>
      </c>
      <c r="H710" s="119" t="s">
        <v>160</v>
      </c>
      <c r="I710" s="119" t="s">
        <v>275</v>
      </c>
      <c r="J710" s="334" t="s">
        <v>192</v>
      </c>
      <c r="K710" s="119">
        <v>11</v>
      </c>
      <c r="L710" s="119">
        <v>1472</v>
      </c>
      <c r="M710">
        <v>13518000</v>
      </c>
      <c r="N710">
        <v>1539140</v>
      </c>
      <c r="O710">
        <v>1525000</v>
      </c>
      <c r="P710">
        <v>0</v>
      </c>
      <c r="Q710">
        <v>0</v>
      </c>
      <c r="R710">
        <v>0</v>
      </c>
      <c r="S710">
        <v>0</v>
      </c>
      <c r="T710">
        <f t="shared" ref="T710:T712" si="466">SUM(N710:R710)</f>
        <v>3064140</v>
      </c>
      <c r="U710">
        <v>150000</v>
      </c>
      <c r="V710" s="76">
        <f>37*35000</f>
        <v>1295000</v>
      </c>
      <c r="W710" s="76">
        <v>0</v>
      </c>
      <c r="X710">
        <v>0</v>
      </c>
      <c r="Y710">
        <f t="shared" ref="Y710:Y712" si="467">SUM(U710:X710)</f>
        <v>1445000</v>
      </c>
      <c r="Z710" s="12">
        <f>26%*M710</f>
        <v>3514680</v>
      </c>
      <c r="AA710">
        <f>(6*15000)+(31*25000)</f>
        <v>865000</v>
      </c>
      <c r="AB710">
        <v>0</v>
      </c>
      <c r="AC710">
        <v>0</v>
      </c>
      <c r="AD710">
        <v>0</v>
      </c>
      <c r="AE710">
        <f t="shared" ref="AE710:AE712" si="468">SUM(Z710:AD710)</f>
        <v>4379680</v>
      </c>
      <c r="AF710" s="12">
        <f t="shared" ref="AF710:AF712" si="469">AE710-(T710+Y710)</f>
        <v>-129460</v>
      </c>
      <c r="AG71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300540</v>
      </c>
      <c r="AH710">
        <f>IFERROR(AG710/(Z710+Table5[[#This Row],[Rider Penalty (Claim, Other Denda to Riders)]]),0)</f>
        <v>8.5509918399399087E-2</v>
      </c>
      <c r="AI710" s="12">
        <f t="shared" ref="AI710:AI712" si="470">AA710+AB710-V710</f>
        <v>-430000</v>
      </c>
      <c r="AJ710">
        <f t="shared" ref="AJ710:AJ712" si="471">IFERROR(AI710/(AA710+AB710),0)</f>
        <v>-0.49710982658959535</v>
      </c>
    </row>
    <row r="711" spans="1:37">
      <c r="A711" s="180">
        <v>2026</v>
      </c>
      <c r="B711" s="64" t="s">
        <v>23</v>
      </c>
      <c r="C711" s="64" t="s">
        <v>173</v>
      </c>
      <c r="D711" s="64" t="s">
        <v>168</v>
      </c>
      <c r="E711" s="64" t="s">
        <v>24</v>
      </c>
      <c r="F711" s="64" t="s">
        <v>282</v>
      </c>
      <c r="G711" s="119">
        <v>142026</v>
      </c>
      <c r="H711" s="119" t="s">
        <v>160</v>
      </c>
      <c r="I711" s="119" t="s">
        <v>275</v>
      </c>
      <c r="J711" s="334" t="s">
        <v>192</v>
      </c>
      <c r="K711" s="64">
        <v>5</v>
      </c>
      <c r="L711" s="64">
        <v>803</v>
      </c>
      <c r="M711">
        <v>7158000</v>
      </c>
      <c r="N711">
        <v>742300</v>
      </c>
      <c r="O711">
        <v>900000</v>
      </c>
      <c r="P711">
        <v>0</v>
      </c>
      <c r="Q711">
        <v>0</v>
      </c>
      <c r="R711">
        <v>0</v>
      </c>
      <c r="S711">
        <v>0</v>
      </c>
      <c r="T711">
        <f t="shared" si="466"/>
        <v>1642300</v>
      </c>
      <c r="U711">
        <v>0</v>
      </c>
      <c r="V711" s="76">
        <f>21*35000</f>
        <v>735000</v>
      </c>
      <c r="W711" s="76">
        <v>0</v>
      </c>
      <c r="X711">
        <v>0</v>
      </c>
      <c r="Y711">
        <f t="shared" si="467"/>
        <v>735000</v>
      </c>
      <c r="Z711" s="12">
        <f>26%*M711</f>
        <v>1861080</v>
      </c>
      <c r="AA711">
        <f>15000+(20*25000)</f>
        <v>515000</v>
      </c>
      <c r="AB711">
        <v>0</v>
      </c>
      <c r="AC711">
        <v>0</v>
      </c>
      <c r="AD711">
        <v>0</v>
      </c>
      <c r="AE711">
        <f t="shared" si="468"/>
        <v>2376080</v>
      </c>
      <c r="AF711" s="12">
        <f t="shared" si="469"/>
        <v>-1220</v>
      </c>
      <c r="AG71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218780</v>
      </c>
      <c r="AH711">
        <f>IFERROR(AG711/(Z711+Table5[[#This Row],[Rider Penalty (Claim, Other Denda to Riders)]]),0)</f>
        <v>0.11755539794098051</v>
      </c>
      <c r="AI711" s="12">
        <f t="shared" si="470"/>
        <v>-220000</v>
      </c>
      <c r="AJ711">
        <f t="shared" si="471"/>
        <v>-0.42718446601941745</v>
      </c>
    </row>
    <row r="712" spans="1:37">
      <c r="A712" s="238">
        <v>2026</v>
      </c>
      <c r="B712" s="191" t="s">
        <v>23</v>
      </c>
      <c r="C712" s="191" t="s">
        <v>205</v>
      </c>
      <c r="D712" s="191" t="s">
        <v>168</v>
      </c>
      <c r="E712" s="191" t="s">
        <v>24</v>
      </c>
      <c r="F712" s="191" t="s">
        <v>24</v>
      </c>
      <c r="G712" s="119">
        <v>142026</v>
      </c>
      <c r="H712" s="119" t="s">
        <v>160</v>
      </c>
      <c r="I712" s="119" t="s">
        <v>275</v>
      </c>
      <c r="J712" s="334" t="s">
        <v>192</v>
      </c>
      <c r="K712" s="191">
        <v>9</v>
      </c>
      <c r="L712" s="191">
        <v>1450</v>
      </c>
      <c r="M712">
        <v>2569420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f t="shared" si="466"/>
        <v>0</v>
      </c>
      <c r="U712">
        <v>150000</v>
      </c>
      <c r="V712" s="76">
        <v>0</v>
      </c>
      <c r="W712" s="76">
        <v>0</v>
      </c>
      <c r="X712">
        <v>0</v>
      </c>
      <c r="Y712">
        <f t="shared" si="467"/>
        <v>150000</v>
      </c>
      <c r="Z712" s="12">
        <f>7%*M712</f>
        <v>179859.40000000002</v>
      </c>
      <c r="AA712">
        <v>0</v>
      </c>
      <c r="AB712">
        <v>0</v>
      </c>
      <c r="AC712">
        <v>0</v>
      </c>
      <c r="AD712">
        <v>0</v>
      </c>
      <c r="AE712">
        <f t="shared" si="468"/>
        <v>179859.40000000002</v>
      </c>
      <c r="AF712" s="12">
        <f t="shared" si="469"/>
        <v>29859.400000000023</v>
      </c>
      <c r="AG71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29859.400000000023</v>
      </c>
      <c r="AH712">
        <f>IFERROR(AG712/(Z712+Table5[[#This Row],[Rider Penalty (Claim, Other Denda to Riders)]]),0)</f>
        <v>0.16601523189780473</v>
      </c>
      <c r="AI712" s="12">
        <f t="shared" si="470"/>
        <v>0</v>
      </c>
      <c r="AJ712">
        <f t="shared" si="471"/>
        <v>0</v>
      </c>
    </row>
    <row r="713" spans="1:37">
      <c r="A713" s="180">
        <v>2026</v>
      </c>
      <c r="B713" s="179" t="s">
        <v>23</v>
      </c>
      <c r="C713" s="64" t="s">
        <v>23</v>
      </c>
      <c r="D713" t="s">
        <v>168</v>
      </c>
      <c r="E713" t="s">
        <v>28</v>
      </c>
      <c r="F713" t="s">
        <v>28</v>
      </c>
      <c r="G713" s="119">
        <v>142026</v>
      </c>
      <c r="H713" s="119" t="s">
        <v>159</v>
      </c>
      <c r="I713" s="119" t="s">
        <v>275</v>
      </c>
      <c r="J713" s="334" t="s">
        <v>349</v>
      </c>
      <c r="K713">
        <v>170</v>
      </c>
      <c r="L713">
        <v>14826</v>
      </c>
      <c r="M713">
        <v>130510000</v>
      </c>
      <c r="N713">
        <f>2/7*62369365</f>
        <v>17819818.571428571</v>
      </c>
      <c r="O713">
        <f>2/7*48445000</f>
        <v>13841428.571428571</v>
      </c>
      <c r="P713">
        <v>0</v>
      </c>
      <c r="Q713">
        <v>0</v>
      </c>
      <c r="R713">
        <v>0</v>
      </c>
      <c r="S713">
        <v>0</v>
      </c>
      <c r="T713">
        <f t="shared" ref="T713:T714" si="472">SUM(N713:R713)</f>
        <v>31661247.142857142</v>
      </c>
      <c r="U713">
        <f>3450000*2/7</f>
        <v>985714.28571428568</v>
      </c>
      <c r="V713">
        <f>2/7*45080000</f>
        <v>12880000</v>
      </c>
      <c r="W713" s="76">
        <v>0</v>
      </c>
      <c r="X713">
        <v>213567</v>
      </c>
      <c r="Y713">
        <f t="shared" ref="Y713:Y714" si="473">SUM(U713:X713)</f>
        <v>14079281.285714285</v>
      </c>
      <c r="Z713" s="12">
        <f>26%*M713</f>
        <v>33932600</v>
      </c>
      <c r="AA713">
        <f>2/7*27175000</f>
        <v>7764285.7142857136</v>
      </c>
      <c r="AB713">
        <v>0</v>
      </c>
      <c r="AC713">
        <f>1175000*2/7</f>
        <v>335714.28571428574</v>
      </c>
      <c r="AD713">
        <v>0</v>
      </c>
      <c r="AE713">
        <f t="shared" ref="AE713:AE714" si="474">SUM(Z713:AD713)</f>
        <v>42032600</v>
      </c>
      <c r="AF713" s="12">
        <f t="shared" ref="AF713:AF714" si="475">AE713-(T713+Y713)</f>
        <v>-3707928.4285714254</v>
      </c>
      <c r="AG71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1072071.5714285725</v>
      </c>
      <c r="AH713">
        <f>IFERROR(AG713/(Z713+Table5[[#This Row],[Rider Penalty (Claim, Other Denda to Riders)]]),0)</f>
        <v>3.1594147558058401E-2</v>
      </c>
      <c r="AI713" s="12">
        <f t="shared" ref="AI713:AI714" si="476">AA713+AB713-V713</f>
        <v>-5115714.2857142864</v>
      </c>
      <c r="AJ713">
        <f t="shared" ref="AJ713:AJ714" si="477">IFERROR(AI713/(AA713+AB713),0)</f>
        <v>-0.65887764489420442</v>
      </c>
    </row>
    <row r="714" spans="1:37">
      <c r="A714" s="238">
        <v>2026</v>
      </c>
      <c r="B714" t="s">
        <v>23</v>
      </c>
      <c r="C714" t="s">
        <v>172</v>
      </c>
      <c r="D714" t="s">
        <v>168</v>
      </c>
      <c r="E714" t="s">
        <v>28</v>
      </c>
      <c r="F714" t="s">
        <v>28</v>
      </c>
      <c r="G714" s="119">
        <v>142026</v>
      </c>
      <c r="H714" s="191" t="s">
        <v>159</v>
      </c>
      <c r="I714" s="119" t="s">
        <v>275</v>
      </c>
      <c r="J714" s="334" t="s">
        <v>349</v>
      </c>
      <c r="K714">
        <v>31</v>
      </c>
      <c r="L714">
        <v>2513</v>
      </c>
      <c r="M714">
        <v>22106000</v>
      </c>
      <c r="N714">
        <f>2/7*9100440</f>
        <v>2600125.7142857141</v>
      </c>
      <c r="O714">
        <f>2/7*8595000</f>
        <v>2455714.2857142854</v>
      </c>
      <c r="P714">
        <v>0</v>
      </c>
      <c r="Q714">
        <v>0</v>
      </c>
      <c r="R714">
        <v>0</v>
      </c>
      <c r="S714">
        <v>0</v>
      </c>
      <c r="T714">
        <f t="shared" si="472"/>
        <v>5055840</v>
      </c>
      <c r="U714">
        <f>900000*2/7</f>
        <v>257142.85714285713</v>
      </c>
      <c r="V714" s="76">
        <f>2/7*7595000</f>
        <v>2170000</v>
      </c>
      <c r="W714" s="76">
        <v>0</v>
      </c>
      <c r="X714" s="16">
        <v>82671</v>
      </c>
      <c r="Y714">
        <f t="shared" si="473"/>
        <v>2509813.8571428573</v>
      </c>
      <c r="Z714" s="12">
        <f t="shared" ref="Z714:Z716" si="478">26%*M714</f>
        <v>5747560</v>
      </c>
      <c r="AA714">
        <f>2/7*4600000</f>
        <v>1314285.7142857143</v>
      </c>
      <c r="AB714">
        <v>0</v>
      </c>
      <c r="AC714">
        <f>2/7*300000</f>
        <v>85714.28571428571</v>
      </c>
      <c r="AD714">
        <v>0</v>
      </c>
      <c r="AE714">
        <f t="shared" si="474"/>
        <v>7147560</v>
      </c>
      <c r="AF714" s="12">
        <f t="shared" si="475"/>
        <v>-418093.85714285728</v>
      </c>
      <c r="AG71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351906.14285714284</v>
      </c>
      <c r="AH714">
        <f>IFERROR(AG714/(Z714+Table5[[#This Row],[Rider Penalty (Claim, Other Denda to Riders)]]),0)</f>
        <v>6.1227049888499266E-2</v>
      </c>
      <c r="AI714" s="12">
        <f t="shared" si="476"/>
        <v>-855714.28571428568</v>
      </c>
      <c r="AJ714">
        <f t="shared" si="477"/>
        <v>-0.65108695652173909</v>
      </c>
    </row>
    <row r="715" spans="1:37">
      <c r="A715" s="180">
        <v>2026</v>
      </c>
      <c r="B715" s="179" t="s">
        <v>23</v>
      </c>
      <c r="C715" s="64" t="s">
        <v>23</v>
      </c>
      <c r="D715" t="s">
        <v>168</v>
      </c>
      <c r="E715" t="s">
        <v>28</v>
      </c>
      <c r="F715" t="s">
        <v>28</v>
      </c>
      <c r="G715" s="119">
        <v>142026</v>
      </c>
      <c r="H715" s="119" t="s">
        <v>160</v>
      </c>
      <c r="I715" s="119" t="s">
        <v>275</v>
      </c>
      <c r="J715" s="334" t="s">
        <v>192</v>
      </c>
      <c r="K715">
        <v>181</v>
      </c>
      <c r="L715">
        <v>45063</v>
      </c>
      <c r="M715">
        <v>396996000</v>
      </c>
      <c r="N715">
        <f>5/7*62369365</f>
        <v>44549546.428571433</v>
      </c>
      <c r="O715">
        <f>5/7*48445000</f>
        <v>34603571.428571433</v>
      </c>
      <c r="P715">
        <v>0</v>
      </c>
      <c r="Q715">
        <v>0</v>
      </c>
      <c r="R715">
        <v>0</v>
      </c>
      <c r="S715">
        <v>0</v>
      </c>
      <c r="T715">
        <f t="shared" ref="T715:T716" si="479">SUM(N715:R715)</f>
        <v>79153117.857142866</v>
      </c>
      <c r="U715">
        <f>3450000*5/7</f>
        <v>2464285.7142857141</v>
      </c>
      <c r="V715">
        <f>5/7*45080000</f>
        <v>32200000</v>
      </c>
      <c r="W715" s="76">
        <v>0</v>
      </c>
      <c r="X715" s="16">
        <v>81720</v>
      </c>
      <c r="Y715">
        <f t="shared" ref="Y715:Y716" si="480">SUM(U715:X715)</f>
        <v>34746005.714285716</v>
      </c>
      <c r="Z715" s="12">
        <f t="shared" si="478"/>
        <v>103218960</v>
      </c>
      <c r="AA715">
        <f>5/7*27175000</f>
        <v>19410714.285714287</v>
      </c>
      <c r="AB715">
        <v>0</v>
      </c>
      <c r="AC715">
        <f>1175000*5/7</f>
        <v>839285.71428571432</v>
      </c>
      <c r="AD715">
        <v>0</v>
      </c>
      <c r="AE715">
        <f t="shared" ref="AE715:AE716" si="481">SUM(Z715:AD715)</f>
        <v>123468960</v>
      </c>
      <c r="AF715" s="12">
        <f t="shared" ref="AF715:AF716" si="482">AE715-(T715+Y715)</f>
        <v>9569836.4285714179</v>
      </c>
      <c r="AG71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21519836.428571422</v>
      </c>
      <c r="AH715">
        <f>IFERROR(AG715/(Z715+Table5[[#This Row],[Rider Penalty (Claim, Other Denda to Riders)]]),0)</f>
        <v>0.20848724331819873</v>
      </c>
      <c r="AI715" s="12">
        <f t="shared" ref="AI715:AI716" si="483">AA715+AB715-V715</f>
        <v>-12789285.714285713</v>
      </c>
      <c r="AJ715">
        <f t="shared" ref="AJ715:AJ716" si="484">IFERROR(AI715/(AA715+AB715),0)</f>
        <v>-0.65887764489420408</v>
      </c>
    </row>
    <row r="716" spans="1:37">
      <c r="A716" s="238">
        <v>2026</v>
      </c>
      <c r="B716" t="s">
        <v>23</v>
      </c>
      <c r="C716" t="s">
        <v>172</v>
      </c>
      <c r="D716" t="s">
        <v>168</v>
      </c>
      <c r="E716" t="s">
        <v>28</v>
      </c>
      <c r="F716" t="s">
        <v>28</v>
      </c>
      <c r="G716" s="119">
        <v>142026</v>
      </c>
      <c r="H716" s="119" t="s">
        <v>160</v>
      </c>
      <c r="I716" s="119" t="s">
        <v>275</v>
      </c>
      <c r="J716" s="334" t="s">
        <v>192</v>
      </c>
      <c r="K716">
        <v>31</v>
      </c>
      <c r="L716" s="375">
        <v>6626</v>
      </c>
      <c r="M716" s="375">
        <v>58680000</v>
      </c>
      <c r="N716">
        <f>5/7*9100440</f>
        <v>6500314.2857142854</v>
      </c>
      <c r="O716">
        <f>5/7*8595000</f>
        <v>6139285.7142857146</v>
      </c>
      <c r="P716">
        <v>0</v>
      </c>
      <c r="Q716">
        <v>0</v>
      </c>
      <c r="R716">
        <v>0</v>
      </c>
      <c r="S716">
        <v>0</v>
      </c>
      <c r="T716">
        <f t="shared" si="479"/>
        <v>12639600</v>
      </c>
      <c r="U716">
        <f>900000*5/7</f>
        <v>642857.14285714284</v>
      </c>
      <c r="V716" s="76">
        <f>5/7*7595000</f>
        <v>5425000</v>
      </c>
      <c r="W716" s="76">
        <v>0</v>
      </c>
      <c r="X716" s="16">
        <v>81720</v>
      </c>
      <c r="Y716">
        <f t="shared" si="480"/>
        <v>6149577.1428571427</v>
      </c>
      <c r="Z716" s="12">
        <f t="shared" si="478"/>
        <v>15256800</v>
      </c>
      <c r="AA716">
        <f>5/7*4600000</f>
        <v>3285714.2857142859</v>
      </c>
      <c r="AB716">
        <v>0</v>
      </c>
      <c r="AC716">
        <f>5/7*300000</f>
        <v>214285.71428571429</v>
      </c>
      <c r="AD716">
        <v>0</v>
      </c>
      <c r="AE716">
        <f t="shared" si="481"/>
        <v>18756800</v>
      </c>
      <c r="AF716" s="12">
        <f t="shared" si="482"/>
        <v>-32377.142857141793</v>
      </c>
      <c r="AG71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1892622.8571428573</v>
      </c>
      <c r="AH716">
        <f>IFERROR(AG716/(Z716+Table5[[#This Row],[Rider Penalty (Claim, Other Denda to Riders)]]),0)</f>
        <v>0.12405110227196117</v>
      </c>
      <c r="AI716" s="12">
        <f t="shared" si="483"/>
        <v>-2139285.7142857141</v>
      </c>
      <c r="AJ716">
        <f t="shared" si="484"/>
        <v>-0.65108695652173898</v>
      </c>
    </row>
    <row r="717" spans="1:37">
      <c r="A717" s="180">
        <v>2026</v>
      </c>
      <c r="B717" s="179" t="s">
        <v>23</v>
      </c>
      <c r="C717" s="64" t="s">
        <v>23</v>
      </c>
      <c r="D717" t="s">
        <v>168</v>
      </c>
      <c r="E717" t="s">
        <v>28</v>
      </c>
      <c r="F717" t="s">
        <v>28</v>
      </c>
      <c r="G717">
        <v>152026</v>
      </c>
      <c r="H717" s="119" t="s">
        <v>160</v>
      </c>
      <c r="I717" s="119" t="s">
        <v>256</v>
      </c>
      <c r="J717" s="174" t="s">
        <v>198</v>
      </c>
      <c r="K717">
        <v>183</v>
      </c>
      <c r="L717">
        <v>60723</v>
      </c>
      <c r="M717">
        <v>533718000</v>
      </c>
      <c r="N717">
        <v>63509825</v>
      </c>
      <c r="O717">
        <v>48275000</v>
      </c>
      <c r="P717">
        <v>0</v>
      </c>
      <c r="Q717">
        <v>0</v>
      </c>
      <c r="R717">
        <v>0</v>
      </c>
      <c r="S717">
        <v>0</v>
      </c>
      <c r="T717">
        <f t="shared" ref="T717:T718" si="485">SUM(N717:R717)</f>
        <v>111784825</v>
      </c>
      <c r="U717" s="16">
        <v>3450000</v>
      </c>
      <c r="V717" s="76">
        <v>44835000</v>
      </c>
      <c r="W717" s="76">
        <v>0</v>
      </c>
      <c r="X717">
        <v>289348.17784946243</v>
      </c>
      <c r="Y717" s="16">
        <f>SUM(U717:X717)</f>
        <v>48574348.177849464</v>
      </c>
      <c r="Z717" s="12">
        <f>26%*M717</f>
        <v>138766680</v>
      </c>
      <c r="AA717">
        <v>26875000</v>
      </c>
      <c r="AB717">
        <v>0</v>
      </c>
      <c r="AC717">
        <v>1075000</v>
      </c>
      <c r="AD717">
        <v>0</v>
      </c>
      <c r="AE717">
        <f t="shared" ref="AE717:AE718" si="486">SUM(Z717:AD717)</f>
        <v>166716680</v>
      </c>
      <c r="AF717" s="12">
        <f t="shared" ref="AF717:AF718" si="487">AE717-(T717+Y717)</f>
        <v>6357506.8221505284</v>
      </c>
      <c r="AG717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23242506.822150536</v>
      </c>
      <c r="AH717">
        <f>IFERROR(AG717/(Z717+Table5[[#This Row],[Rider Penalty (Claim, Other Denda to Riders)]]),0)</f>
        <v>0.1674934272561002</v>
      </c>
      <c r="AI717" s="12">
        <f t="shared" ref="AI717:AI718" si="488">AA717+AB717-V717</f>
        <v>-17960000</v>
      </c>
      <c r="AJ717">
        <f t="shared" ref="AJ717:AJ718" si="489">IFERROR(AI717/(AA717+AB717),0)</f>
        <v>-0.66827906976744189</v>
      </c>
      <c r="AK717" s="88" t="s">
        <v>257</v>
      </c>
    </row>
    <row r="718" spans="1:37">
      <c r="A718" s="238">
        <v>2026</v>
      </c>
      <c r="B718" t="s">
        <v>23</v>
      </c>
      <c r="C718" t="s">
        <v>172</v>
      </c>
      <c r="D718" t="s">
        <v>168</v>
      </c>
      <c r="E718" t="s">
        <v>28</v>
      </c>
      <c r="F718" t="s">
        <v>28</v>
      </c>
      <c r="G718">
        <v>152026</v>
      </c>
      <c r="H718" s="119" t="s">
        <v>160</v>
      </c>
      <c r="I718" s="119" t="s">
        <v>256</v>
      </c>
      <c r="J718" s="174" t="s">
        <v>198</v>
      </c>
      <c r="K718">
        <v>30</v>
      </c>
      <c r="L718">
        <v>9043</v>
      </c>
      <c r="M718">
        <v>79614000</v>
      </c>
      <c r="N718">
        <v>8985155</v>
      </c>
      <c r="O718">
        <v>8435000</v>
      </c>
      <c r="P718">
        <v>0</v>
      </c>
      <c r="Q718">
        <v>0</v>
      </c>
      <c r="R718">
        <v>0</v>
      </c>
      <c r="S718">
        <v>0</v>
      </c>
      <c r="T718">
        <f t="shared" si="485"/>
        <v>17420155</v>
      </c>
      <c r="U718" s="16">
        <v>900000</v>
      </c>
      <c r="V718" s="76">
        <v>7350000</v>
      </c>
      <c r="W718" s="76">
        <v>0</v>
      </c>
      <c r="X718">
        <v>286021.50537634408</v>
      </c>
      <c r="Y718">
        <f t="shared" ref="Y718" si="490">SUM(U718:X718)</f>
        <v>8536021.5053763445</v>
      </c>
      <c r="Z718" s="12">
        <f>26%*M718</f>
        <v>20699640</v>
      </c>
      <c r="AA718">
        <v>4425000</v>
      </c>
      <c r="AB718">
        <v>0</v>
      </c>
      <c r="AC718">
        <v>300000</v>
      </c>
      <c r="AD718">
        <v>0</v>
      </c>
      <c r="AE718">
        <f t="shared" si="486"/>
        <v>25424640</v>
      </c>
      <c r="AF718" s="12">
        <f t="shared" si="487"/>
        <v>-531536.50537634641</v>
      </c>
      <c r="AG718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2093463.4946236559</v>
      </c>
      <c r="AH718">
        <f>IFERROR(AG718/(Z718+Table5[[#This Row],[Rider Penalty (Claim, Other Denda to Riders)]]),0)</f>
        <v>0.10113526102983704</v>
      </c>
      <c r="AI718" s="12">
        <f t="shared" si="488"/>
        <v>-2925000</v>
      </c>
      <c r="AJ718">
        <f t="shared" si="489"/>
        <v>-0.66101694915254239</v>
      </c>
      <c r="AK718" s="88" t="s">
        <v>257</v>
      </c>
    </row>
    <row r="719" spans="1:37">
      <c r="A719" s="180">
        <v>2026</v>
      </c>
      <c r="B719" s="119" t="s">
        <v>23</v>
      </c>
      <c r="C719" s="119" t="s">
        <v>174</v>
      </c>
      <c r="D719" s="119" t="s">
        <v>168</v>
      </c>
      <c r="E719" s="119" t="s">
        <v>24</v>
      </c>
      <c r="F719" s="119" t="s">
        <v>24</v>
      </c>
      <c r="G719">
        <v>152026</v>
      </c>
      <c r="H719" s="119" t="s">
        <v>160</v>
      </c>
      <c r="I719" s="119" t="s">
        <v>256</v>
      </c>
      <c r="J719" s="174" t="s">
        <v>198</v>
      </c>
      <c r="K719">
        <v>10</v>
      </c>
      <c r="L719">
        <v>1999</v>
      </c>
      <c r="M719">
        <v>18114000</v>
      </c>
      <c r="N719">
        <v>1711700</v>
      </c>
      <c r="O719">
        <v>2050000</v>
      </c>
      <c r="P719">
        <v>0</v>
      </c>
      <c r="Q719">
        <v>0</v>
      </c>
      <c r="R719">
        <v>0</v>
      </c>
      <c r="S719">
        <v>0</v>
      </c>
      <c r="T719">
        <f t="shared" ref="T719:T721" si="491">SUM(N719:R719)</f>
        <v>3761700</v>
      </c>
      <c r="U719">
        <v>350000</v>
      </c>
      <c r="V719" s="76">
        <f>52*35000</f>
        <v>1820000</v>
      </c>
      <c r="W719" s="76">
        <v>0</v>
      </c>
      <c r="X719">
        <v>0</v>
      </c>
      <c r="Y719">
        <f t="shared" ref="Y719:Y721" si="492">SUM(U719:X719)</f>
        <v>2170000</v>
      </c>
      <c r="Z719" s="12">
        <f>26%*M719</f>
        <v>4709640</v>
      </c>
      <c r="AA719">
        <f>(15000*11)+(48*25000)</f>
        <v>1365000</v>
      </c>
      <c r="AB719">
        <v>0</v>
      </c>
      <c r="AC719">
        <v>0</v>
      </c>
      <c r="AD719">
        <v>0</v>
      </c>
      <c r="AE719">
        <f t="shared" ref="AE719:AE721" si="493">SUM(Z719:AD719)</f>
        <v>6074640</v>
      </c>
      <c r="AF719" s="12">
        <f t="shared" ref="AF719:AF721" si="494">AE719-(T719+Y719)</f>
        <v>142940</v>
      </c>
      <c r="AG719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597940</v>
      </c>
      <c r="AH719">
        <f>IFERROR(AG719/(Z719+Table5[[#This Row],[Rider Penalty (Claim, Other Denda to Riders)]]),0)</f>
        <v>0.12696087174391249</v>
      </c>
      <c r="AI719" s="12">
        <f t="shared" ref="AI719:AI721" si="495">AA719+AB719-V719</f>
        <v>-455000</v>
      </c>
      <c r="AJ719">
        <f t="shared" ref="AJ719:AJ721" si="496">IFERROR(AI719/(AA719+AB719),0)</f>
        <v>-0.33333333333333331</v>
      </c>
    </row>
    <row r="720" spans="1:37">
      <c r="A720" s="180">
        <v>2026</v>
      </c>
      <c r="B720" s="64" t="s">
        <v>23</v>
      </c>
      <c r="C720" s="64" t="s">
        <v>173</v>
      </c>
      <c r="D720" s="64" t="s">
        <v>168</v>
      </c>
      <c r="E720" s="64" t="s">
        <v>24</v>
      </c>
      <c r="F720" s="64" t="s">
        <v>282</v>
      </c>
      <c r="G720">
        <v>152026</v>
      </c>
      <c r="H720" s="119" t="s">
        <v>160</v>
      </c>
      <c r="I720" s="119" t="s">
        <v>256</v>
      </c>
      <c r="J720" s="174" t="s">
        <v>198</v>
      </c>
      <c r="K720">
        <v>6</v>
      </c>
      <c r="L720">
        <v>1131</v>
      </c>
      <c r="M720">
        <v>10148000</v>
      </c>
      <c r="N720">
        <v>933260</v>
      </c>
      <c r="O720">
        <v>1400000</v>
      </c>
      <c r="P720">
        <v>0</v>
      </c>
      <c r="Q720">
        <v>0</v>
      </c>
      <c r="R720">
        <v>0</v>
      </c>
      <c r="S720">
        <v>0</v>
      </c>
      <c r="T720">
        <f t="shared" si="491"/>
        <v>2333260</v>
      </c>
      <c r="U720">
        <v>0</v>
      </c>
      <c r="V720" s="76">
        <f>34*35000</f>
        <v>1190000</v>
      </c>
      <c r="W720" s="76">
        <v>0</v>
      </c>
      <c r="X720">
        <v>0</v>
      </c>
      <c r="Y720">
        <f t="shared" si="492"/>
        <v>1190000</v>
      </c>
      <c r="Z720" s="12">
        <f>26%*M720</f>
        <v>2638480</v>
      </c>
      <c r="AA720">
        <f>(25*25000)+(13*15000)</f>
        <v>820000</v>
      </c>
      <c r="AB720">
        <v>0</v>
      </c>
      <c r="AC720">
        <v>0</v>
      </c>
      <c r="AD720">
        <v>0</v>
      </c>
      <c r="AE720">
        <f t="shared" si="493"/>
        <v>3458480</v>
      </c>
      <c r="AF720" s="12">
        <f t="shared" si="494"/>
        <v>-64780</v>
      </c>
      <c r="AG720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305220</v>
      </c>
      <c r="AH720">
        <f>IFERROR(AG720/(Z720+Table5[[#This Row],[Rider Penalty (Claim, Other Denda to Riders)]]),0)</f>
        <v>0.11568024013826142</v>
      </c>
      <c r="AI720" s="12">
        <f t="shared" si="495"/>
        <v>-370000</v>
      </c>
      <c r="AJ720">
        <f t="shared" si="496"/>
        <v>-0.45121951219512196</v>
      </c>
    </row>
    <row r="721" spans="1:36">
      <c r="A721" s="238">
        <v>2026</v>
      </c>
      <c r="B721" s="191" t="s">
        <v>23</v>
      </c>
      <c r="C721" s="191" t="s">
        <v>205</v>
      </c>
      <c r="D721" s="191" t="s">
        <v>168</v>
      </c>
      <c r="E721" s="191" t="s">
        <v>24</v>
      </c>
      <c r="F721" s="191" t="s">
        <v>24</v>
      </c>
      <c r="G721">
        <v>152026</v>
      </c>
      <c r="H721" s="119" t="s">
        <v>160</v>
      </c>
      <c r="I721" s="119" t="s">
        <v>256</v>
      </c>
      <c r="J721" s="174" t="s">
        <v>198</v>
      </c>
      <c r="K721">
        <v>9</v>
      </c>
      <c r="L721">
        <v>1390</v>
      </c>
      <c r="M721">
        <v>2401600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f t="shared" si="491"/>
        <v>0</v>
      </c>
      <c r="U721">
        <v>350000</v>
      </c>
      <c r="V721" s="76">
        <v>0</v>
      </c>
      <c r="W721" s="76">
        <v>0</v>
      </c>
      <c r="X721">
        <v>0</v>
      </c>
      <c r="Y721">
        <f t="shared" si="492"/>
        <v>350000</v>
      </c>
      <c r="Z721" s="12">
        <f>7%*M721</f>
        <v>168112.00000000003</v>
      </c>
      <c r="AA721">
        <v>0</v>
      </c>
      <c r="AB721">
        <v>0</v>
      </c>
      <c r="AC721">
        <v>0</v>
      </c>
      <c r="AD721">
        <v>0</v>
      </c>
      <c r="AE721">
        <f t="shared" si="493"/>
        <v>168112.00000000003</v>
      </c>
      <c r="AF721" s="12">
        <f t="shared" si="494"/>
        <v>-181887.99999999997</v>
      </c>
      <c r="AG721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-181887.99999999997</v>
      </c>
      <c r="AH721">
        <f>IFERROR(AG721/(Z721+Table5[[#This Row],[Rider Penalty (Claim, Other Denda to Riders)]]),0)</f>
        <v>-1.0819453697534973</v>
      </c>
      <c r="AI721" s="12">
        <f t="shared" si="495"/>
        <v>0</v>
      </c>
      <c r="AJ721">
        <f t="shared" si="496"/>
        <v>0</v>
      </c>
    </row>
    <row r="722" spans="1:36">
      <c r="A722">
        <v>2026</v>
      </c>
      <c r="B722" t="s">
        <v>23</v>
      </c>
      <c r="C722" t="s">
        <v>23</v>
      </c>
      <c r="D722" t="s">
        <v>168</v>
      </c>
      <c r="E722" t="s">
        <v>28</v>
      </c>
      <c r="F722" t="s">
        <v>28</v>
      </c>
      <c r="G722">
        <v>162026</v>
      </c>
      <c r="H722" t="s">
        <v>160</v>
      </c>
      <c r="I722" t="s">
        <v>278</v>
      </c>
      <c r="J722" s="174" t="s">
        <v>193</v>
      </c>
      <c r="K722">
        <v>186</v>
      </c>
      <c r="L722">
        <v>57993</v>
      </c>
      <c r="M722">
        <v>509794000</v>
      </c>
      <c r="N722">
        <v>59731850</v>
      </c>
      <c r="O722">
        <v>46555000</v>
      </c>
      <c r="P722">
        <v>0</v>
      </c>
      <c r="Q722">
        <v>0</v>
      </c>
      <c r="R722">
        <v>0</v>
      </c>
      <c r="S722">
        <v>0</v>
      </c>
      <c r="T722">
        <f t="shared" ref="T722:T723" si="497">SUM(N722:R722)</f>
        <v>106286850</v>
      </c>
      <c r="U722">
        <v>3150000</v>
      </c>
      <c r="V722" s="1">
        <v>45570000</v>
      </c>
      <c r="W722" s="76">
        <v>0</v>
      </c>
      <c r="X722">
        <v>289348.17784946243</v>
      </c>
      <c r="Y722">
        <f t="shared" ref="Y722:Y723" si="498">SUM(U722:X722)</f>
        <v>49009348.177849464</v>
      </c>
      <c r="Z722" s="12">
        <f>26%*M722</f>
        <v>132546440</v>
      </c>
      <c r="AA722">
        <v>27250000</v>
      </c>
      <c r="AB722">
        <v>0</v>
      </c>
      <c r="AC722">
        <v>1200000</v>
      </c>
      <c r="AD722">
        <v>0</v>
      </c>
      <c r="AE722">
        <f t="shared" ref="AE722:AE723" si="499">SUM(Z722:AD722)</f>
        <v>160996440</v>
      </c>
      <c r="AF722" s="12">
        <f t="shared" ref="AF722:AF723" si="500">AE722-(T722+Y722)</f>
        <v>5700241.8221505284</v>
      </c>
      <c r="AG722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22820241.822150536</v>
      </c>
      <c r="AH722">
        <f>IFERROR(AG722/(Z722+Table5[[#This Row],[Rider Penalty (Claim, Other Denda to Riders)]]),0)</f>
        <v>0.17216789694352058</v>
      </c>
      <c r="AI722" s="12">
        <f t="shared" ref="AI722:AI723" si="501">AA722+AB722-V722</f>
        <v>-18320000</v>
      </c>
      <c r="AJ722">
        <f t="shared" ref="AJ722:AJ723" si="502">IFERROR(AI722/(AA722+AB722),0)</f>
        <v>-0.67229357798165135</v>
      </c>
    </row>
    <row r="723" spans="1:36">
      <c r="A723">
        <v>2026</v>
      </c>
      <c r="B723" t="s">
        <v>23</v>
      </c>
      <c r="C723" t="s">
        <v>172</v>
      </c>
      <c r="D723" t="s">
        <v>168</v>
      </c>
      <c r="E723" t="s">
        <v>28</v>
      </c>
      <c r="F723" t="s">
        <v>28</v>
      </c>
      <c r="G723">
        <v>162026</v>
      </c>
      <c r="H723" t="s">
        <v>160</v>
      </c>
      <c r="I723" t="s">
        <v>278</v>
      </c>
      <c r="J723" s="174" t="s">
        <v>193</v>
      </c>
      <c r="K723">
        <v>30</v>
      </c>
      <c r="L723">
        <v>9588</v>
      </c>
      <c r="M723">
        <v>84568000</v>
      </c>
      <c r="N723">
        <v>9777540</v>
      </c>
      <c r="O723">
        <v>9070000</v>
      </c>
      <c r="P723">
        <v>0</v>
      </c>
      <c r="Q723">
        <v>0</v>
      </c>
      <c r="R723">
        <v>0</v>
      </c>
      <c r="S723">
        <v>0</v>
      </c>
      <c r="T723">
        <f t="shared" si="497"/>
        <v>18847540</v>
      </c>
      <c r="U723">
        <v>900000</v>
      </c>
      <c r="V723" s="1">
        <v>7350000</v>
      </c>
      <c r="W723" s="76">
        <v>0</v>
      </c>
      <c r="X723">
        <v>286021.50537634408</v>
      </c>
      <c r="Y723">
        <f t="shared" si="498"/>
        <v>8536021.5053763445</v>
      </c>
      <c r="Z723" s="12">
        <f>26%*M723</f>
        <v>21987680</v>
      </c>
      <c r="AA723">
        <v>4450000</v>
      </c>
      <c r="AB723">
        <v>0</v>
      </c>
      <c r="AC723">
        <v>300000</v>
      </c>
      <c r="AD723">
        <v>0</v>
      </c>
      <c r="AE723">
        <f t="shared" si="499"/>
        <v>26737680</v>
      </c>
      <c r="AF723" s="12">
        <f t="shared" si="500"/>
        <v>-645881.50537634641</v>
      </c>
      <c r="AG723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1954118.4946236559</v>
      </c>
      <c r="AH723">
        <f>IFERROR(AG723/(Z723+Table5[[#This Row],[Rider Penalty (Claim, Other Denda to Riders)]]),0)</f>
        <v>8.8873337006162359E-2</v>
      </c>
      <c r="AI723" s="12">
        <f t="shared" si="501"/>
        <v>-2900000</v>
      </c>
      <c r="AJ723">
        <f t="shared" si="502"/>
        <v>-0.651685393258427</v>
      </c>
    </row>
    <row r="724" spans="1:36">
      <c r="A724" s="180">
        <v>2026</v>
      </c>
      <c r="B724" s="119" t="s">
        <v>23</v>
      </c>
      <c r="C724" s="119" t="s">
        <v>174</v>
      </c>
      <c r="D724" s="119" t="s">
        <v>168</v>
      </c>
      <c r="E724" s="119" t="s">
        <v>24</v>
      </c>
      <c r="F724" s="119" t="s">
        <v>24</v>
      </c>
      <c r="G724">
        <v>162026</v>
      </c>
      <c r="H724" t="s">
        <v>160</v>
      </c>
      <c r="I724" t="s">
        <v>278</v>
      </c>
      <c r="J724" s="174" t="s">
        <v>193</v>
      </c>
      <c r="K724">
        <v>10</v>
      </c>
      <c r="L724">
        <v>1532</v>
      </c>
      <c r="M724">
        <v>20552000</v>
      </c>
      <c r="N724">
        <v>2285940</v>
      </c>
      <c r="O724">
        <v>2075000</v>
      </c>
      <c r="P724">
        <v>0</v>
      </c>
      <c r="Q724">
        <v>0</v>
      </c>
      <c r="R724">
        <v>0</v>
      </c>
      <c r="S724">
        <v>0</v>
      </c>
      <c r="T724">
        <f t="shared" ref="T724:T726" si="503">SUM(N724:R724)</f>
        <v>4360940</v>
      </c>
      <c r="U724">
        <v>350000</v>
      </c>
      <c r="V724" s="76">
        <f>53*35000</f>
        <v>1855000</v>
      </c>
      <c r="W724" s="76">
        <v>0</v>
      </c>
      <c r="X724">
        <v>0</v>
      </c>
      <c r="Y724">
        <f t="shared" ref="Y724:Y726" si="504">SUM(U724:X724)</f>
        <v>2205000</v>
      </c>
      <c r="Z724" s="12">
        <f>26%*M724</f>
        <v>5343520</v>
      </c>
      <c r="AA724">
        <f>(13*15000)+(44*25000)</f>
        <v>1295000</v>
      </c>
      <c r="AB724">
        <v>0</v>
      </c>
      <c r="AC724">
        <v>0</v>
      </c>
      <c r="AD724">
        <v>0</v>
      </c>
      <c r="AE724">
        <f t="shared" ref="AE724:AE726" si="505">SUM(Z724:AD724)</f>
        <v>6638520</v>
      </c>
      <c r="AF724" s="12">
        <f t="shared" ref="AF724:AF726" si="506">AE724-(T724+Y724)</f>
        <v>72580</v>
      </c>
      <c r="AG724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632580</v>
      </c>
      <c r="AH724">
        <f>IFERROR(AG724/(Z724+Table5[[#This Row],[Rider Penalty (Claim, Other Denda to Riders)]]),0)</f>
        <v>0.11838263915920591</v>
      </c>
      <c r="AI724" s="12">
        <f t="shared" ref="AI724:AI726" si="507">AA724+AB724-V724</f>
        <v>-560000</v>
      </c>
      <c r="AJ724">
        <f t="shared" ref="AJ724:AJ726" si="508">IFERROR(AI724/(AA724+AB724),0)</f>
        <v>-0.43243243243243246</v>
      </c>
    </row>
    <row r="725" spans="1:36">
      <c r="A725" s="180">
        <v>2026</v>
      </c>
      <c r="B725" s="64" t="s">
        <v>23</v>
      </c>
      <c r="C725" s="64" t="s">
        <v>173</v>
      </c>
      <c r="D725" s="64" t="s">
        <v>168</v>
      </c>
      <c r="E725" s="64" t="s">
        <v>24</v>
      </c>
      <c r="F725" s="64" t="s">
        <v>282</v>
      </c>
      <c r="G725">
        <v>162026</v>
      </c>
      <c r="H725" t="s">
        <v>160</v>
      </c>
      <c r="I725" t="s">
        <v>278</v>
      </c>
      <c r="J725" s="174" t="s">
        <v>193</v>
      </c>
      <c r="K725">
        <v>9</v>
      </c>
      <c r="L725">
        <v>1590</v>
      </c>
      <c r="M725">
        <v>13406000</v>
      </c>
      <c r="N725">
        <v>1142140</v>
      </c>
      <c r="O725">
        <v>1725000</v>
      </c>
      <c r="P725">
        <v>0</v>
      </c>
      <c r="Q725">
        <v>0</v>
      </c>
      <c r="R725">
        <v>0</v>
      </c>
      <c r="S725">
        <v>0</v>
      </c>
      <c r="T725">
        <f t="shared" si="503"/>
        <v>2867140</v>
      </c>
      <c r="U725">
        <v>0</v>
      </c>
      <c r="V725" s="76">
        <f>42*35000</f>
        <v>1470000</v>
      </c>
      <c r="W725" s="76">
        <v>0</v>
      </c>
      <c r="X725">
        <v>0</v>
      </c>
      <c r="Y725">
        <f t="shared" si="504"/>
        <v>1470000</v>
      </c>
      <c r="Z725" s="12">
        <f>26%*M725</f>
        <v>3485560</v>
      </c>
      <c r="AA725">
        <f>(14*15000)+(31*25000)</f>
        <v>985000</v>
      </c>
      <c r="AB725">
        <v>0</v>
      </c>
      <c r="AC725">
        <v>0</v>
      </c>
      <c r="AD725">
        <v>0</v>
      </c>
      <c r="AE725">
        <f t="shared" si="505"/>
        <v>4470560</v>
      </c>
      <c r="AF725" s="12">
        <f t="shared" si="506"/>
        <v>133420</v>
      </c>
      <c r="AG725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618420</v>
      </c>
      <c r="AH725">
        <f>IFERROR(AG725/(Z725+Table5[[#This Row],[Rider Penalty (Claim, Other Denda to Riders)]]),0)</f>
        <v>0.17742342693856941</v>
      </c>
      <c r="AI725" s="12">
        <f t="shared" si="507"/>
        <v>-485000</v>
      </c>
      <c r="AJ725">
        <f t="shared" si="508"/>
        <v>-0.49238578680203043</v>
      </c>
    </row>
    <row r="726" spans="1:36">
      <c r="A726" s="238">
        <v>2026</v>
      </c>
      <c r="B726" s="191" t="s">
        <v>23</v>
      </c>
      <c r="C726" s="191" t="s">
        <v>205</v>
      </c>
      <c r="D726" s="191" t="s">
        <v>168</v>
      </c>
      <c r="E726" s="191" t="s">
        <v>24</v>
      </c>
      <c r="F726" s="191" t="s">
        <v>24</v>
      </c>
      <c r="G726">
        <v>162026</v>
      </c>
      <c r="H726" t="s">
        <v>160</v>
      </c>
      <c r="I726" t="s">
        <v>278</v>
      </c>
      <c r="J726" s="174" t="s">
        <v>193</v>
      </c>
      <c r="K726">
        <v>8</v>
      </c>
      <c r="L726">
        <v>1355</v>
      </c>
      <c r="M726" s="16">
        <v>2719240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f t="shared" si="503"/>
        <v>0</v>
      </c>
      <c r="U726">
        <v>350000</v>
      </c>
      <c r="V726" s="76">
        <v>0</v>
      </c>
      <c r="W726" s="76">
        <v>0</v>
      </c>
      <c r="X726">
        <v>0</v>
      </c>
      <c r="Y726">
        <f t="shared" si="504"/>
        <v>350000</v>
      </c>
      <c r="Z726" s="12">
        <f>7%*M726</f>
        <v>190346.80000000002</v>
      </c>
      <c r="AA726">
        <v>0</v>
      </c>
      <c r="AB726">
        <v>0</v>
      </c>
      <c r="AC726">
        <v>0</v>
      </c>
      <c r="AD726">
        <v>0</v>
      </c>
      <c r="AE726">
        <f t="shared" si="505"/>
        <v>190346.80000000002</v>
      </c>
      <c r="AF726" s="12">
        <f t="shared" si="506"/>
        <v>-159653.19999999998</v>
      </c>
      <c r="AG726">
        <f>Table5[[#This Row],[Total Revenue Sharing % (Weekly)]]+Table5[[#This Row],[Rider Penalty (Claim, Other Denda to Riders)]]-Table5[[#This Row],[Total Income Sales (Weekly)]]-Table5[[#This Row],[Manpower (Korlap)]]-Table5[[#This Row],[Cost Claim]]-Table5[[#This Row],[Storing Cost]]</f>
        <v>-159653.19999999998</v>
      </c>
      <c r="AH726">
        <f>IFERROR(AG726/(Z726+Table5[[#This Row],[Rider Penalty (Claim, Other Denda to Riders)]]),0)</f>
        <v>-0.83874906223797807</v>
      </c>
      <c r="AI726" s="12">
        <f t="shared" si="507"/>
        <v>0</v>
      </c>
      <c r="AJ726">
        <f t="shared" si="508"/>
        <v>0</v>
      </c>
    </row>
  </sheetData>
  <dataValidations count="5">
    <dataValidation allowBlank="1" showInputMessage="1" showErrorMessage="1" sqref="F1:G1 G259:G260 G233:G235 G249:G256 G2:G217 F457 C434:C435 F434 C445:C446 F445 C450 F450 C457 D2:E467 D470:E478 C474 F474 C478 F478 D491:E497 C494 F494" xr:uid="{EBC29D49-596A-4AA4-9221-454580C0DC3C}"/>
    <dataValidation type="list" allowBlank="1" showInputMessage="1" showErrorMessage="1" sqref="B400:B403 B653:B654 B650:B651 B640:B641 B633:B634 B626:B627 B618:B619 B614:B615 B601:B602 B593:B594 B585:B586 B577:B578 B457 B454:B455 B450 B447:B448 B445 B442:B443 B434 B431:B432 B425:B426 B412:B413 B409:B410 B383:B388 B362:B363 B346:B354 B2:B344 B474:B476 B471:B472 B478 B491:B492 B494:B496 B498:B499 B510:B511 B518:B519 B530:B531 B534:B535 B542:B543 B546:B547 B555:B556 B564:B565 B656:B657 B667 B673 B682 B685 B690 B695 B697 B702 B713 B715 B717" xr:uid="{5E056D42-7C9B-4797-9058-9E8CDA295A7C}">
      <formula1>$AM$3:$AM$25</formula1>
    </dataValidation>
    <dataValidation type="list" allowBlank="1" showInputMessage="1" showErrorMessage="1" sqref="C400:C403 C653:C654 C650:C651 C640:C641 C633:C634 C626:C627 C618:C619 C614:C615 C601:C602 C593:C594 C585:C586 C577:C578 C454:C455 C447:C448 C442:C443 C431:C432 C425:C426 C412:C413 C409:C410 C383:C388 C362:C363 C346:C354 C2:C344 C471:C472 C475:C476 C491:C492 C495:C496 C498:C499 C510:C511 C518:C519 C530:C531 C534:C535 C542:C543 C546:C547 C555:C556 C564:C565 C656:C657 C667 C673 C682 C685 C690 C695 C697 C702 C713 C715 C717" xr:uid="{C1692E68-DA0C-456B-8E67-0EA7F559627D}">
      <formula1>$AN$3:$AN$25</formula1>
    </dataValidation>
    <dataValidation type="list" allowBlank="1" showInputMessage="1" showErrorMessage="1" sqref="F2:F433 F454:F456 F446:F449 F435:F444 F471:F473 F475:F477 F491:F493 F495:F497" xr:uid="{93FF13B1-6376-41E4-943B-284933DDAC1A}">
      <formula1>$AQ$3:$AQ$25</formula1>
    </dataValidation>
    <dataValidation type="list" allowBlank="1" showInputMessage="1" showErrorMessage="1" sqref="H2:H726" xr:uid="{C38DA271-EE4D-4CD2-A323-717604E3ADB2}">
      <formula1>$AR$3:$AR$14</formula1>
    </dataValidation>
  </dataValidations>
  <hyperlinks>
    <hyperlink ref="AK24" r:id="rId1" xr:uid="{8C65047D-0FB0-4280-9D7F-C66082F8745E}"/>
    <hyperlink ref="AK25" r:id="rId2" xr:uid="{1B0E13EA-F879-4A29-B1A9-7E578C4F7BE8}"/>
    <hyperlink ref="AK26" r:id="rId3" xr:uid="{929665DD-D906-4643-ACE4-28DD2A2C383E}"/>
    <hyperlink ref="AK32" r:id="rId4" xr:uid="{C4C3CEB2-6549-4926-A4B3-330AA6B0448F}"/>
    <hyperlink ref="AK30" r:id="rId5" xr:uid="{5795A01A-BDCE-4B00-9205-191EB30CCC80}"/>
    <hyperlink ref="AK29" r:id="rId6" xr:uid="{1994BBCC-4D46-474A-AC8F-01CE8BC70C75}"/>
    <hyperlink ref="AK28" r:id="rId7" xr:uid="{91C643B7-4582-4A14-9D3D-79A571799702}"/>
    <hyperlink ref="AK27" r:id="rId8" xr:uid="{375500FE-8934-41DF-8248-C99290BEBDA6}"/>
    <hyperlink ref="AK2" r:id="rId9" xr:uid="{1348E76E-884E-4B2A-BB78-ABBAF7BF417E}"/>
    <hyperlink ref="AK3" r:id="rId10" xr:uid="{82CDC6BC-C696-4CD2-AB88-6D24871B44AA}"/>
    <hyperlink ref="AK4" r:id="rId11" xr:uid="{C868D592-5BC3-41EC-8A74-910FCD2EB750}"/>
    <hyperlink ref="AK5" r:id="rId12" xr:uid="{5F13E036-09C6-42DB-BDAA-CAB6F6D519CC}"/>
    <hyperlink ref="AK6" r:id="rId13" xr:uid="{E918D120-461E-4F76-A040-782BCE020416}"/>
    <hyperlink ref="AK7" r:id="rId14" xr:uid="{0FD2C8C8-9415-4C8F-ABB6-1836338BAA22}"/>
    <hyperlink ref="AK8" r:id="rId15" xr:uid="{BFB34880-D9BF-46A0-8F82-ECD9F5CEC502}"/>
    <hyperlink ref="AK9" r:id="rId16" xr:uid="{DE83D5CA-FE8F-40C4-9F2F-77C22AD85FDC}"/>
    <hyperlink ref="AK10" r:id="rId17" xr:uid="{9C1CD761-E207-4F74-863E-00FEC0AD13CD}"/>
    <hyperlink ref="AK13" r:id="rId18" xr:uid="{3D1403E2-32A1-4737-9774-5C35B739230D}"/>
    <hyperlink ref="AK14" r:id="rId19" xr:uid="{99199FE3-8362-4448-B75C-3E30A20B8EB0}"/>
    <hyperlink ref="AK16" r:id="rId20" xr:uid="{5E082A41-0A08-45E0-AF72-C5BF8679B004}"/>
    <hyperlink ref="AK17" r:id="rId21" xr:uid="{89D2D517-F820-4E45-800F-FBF4B4F91E36}"/>
    <hyperlink ref="AK18" r:id="rId22" xr:uid="{930FAB0E-1992-4939-982B-31D1E81736FB}"/>
    <hyperlink ref="AK19" r:id="rId23" xr:uid="{A5D10E23-F07E-4162-B5CD-0FE28EF24E53}"/>
    <hyperlink ref="AK20" r:id="rId24" xr:uid="{24A4755D-9431-4715-A241-B9435DB94494}"/>
    <hyperlink ref="AK21" r:id="rId25" xr:uid="{9E718360-E739-4B5C-89E9-A99DBB1CD58D}"/>
    <hyperlink ref="AK22" r:id="rId26" xr:uid="{3F82875D-27A4-4259-A3FC-B18E59B8C273}"/>
    <hyperlink ref="AK126" r:id="rId27" xr:uid="{A43BC5E9-9D22-44AE-B504-3E8F3FBA4063}"/>
    <hyperlink ref="AK127" r:id="rId28" xr:uid="{6040B047-5171-4AD8-9EC9-9A5BB86C368C}"/>
    <hyperlink ref="AK128" r:id="rId29" xr:uid="{A4E6465A-BCC9-411A-8E7A-45FCC91178AC}"/>
    <hyperlink ref="AK129" r:id="rId30" xr:uid="{D5652E6F-EDE5-48EB-8791-16ED2A335F50}"/>
    <hyperlink ref="AK130" r:id="rId31" xr:uid="{A6C958D4-3C36-4F42-823E-02340758B65D}"/>
    <hyperlink ref="AK131" r:id="rId32" xr:uid="{5789CDCA-EA77-490B-A2FF-87C51817DB9C}"/>
    <hyperlink ref="AK132" r:id="rId33" xr:uid="{1FD0FEF1-5ABE-4F95-A74A-EF9E84963071}"/>
    <hyperlink ref="AK133" r:id="rId34" xr:uid="{A6224B94-7283-49A3-9488-DA6621CC72A4}"/>
    <hyperlink ref="AK134" r:id="rId35" xr:uid="{68099123-5329-4DB4-A858-B8CC5803F809}"/>
    <hyperlink ref="AK83" r:id="rId36" xr:uid="{636B8216-53E6-48C7-ACFC-81ED2A055694}"/>
    <hyperlink ref="AK84" r:id="rId37" xr:uid="{20EFC53F-7083-4377-90FC-1DACE82DB1BE}"/>
    <hyperlink ref="AK86" r:id="rId38" xr:uid="{913B2517-36C4-4125-8C96-DD0EF1B1180A}"/>
    <hyperlink ref="AK87" r:id="rId39" xr:uid="{0EFCCEFC-C87C-4111-BB8B-8F2181671599}"/>
    <hyperlink ref="AK89" r:id="rId40" display="../../../../../:x:/r/sites/Operations/_layouts/15/Doc.aspx?sourcedoc=%7BA1BCDC60-51E5-4071-B270-17B55BED7CE4%7D&amp;file=09)%20Rekap%20KSJ%20Outlet%20-%20Nov%202024.xlsx&amp;action=default&amp;mobileredirect=true" xr:uid="{5FEA191F-B08F-430C-BF0D-A73F45A2C43C}"/>
    <hyperlink ref="AK90" r:id="rId41" display="../../../../../:x:/r/sites/Operations/_layouts/15/Doc.aspx?sourcedoc=%7BA1BCDC60-51E5-4071-B270-17B55BED7CE4%7D&amp;file=09)%20Rekap%20KSJ%20Outlet%20-%20Nov%202024.xlsx&amp;action=default&amp;mobileredirect=true" xr:uid="{3651A581-0913-4FEB-AB5E-C81F56033029}"/>
    <hyperlink ref="AK91" r:id="rId42" display="../../../../../:x:/r/sites/Operations/_layouts/15/Doc.aspx?sourcedoc=%7BA1BCDC60-51E5-4071-B270-17B55BED7CE4%7D&amp;file=09)%20Rekap%20KSJ%20Outlet%20-%20Nov%202024.xlsx&amp;action=default&amp;mobileredirect=true" xr:uid="{CB09E1BA-E4CB-4B67-989B-6F869AAD2724}"/>
    <hyperlink ref="AK92" r:id="rId43" display="../../../../../:x:/r/sites/Operations/_layouts/15/Doc.aspx?sourcedoc=%7BA1BCDC60-51E5-4071-B270-17B55BED7CE4%7D&amp;file=09)%20Rekap%20KSJ%20Outlet%20-%20Nov%202024.xlsx&amp;action=default&amp;mobileredirect=true" xr:uid="{1F776406-22D1-4B09-91DF-94A7C1DA3BF1}"/>
    <hyperlink ref="AK94" r:id="rId44" display="../../../../../:x:/r/sites/Operations/_layouts/15/Doc.aspx?sourcedoc=%7BA1BCDC60-51E5-4071-B270-17B55BED7CE4%7D&amp;file=09)%20Rekap%20KSJ%20Outlet%20-%20Nov%202024.xlsx&amp;action=default&amp;mobileredirect=true" xr:uid="{04CA405E-1382-4626-A898-539736F905FE}"/>
    <hyperlink ref="AK95" r:id="rId45" display="../../../../../:x:/r/sites/Operations/_layouts/15/Doc.aspx?sourcedoc=%7BA1BCDC60-51E5-4071-B270-17B55BED7CE4%7D&amp;file=09)%20Rekap%20KSJ%20Outlet%20-%20Nov%202024.xlsx&amp;action=default&amp;mobileredirect=true" xr:uid="{ADE55E9B-CBAD-4BC1-81E4-6FA81F72370A}"/>
    <hyperlink ref="AK135" r:id="rId46" xr:uid="{740032C0-DCEC-4B30-9A63-00746482BAE2}"/>
    <hyperlink ref="AK36" r:id="rId47" xr:uid="{457880F9-57BC-4464-8EEF-DE56B02E9351}"/>
    <hyperlink ref="AK98" r:id="rId48" xr:uid="{4A19010D-4B84-46B4-925C-D955DFE43B33}"/>
    <hyperlink ref="AK99" r:id="rId49" xr:uid="{306A3032-F040-473D-86EA-E371C6C5FED6}"/>
    <hyperlink ref="AK101" r:id="rId50" xr:uid="{DC91B572-6B27-4D74-84D7-54E46E77AFBD}"/>
    <hyperlink ref="AK102" r:id="rId51" xr:uid="{90224083-A6D4-4A24-B609-59632062406B}"/>
    <hyperlink ref="AK104" r:id="rId52" xr:uid="{A2C4A1EA-F976-41DF-BA7A-1FDD642F5948}"/>
    <hyperlink ref="AK105" r:id="rId53" xr:uid="{120ADB77-A4ED-4E1B-8F35-00EEA78CD6A5}"/>
    <hyperlink ref="AK107" r:id="rId54" display="../../../../../:x:/r/sites/Operations/_layouts/15/Doc.aspx?sourcedoc=%7BAFDA014A-EBE8-499D-ACC8-3A2736450CA7%7D&amp;file=08)%20Rekap%20KSJ%20Outlet%20-%20Oct%202024.xlsx&amp;action=default&amp;mobileredirect=true&amp;DefaultItemOpen=1" xr:uid="{21A60C00-17DE-4D68-8885-54765266F70D}"/>
    <hyperlink ref="AK111" r:id="rId55" xr:uid="{4810FCFD-1431-4B7B-A7FD-F1103A53ABB9}"/>
    <hyperlink ref="AK113" r:id="rId56" xr:uid="{A30B72C7-759A-42CB-BC5A-EA76DD4D1E5F}"/>
    <hyperlink ref="AK115" r:id="rId57" xr:uid="{69C38860-1CA4-465B-BCD4-7075F4472E2F}"/>
    <hyperlink ref="AK455" r:id="rId58" xr:uid="{6682BA01-6103-45BF-A4D4-4EC081E40851}"/>
    <hyperlink ref="AK149" r:id="rId59" xr:uid="{65352D27-43C0-4122-934F-1A15599F28F8}"/>
    <hyperlink ref="AK152" r:id="rId60" xr:uid="{BCD74A8D-0665-4827-8832-AEBBC55A7269}"/>
    <hyperlink ref="AK153" r:id="rId61" xr:uid="{52EF5A26-3ABA-4034-885B-FDD91B797B75}"/>
    <hyperlink ref="AK154" r:id="rId62" xr:uid="{C9E87CF5-6E08-40DE-9313-311E9C132A19}"/>
    <hyperlink ref="AK155" r:id="rId63" xr:uid="{D7FBF688-B3F7-4416-AE91-A6E18FCF248E}"/>
    <hyperlink ref="AK156" r:id="rId64" xr:uid="{61D2C803-8E4D-4EE9-BBC0-055373B9DABF}"/>
    <hyperlink ref="AK157" r:id="rId65" xr:uid="{29128629-4E1D-40D0-B131-3DA7C30E83DB}"/>
    <hyperlink ref="AK144" r:id="rId66" xr:uid="{D1E47285-70BD-48C9-8909-717E08AFAEBE}"/>
    <hyperlink ref="AK158" r:id="rId67" xr:uid="{ABF34F2B-3A98-4D34-97AE-8588A0676279}"/>
    <hyperlink ref="AK159" r:id="rId68" xr:uid="{C174927A-8EFA-4AB5-B997-E28DB0B63B0C}"/>
    <hyperlink ref="AK160" r:id="rId69" xr:uid="{0801C51D-B83E-43D5-98FB-0D25304AB6E5}"/>
    <hyperlink ref="AK161" r:id="rId70" xr:uid="{9BEEF102-F407-4E2B-8F99-C80D730CBFC0}"/>
    <hyperlink ref="AK162" r:id="rId71" xr:uid="{48AFFE1F-127C-46CA-A6F0-B5A535E83FCF}"/>
    <hyperlink ref="AK163" r:id="rId72" xr:uid="{F040AAD5-6FF8-41E4-91B2-44180706EDFE}"/>
    <hyperlink ref="AK166" r:id="rId73" xr:uid="{F9A63975-6532-4466-9F86-44869406CC15}"/>
    <hyperlink ref="AK167" r:id="rId74" xr:uid="{DF46D51A-C5A9-49AB-A87B-F40934BC79FE}"/>
    <hyperlink ref="AK172" r:id="rId75" xr:uid="{ECC41A75-C6D2-4050-873F-B292325DC2B6}"/>
    <hyperlink ref="AK173" r:id="rId76" xr:uid="{9A1BFE2F-5DCC-43C9-8ABA-645664290F76}"/>
    <hyperlink ref="AK174" r:id="rId77" xr:uid="{BF8725D2-71E0-4C6E-B44F-06C5A700CBDD}"/>
    <hyperlink ref="AK175" r:id="rId78" xr:uid="{5379A22F-A3DA-4698-B832-85F4AEBE3B61}"/>
    <hyperlink ref="AK176" r:id="rId79" xr:uid="{7F4067F5-9DD9-49BB-9C44-FD374331A6CC}"/>
    <hyperlink ref="AK177" r:id="rId80" xr:uid="{B8E74983-219B-48ED-8D3D-37ED90A781FC}"/>
    <hyperlink ref="AK178" r:id="rId81" xr:uid="{BAAD9A9D-9335-4DC9-B947-5C42D619321C}"/>
    <hyperlink ref="AK179" r:id="rId82" xr:uid="{306D8891-84C2-41B8-A5C3-9A4048747F35}"/>
    <hyperlink ref="AK181" r:id="rId83" xr:uid="{C96FF9A0-3072-4396-84E5-AB897B296C20}"/>
    <hyperlink ref="AK180" r:id="rId84" xr:uid="{AB2C9AB9-7025-4192-BD5D-189E9D5C9B10}"/>
    <hyperlink ref="AK191" r:id="rId85" xr:uid="{F01591BE-49BE-4DC3-A3CE-C43A2CC4F177}"/>
    <hyperlink ref="AK192" r:id="rId86" xr:uid="{414B2D69-B11D-4925-AAE0-F3EE559350C9}"/>
    <hyperlink ref="AK193" r:id="rId87" xr:uid="{60F697F0-D272-4034-AD9B-18E63B046EAD}"/>
    <hyperlink ref="AK194" r:id="rId88" xr:uid="{1435732D-E4FF-454C-BC78-750BBCEEC380}"/>
    <hyperlink ref="AK195" r:id="rId89" xr:uid="{F77B62C5-75C6-47BB-8CFF-41CA23ED35B7}"/>
    <hyperlink ref="AK196" r:id="rId90" xr:uid="{97378D57-9CBB-45B5-BCB0-1860C7154196}"/>
    <hyperlink ref="AK197" r:id="rId91" xr:uid="{A5011C0E-740E-4DAE-96B9-0E08D7B62B23}"/>
    <hyperlink ref="AK198" r:id="rId92" xr:uid="{B96F3848-1493-4C84-832E-BFAAC44368BB}"/>
    <hyperlink ref="AK200" r:id="rId93" xr:uid="{59771DB6-152A-45FF-A882-BDC773C9F64B}"/>
    <hyperlink ref="AK202" r:id="rId94" xr:uid="{E18E7EBD-F67C-4A1B-8814-E2809531B3E0}"/>
    <hyperlink ref="AK203" r:id="rId95" xr:uid="{03F5CBCC-33A8-4919-BB0D-B65063B4E14D}"/>
    <hyperlink ref="AK204" r:id="rId96" xr:uid="{9719E9FD-9B17-4533-97BB-7E3BAF1B1411}"/>
    <hyperlink ref="AK205" r:id="rId97" xr:uid="{1CEF6751-F8D6-4A4A-A4CA-D40B55832868}"/>
    <hyperlink ref="AK206" r:id="rId98" xr:uid="{9C03D722-9142-4F6B-A7AF-87F2D7DDAC25}"/>
    <hyperlink ref="AK207" r:id="rId99" xr:uid="{0077C7B6-4F59-45DA-8F37-BE1E1D48D0C0}"/>
    <hyperlink ref="AK209" r:id="rId100" xr:uid="{0CA48BB3-6239-4225-B686-A9BD28E1FFFD}"/>
    <hyperlink ref="AK208" r:id="rId101" xr:uid="{4F41CBD4-AAA6-4E9F-A126-D548464563FC}"/>
    <hyperlink ref="AK210" r:id="rId102" xr:uid="{B50B6956-9529-428D-AAAF-CB71261372AA}"/>
    <hyperlink ref="AK211" r:id="rId103" xr:uid="{FB8A3E3B-5C5B-4F92-9DDD-7D09D1A581BA}"/>
    <hyperlink ref="AK212" r:id="rId104" xr:uid="{A79F99AB-B735-412A-85D3-587B9726A6E6}"/>
    <hyperlink ref="AK213" r:id="rId105" xr:uid="{4C41A322-88FD-416C-8870-C0BAB8FF530C}"/>
    <hyperlink ref="AK214" r:id="rId106" xr:uid="{9197B972-1D6D-4C14-BFF1-91AA476192BE}"/>
    <hyperlink ref="AK249" r:id="rId107" xr:uid="{FB6ACE20-75C7-44D1-A581-9E77699A9371}"/>
    <hyperlink ref="AK250" r:id="rId108" xr:uid="{5466849C-668B-4A41-8170-39DCFAEEAECD}"/>
    <hyperlink ref="AK251" r:id="rId109" xr:uid="{A8199F07-F7EE-4982-9A8B-D8BDAF872AB0}"/>
    <hyperlink ref="AK252" r:id="rId110" xr:uid="{CFC5FA7F-EB66-4F9D-A87D-4AB8F5FB6DB2}"/>
    <hyperlink ref="AK253" r:id="rId111" xr:uid="{B171D411-E4FF-462D-9D62-5EACDA39F087}"/>
    <hyperlink ref="AK254" r:id="rId112" xr:uid="{2D1B1B3C-E984-4C0A-8212-8C7E36C7551B}"/>
    <hyperlink ref="AK255" r:id="rId113" xr:uid="{8919DCD8-74B7-4104-8FCD-C7EF9FFEA068}"/>
    <hyperlink ref="AK257" r:id="rId114" xr:uid="{EBCF9406-B3EC-4D59-BA83-9AA2406F6B19}"/>
    <hyperlink ref="AK258" r:id="rId115" xr:uid="{D9C72F9C-F7FF-4101-A518-FBF8565C351A}"/>
    <hyperlink ref="AK262" r:id="rId116" xr:uid="{A11207FB-AA40-4D1F-87F3-9F0B399B2EFA}"/>
    <hyperlink ref="AK263" r:id="rId117" xr:uid="{F08F197F-A23A-49A7-A2DD-372EC25910AC}"/>
    <hyperlink ref="AK264" r:id="rId118" xr:uid="{519009FE-CFF2-4E16-A139-95623CD8F0AF}"/>
    <hyperlink ref="AK265" r:id="rId119" xr:uid="{CF9F8D57-9698-45A5-9C24-183A642AEA8F}"/>
    <hyperlink ref="AK266" r:id="rId120" xr:uid="{B3D40D85-17D4-4FE4-965F-EA9C04E3FC0C}"/>
    <hyperlink ref="AK267" r:id="rId121" xr:uid="{BA8873BE-E4DE-483C-A5A9-E3956D0B4C6D}"/>
    <hyperlink ref="AK269" r:id="rId122" xr:uid="{D521DD89-3411-47AB-97E2-0D764A1CA0A4}"/>
    <hyperlink ref="AK271" r:id="rId123" xr:uid="{8F7B39C2-4846-44CC-A239-71A7EAEB620C}"/>
    <hyperlink ref="AK272" r:id="rId124" xr:uid="{E0DBE69D-5D56-41E7-8A1F-B3119F87BA52}"/>
    <hyperlink ref="AK273" r:id="rId125" xr:uid="{CEA03724-FD71-408F-887A-D1AB51E51ACB}"/>
    <hyperlink ref="AK274" r:id="rId126" xr:uid="{E2D54C59-6613-4408-9FED-90A666355154}"/>
    <hyperlink ref="AK275" r:id="rId127" xr:uid="{5E5A5F03-885F-42ED-993E-EA7339686BCA}"/>
    <hyperlink ref="AK281" r:id="rId128" xr:uid="{81BC0791-72F9-4199-8C06-45D33522CDED}"/>
    <hyperlink ref="AK282" r:id="rId129" xr:uid="{65C3727D-A558-40A3-94C8-3C4A1484E8A1}"/>
    <hyperlink ref="AK283" r:id="rId130" xr:uid="{E7C368C7-7A1C-4912-9590-BEB103F73046}"/>
    <hyperlink ref="AK284" r:id="rId131" xr:uid="{0C269AAD-9256-4615-8787-E9E618E5A5C0}"/>
    <hyperlink ref="AK285" r:id="rId132" xr:uid="{9525B1ED-3C7E-4A40-AF9F-232CBC1FC36F}"/>
    <hyperlink ref="AK286" r:id="rId133" xr:uid="{2038654B-CBE9-4C7F-B302-5BA5E66142AE}"/>
    <hyperlink ref="AK287" r:id="rId134" xr:uid="{95F5977F-620F-4D2D-88B6-4F1202B74D2F}"/>
    <hyperlink ref="AK291" r:id="rId135" xr:uid="{26D4ECB6-AC1E-41A5-BF87-4AD2A03755D4}"/>
    <hyperlink ref="AK292" r:id="rId136" xr:uid="{9AD64DCC-DCD8-46A9-939E-7BAEB0A119EA}"/>
    <hyperlink ref="AK293" r:id="rId137" xr:uid="{37D33324-CD1B-4601-958A-42D872137059}"/>
    <hyperlink ref="AK294" r:id="rId138" xr:uid="{7FD8BD9F-7607-40B5-A991-B82938E51589}"/>
    <hyperlink ref="AK295" r:id="rId139" xr:uid="{9B437A7B-D046-4494-9CBE-E956296AEB71}"/>
    <hyperlink ref="AK296" r:id="rId140" xr:uid="{FE07C188-C571-4727-98A3-892DF4E78DC0}"/>
    <hyperlink ref="AK297" r:id="rId141" xr:uid="{5CADE21B-6D66-40B7-A662-A028B7C247E0}"/>
    <hyperlink ref="AK301" r:id="rId142" xr:uid="{61044E10-E0DF-42A0-8E11-89CD91537FED}"/>
    <hyperlink ref="AK302" r:id="rId143" xr:uid="{FF00F368-29AF-47DF-935E-4CEFC0391699}"/>
    <hyperlink ref="AK303" r:id="rId144" xr:uid="{08E7FE9B-67DE-4963-87A0-F7FE4BC54E47}"/>
    <hyperlink ref="AK304" r:id="rId145" xr:uid="{E6BC4617-66BF-4116-BBCE-76775D966342}"/>
    <hyperlink ref="AK305" r:id="rId146" xr:uid="{6F94B818-3191-480C-8115-0C8A77A75207}"/>
    <hyperlink ref="AK306" r:id="rId147" xr:uid="{8858AB4A-FF4D-4800-8BD3-315215866A64}"/>
    <hyperlink ref="AK307" r:id="rId148" xr:uid="{50F52E35-7D73-4526-B161-6A39D02400F0}"/>
    <hyperlink ref="AK308" r:id="rId149" xr:uid="{F5C2FE18-15DB-4878-A7B8-230634D59853}"/>
    <hyperlink ref="AK319" r:id="rId150" xr:uid="{59B10EE5-1331-4494-88BC-425A6C76287D}"/>
    <hyperlink ref="AK321" r:id="rId151" xr:uid="{BB82B173-242A-4A3E-AEEE-67BA1FA9B715}"/>
    <hyperlink ref="AK323" r:id="rId152" xr:uid="{41E7B321-F4CD-4953-972C-8A5F37D63491}"/>
    <hyperlink ref="AK324" r:id="rId153" xr:uid="{363F9C5B-36ED-42D5-ACC7-C34F84CF94FE}"/>
    <hyperlink ref="AK325" r:id="rId154" xr:uid="{701E8C48-9EF3-41F9-8E78-E9F0780424A0}"/>
    <hyperlink ref="AK326" r:id="rId155" xr:uid="{37EF5444-5222-45EF-AD7C-76B7366E7DF4}"/>
    <hyperlink ref="AK327" r:id="rId156" xr:uid="{4D973A95-DCD1-4B1A-9BF8-BAFE179AB366}"/>
    <hyperlink ref="AK328" r:id="rId157" xr:uid="{26B373BA-4D66-4F2B-A2A4-3215F51AACB8}"/>
    <hyperlink ref="AK341" r:id="rId158" xr:uid="{90890A78-8E8D-43A1-8CF6-5A060350D137}"/>
    <hyperlink ref="AK342" r:id="rId159" xr:uid="{D785BB2B-E89B-4229-BA96-219C2AC5D67D}"/>
    <hyperlink ref="AK343" r:id="rId160" xr:uid="{D7475715-2084-4053-B576-673024ABDB7D}"/>
    <hyperlink ref="AK344" r:id="rId161" xr:uid="{DE34C165-CE91-4BE2-8270-700C0E3C9DC5}"/>
    <hyperlink ref="AK345" r:id="rId162" xr:uid="{BAED7175-2438-4ABB-BE58-EDFA41B53178}"/>
    <hyperlink ref="AK346" r:id="rId163" xr:uid="{D7B70EDC-620E-44D5-B4BF-60923BD07B8B}"/>
    <hyperlink ref="AK347" r:id="rId164" xr:uid="{C87B8FDE-144F-45E8-A53C-58220E7EC57C}"/>
    <hyperlink ref="AK355" r:id="rId165" xr:uid="{1D405688-0DEC-4086-94CA-3073D0164B81}"/>
    <hyperlink ref="AK356" r:id="rId166" xr:uid="{E98DB26F-BE35-410B-8C14-B167AE33D184}"/>
    <hyperlink ref="AK357" r:id="rId167" xr:uid="{BB0D07BA-40C5-40BB-A42A-05CE91AE67EE}"/>
    <hyperlink ref="AK358" r:id="rId168" xr:uid="{9E0B5AE8-89E9-4456-BE70-59A65F98F3D4}"/>
    <hyperlink ref="AK359" r:id="rId169" xr:uid="{124CE06A-90CC-48EF-9E07-3F29242928C3}"/>
    <hyperlink ref="AK360" r:id="rId170" xr:uid="{B8CDC79E-1ED8-437E-B450-C681917A6DA9}"/>
    <hyperlink ref="AK361" r:id="rId171" xr:uid="{6DFE3142-27E7-4568-B82C-09192AB437F9}"/>
    <hyperlink ref="AK718" r:id="rId172" xr:uid="{48A38C22-45D6-4480-9ABA-5BCC7F281C64}"/>
    <hyperlink ref="AK717" r:id="rId173" xr:uid="{D90EA3EF-81E0-48E0-B0D4-AEFB7D5E6E73}"/>
  </hyperlinks>
  <pageMargins left="0.7" right="0.7" top="0.75" bottom="0.75" header="0.3" footer="0.3"/>
  <legacyDrawing r:id="rId174"/>
  <tableParts count="1">
    <tablePart r:id="rId17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3A22-45A7-D243-BA28-6DD4F3DC3C0A}">
  <dimension ref="A2:AL131"/>
  <sheetViews>
    <sheetView workbookViewId="0">
      <selection activeCell="A11" sqref="A11"/>
    </sheetView>
  </sheetViews>
  <sheetFormatPr defaultColWidth="11.42578125" defaultRowHeight="15"/>
  <cols>
    <col min="1" max="1" width="2.7109375" customWidth="1"/>
    <col min="2" max="2" width="9.28515625" customWidth="1"/>
    <col min="3" max="3" width="15.42578125" bestFit="1" customWidth="1"/>
    <col min="4" max="4" width="16.85546875" customWidth="1"/>
    <col min="5" max="5" width="12" customWidth="1"/>
    <col min="6" max="6" width="11.7109375" customWidth="1"/>
    <col min="7" max="7" width="13.42578125" style="1" customWidth="1"/>
    <col min="8" max="8" width="7.28515625" style="1" customWidth="1"/>
    <col min="9" max="9" width="11.7109375" customWidth="1"/>
    <col min="10" max="10" width="7.7109375" customWidth="1"/>
    <col min="11" max="11" width="19.140625" customWidth="1"/>
    <col min="12" max="12" width="19.140625" style="1" customWidth="1"/>
    <col min="13" max="13" width="18.42578125" style="1" customWidth="1"/>
    <col min="14" max="14" width="33.28515625" style="1" customWidth="1"/>
    <col min="15" max="15" width="22.140625" style="1" customWidth="1"/>
    <col min="16" max="16" width="21.28515625" style="1" customWidth="1"/>
    <col min="17" max="17" width="21.7109375" style="1" customWidth="1"/>
    <col min="18" max="18" width="19.28515625" style="1" customWidth="1"/>
    <col min="19" max="19" width="16.85546875" style="1" customWidth="1"/>
    <col min="20" max="20" width="25.42578125" style="1" customWidth="1"/>
    <col min="21" max="21" width="24" style="1" customWidth="1"/>
    <col min="22" max="22" width="15.7109375" style="1" customWidth="1"/>
    <col min="23" max="23" width="22.28515625" style="1" customWidth="1"/>
    <col min="24" max="24" width="18.28515625" style="1" customWidth="1"/>
    <col min="25" max="25" width="17" style="1" customWidth="1"/>
    <col min="26" max="26" width="13.7109375" style="1" customWidth="1"/>
    <col min="27" max="27" width="12.28515625" bestFit="1" customWidth="1"/>
    <col min="28" max="28" width="13.28515625" bestFit="1" customWidth="1"/>
    <col min="29" max="29" width="19.28515625" style="27" bestFit="1" customWidth="1"/>
    <col min="30" max="30" width="16.28515625" style="27" bestFit="1" customWidth="1"/>
    <col min="31" max="31" width="22.42578125" bestFit="1" customWidth="1"/>
    <col min="32" max="32" width="29.7109375" bestFit="1" customWidth="1"/>
    <col min="34" max="34" width="14" bestFit="1" customWidth="1"/>
    <col min="35" max="35" width="11.85546875" customWidth="1"/>
    <col min="36" max="36" width="12.85546875" customWidth="1"/>
  </cols>
  <sheetData>
    <row r="2" spans="1:38" s="52" customFormat="1" ht="51">
      <c r="B2" s="87" t="s">
        <v>104</v>
      </c>
      <c r="C2" s="87" t="s">
        <v>102</v>
      </c>
      <c r="D2" s="87" t="s">
        <v>3</v>
      </c>
      <c r="E2" s="87" t="s">
        <v>237</v>
      </c>
      <c r="F2" s="87" t="s">
        <v>106</v>
      </c>
      <c r="G2" s="87" t="s">
        <v>100</v>
      </c>
      <c r="H2" s="87" t="s">
        <v>238</v>
      </c>
      <c r="I2" s="87" t="s">
        <v>0</v>
      </c>
      <c r="J2" s="87" t="s">
        <v>239</v>
      </c>
      <c r="K2" s="87" t="s">
        <v>240</v>
      </c>
      <c r="L2" s="96" t="s">
        <v>5</v>
      </c>
      <c r="M2" s="97" t="s">
        <v>6</v>
      </c>
      <c r="N2" s="98" t="s">
        <v>419</v>
      </c>
      <c r="O2" s="99" t="s">
        <v>8</v>
      </c>
      <c r="P2" s="99" t="s">
        <v>9</v>
      </c>
      <c r="Q2" s="99" t="s">
        <v>10</v>
      </c>
      <c r="R2" s="99" t="s">
        <v>11</v>
      </c>
      <c r="S2" s="99" t="s">
        <v>244</v>
      </c>
      <c r="T2" s="99" t="s">
        <v>12</v>
      </c>
      <c r="U2" s="99" t="s">
        <v>13</v>
      </c>
      <c r="V2" s="99" t="s">
        <v>48</v>
      </c>
      <c r="W2" s="100" t="s">
        <v>14</v>
      </c>
      <c r="X2" s="100" t="s">
        <v>15</v>
      </c>
      <c r="Y2" s="100" t="s">
        <v>16</v>
      </c>
      <c r="Z2" s="100" t="s">
        <v>17</v>
      </c>
      <c r="AA2" s="101" t="s">
        <v>18</v>
      </c>
      <c r="AB2" s="102" t="s">
        <v>251</v>
      </c>
      <c r="AC2" s="102" t="s">
        <v>252</v>
      </c>
      <c r="AD2" s="103" t="s">
        <v>253</v>
      </c>
      <c r="AE2" s="103" t="s">
        <v>254</v>
      </c>
      <c r="AF2" s="87" t="s">
        <v>255</v>
      </c>
      <c r="AI2" s="53" t="s">
        <v>19</v>
      </c>
      <c r="AJ2" s="53" t="s">
        <v>20</v>
      </c>
      <c r="AK2" s="24" t="s">
        <v>420</v>
      </c>
      <c r="AL2" s="24"/>
    </row>
    <row r="3" spans="1:38">
      <c r="B3">
        <v>2025</v>
      </c>
      <c r="C3" t="s">
        <v>27</v>
      </c>
      <c r="D3" t="s">
        <v>27</v>
      </c>
      <c r="E3" t="s">
        <v>169</v>
      </c>
      <c r="F3" t="s">
        <v>28</v>
      </c>
      <c r="G3" t="s">
        <v>28</v>
      </c>
      <c r="H3">
        <v>5</v>
      </c>
      <c r="I3" t="s">
        <v>158</v>
      </c>
      <c r="J3" t="s">
        <v>275</v>
      </c>
      <c r="K3" t="s">
        <v>293</v>
      </c>
      <c r="L3" s="1">
        <v>3</v>
      </c>
      <c r="M3" s="1">
        <v>315</v>
      </c>
      <c r="N3" s="1">
        <v>2756000</v>
      </c>
      <c r="O3" s="1">
        <f>Table2[[#This Row],[Total Cups Sold]]*1000</f>
        <v>315000</v>
      </c>
      <c r="P3" s="1">
        <v>400000</v>
      </c>
      <c r="T3" s="1">
        <v>699300</v>
      </c>
      <c r="U3" s="1">
        <f>SUM(Table2[[#This Row],[Total Selling Comission/Sales (Weekly)]:[Total Cost Molis (Weekly)]])</f>
        <v>1414300</v>
      </c>
      <c r="W3" s="1">
        <f>Table2[[#This Row],[Total Selling]]*30%</f>
        <v>826800</v>
      </c>
      <c r="AA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-1286800</v>
      </c>
      <c r="AB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111800</v>
      </c>
      <c r="AC3" s="27">
        <f>IFERROR(Table2[[#This Row],[Delivery PV]]/(Table2[[#This Row],[Total Sharing % (Weekly)]]+Table2[[#This Row],[Rider Penalty (Denda to Riders)]]),0)</f>
        <v>0.13522012578616352</v>
      </c>
      <c r="AD3" s="28">
        <f>SUM(Table2[[#This Row],[Total Potongan Moils (Weekly) ]:[Total Subsidi Molis KSJ (Monthly)]])-Table2[[#This Row],[Total Cost Molis (Weekly)]]</f>
        <v>-699300</v>
      </c>
      <c r="AE3" s="27">
        <f>IFERROR(Table2[[#This Row],[EV Related PV]]/(Table2[[#This Row],[Total Potongan Moils (Weekly) ]]+Table2[[#This Row],[Total Subsidi Molis KSJ (Monthly)]]),-1)</f>
        <v>-1</v>
      </c>
      <c r="AG3" s="27"/>
      <c r="AI3" t="s">
        <v>23</v>
      </c>
      <c r="AJ3" t="s">
        <v>25</v>
      </c>
      <c r="AK3" t="s">
        <v>166</v>
      </c>
      <c r="AL3" cm="1">
        <f t="array" ref="AL3">COUNTA(_xlfn.UNIQUE(_xlfn._xlws.FILTER(Table2[Project],(Table2[Month]="December") * (Table2[Total Cups Sold]&gt;0))))</f>
        <v>1</v>
      </c>
    </row>
    <row r="4" spans="1:38">
      <c r="B4">
        <v>2025</v>
      </c>
      <c r="C4" t="s">
        <v>29</v>
      </c>
      <c r="D4" t="s">
        <v>29</v>
      </c>
      <c r="E4" t="s">
        <v>169</v>
      </c>
      <c r="F4" t="s">
        <v>28</v>
      </c>
      <c r="G4" t="s">
        <v>28</v>
      </c>
      <c r="H4">
        <v>5</v>
      </c>
      <c r="I4" t="s">
        <v>158</v>
      </c>
      <c r="J4" t="s">
        <v>275</v>
      </c>
      <c r="K4" t="s">
        <v>293</v>
      </c>
      <c r="L4" s="1">
        <v>6</v>
      </c>
      <c r="M4" s="1">
        <v>275</v>
      </c>
      <c r="N4" s="1">
        <v>2562000</v>
      </c>
      <c r="O4" s="1">
        <f>Table2[[#This Row],[Total Cups Sold]]*1000</f>
        <v>275000</v>
      </c>
      <c r="P4" s="1">
        <v>500000</v>
      </c>
      <c r="T4" s="1">
        <v>1065600</v>
      </c>
      <c r="U4" s="1">
        <f>SUM(Table2[[#This Row],[Total Selling Comission/Sales (Weekly)]:[Manpower (Korlap)]])</f>
        <v>775000</v>
      </c>
      <c r="W4" s="1">
        <f>Table2[[#This Row],[Total Selling]]*23%</f>
        <v>589260</v>
      </c>
      <c r="AA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-1251340</v>
      </c>
      <c r="AB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-185740</v>
      </c>
      <c r="AC4" s="27">
        <f>IFERROR(Table2[[#This Row],[Delivery PV]]/(Table2[[#This Row],[Total Sharing % (Weekly)]]+Table2[[#This Row],[Rider Penalty (Denda to Riders)]]),0)</f>
        <v>-0.31520890608559887</v>
      </c>
      <c r="AD4" s="28">
        <f>SUM(Table2[[#This Row],[Total Potongan Moils (Weekly) ]:[Total Subsidi Molis KSJ (Monthly)]])-Table2[[#This Row],[Total Cost Molis (Weekly)]]</f>
        <v>-1065600</v>
      </c>
      <c r="AE4" s="27">
        <f>IFERROR(Table2[[#This Row],[EV Related PV]]/(Table2[[#This Row],[Total Potongan Moils (Weekly) ]]+Table2[[#This Row],[Total Subsidi Molis KSJ (Monthly)]]),-1)</f>
        <v>-1</v>
      </c>
      <c r="AG4" s="27"/>
      <c r="AI4" t="s">
        <v>27</v>
      </c>
      <c r="AJ4" t="s">
        <v>28</v>
      </c>
      <c r="AK4" t="s">
        <v>21</v>
      </c>
      <c r="AL4" cm="1">
        <f t="array" ref="AL4">COUNTA(_xlfn.UNIQUE(_xlfn._xlws.FILTER(Table2[Project],(Table2[Month]="January") * (Table2[Total Cups Sold]&gt;0))))</f>
        <v>7</v>
      </c>
    </row>
    <row r="5" spans="1:38" ht="15.95">
      <c r="B5">
        <v>2025</v>
      </c>
      <c r="C5" t="s">
        <v>34</v>
      </c>
      <c r="D5" t="s">
        <v>34</v>
      </c>
      <c r="E5" t="s">
        <v>169</v>
      </c>
      <c r="F5" t="s">
        <v>28</v>
      </c>
      <c r="G5" t="s">
        <v>28</v>
      </c>
      <c r="H5">
        <v>5</v>
      </c>
      <c r="I5" t="s">
        <v>158</v>
      </c>
      <c r="J5" t="s">
        <v>275</v>
      </c>
      <c r="K5" t="s">
        <v>293</v>
      </c>
      <c r="L5" s="1">
        <v>4</v>
      </c>
      <c r="M5" s="1">
        <v>224</v>
      </c>
      <c r="N5" s="1">
        <v>1811000</v>
      </c>
      <c r="O5" s="1">
        <f>Table2[[#This Row],[Total Cups Sold]]*1000</f>
        <v>224000</v>
      </c>
      <c r="P5" s="1">
        <v>400000</v>
      </c>
      <c r="T5" s="1">
        <v>732600</v>
      </c>
      <c r="U5" s="1">
        <f>SUM(Table2[[#This Row],[Total Selling Comission/Sales (Weekly)]:[Manpower (Korlap)]])</f>
        <v>624000</v>
      </c>
      <c r="W5" s="1">
        <f>Table2[[#This Row],[Total Selling]]*35%</f>
        <v>633850</v>
      </c>
      <c r="AA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-722750</v>
      </c>
      <c r="AB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9850</v>
      </c>
      <c r="AC5" s="27">
        <f>IFERROR(Table2[[#This Row],[Delivery PV]]/(Table2[[#This Row],[Total Sharing % (Weekly)]]+Table2[[#This Row],[Rider Penalty (Denda to Riders)]]),0)</f>
        <v>1.5539954247850438E-2</v>
      </c>
      <c r="AD5" s="28">
        <f>SUM(Table2[[#This Row],[Total Potongan Moils (Weekly) ]:[Total Subsidi Molis KSJ (Monthly)]])-Table2[[#This Row],[Total Cost Molis (Weekly)]]</f>
        <v>-732600</v>
      </c>
      <c r="AE5" s="27">
        <f>IFERROR(Table2[[#This Row],[EV Related PV]]/(Table2[[#This Row],[Total Potongan Moils (Weekly) ]]+Table2[[#This Row],[Total Subsidi Molis KSJ (Monthly)]]),-1)</f>
        <v>-1</v>
      </c>
      <c r="AG5" s="27"/>
      <c r="AI5" t="s">
        <v>29</v>
      </c>
      <c r="AJ5" t="s">
        <v>31</v>
      </c>
      <c r="AK5" s="24" t="s">
        <v>158</v>
      </c>
      <c r="AL5" cm="1">
        <f t="array" ref="AL5">COUNTA(_xlfn.UNIQUE(_xlfn._xlws.FILTER(Table2[Project],(Table2[Month]="February") * (Table2[Total Cups Sold]&gt;0))))</f>
        <v>8</v>
      </c>
    </row>
    <row r="6" spans="1:38">
      <c r="B6">
        <v>2025</v>
      </c>
      <c r="C6" t="s">
        <v>201</v>
      </c>
      <c r="D6" t="s">
        <v>201</v>
      </c>
      <c r="E6" t="s">
        <v>169</v>
      </c>
      <c r="F6" t="s">
        <v>28</v>
      </c>
      <c r="G6" t="s">
        <v>28</v>
      </c>
      <c r="H6">
        <v>5</v>
      </c>
      <c r="I6" t="s">
        <v>158</v>
      </c>
      <c r="J6" t="s">
        <v>275</v>
      </c>
      <c r="K6" t="s">
        <v>293</v>
      </c>
      <c r="L6" s="1">
        <v>5</v>
      </c>
      <c r="M6" s="1">
        <v>207</v>
      </c>
      <c r="N6" s="1">
        <v>2456000</v>
      </c>
      <c r="O6" s="1">
        <f>Table2[[#This Row],[Total Cups Sold]]*1000</f>
        <v>207000</v>
      </c>
      <c r="P6" s="1">
        <v>475000</v>
      </c>
      <c r="T6" s="1">
        <v>1165500</v>
      </c>
      <c r="U6" s="1">
        <f>SUM(Table2[[#This Row],[Total Selling Comission/Sales (Weekly)]:[Manpower (Korlap)]])</f>
        <v>682000</v>
      </c>
      <c r="W6" s="1">
        <f>Table2[[#This Row],[Total Selling]]*30%</f>
        <v>736800</v>
      </c>
      <c r="AA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-1110700</v>
      </c>
      <c r="AB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54800</v>
      </c>
      <c r="AC6" s="27">
        <f>IFERROR(Table2[[#This Row],[Delivery PV]]/(Table2[[#This Row],[Total Sharing % (Weekly)]]+Table2[[#This Row],[Rider Penalty (Denda to Riders)]]),0)</f>
        <v>7.4375678610206303E-2</v>
      </c>
      <c r="AD6" s="28">
        <f>SUM(Table2[[#This Row],[Total Potongan Moils (Weekly) ]:[Total Subsidi Molis KSJ (Monthly)]])-Table2[[#This Row],[Total Cost Molis (Weekly)]]</f>
        <v>-1165500</v>
      </c>
      <c r="AE6" s="27">
        <f>IFERROR(Table2[[#This Row],[EV Related PV]]/(Table2[[#This Row],[Total Potongan Moils (Weekly) ]]+Table2[[#This Row],[Total Subsidi Molis KSJ (Monthly)]]),-1)</f>
        <v>-1</v>
      </c>
      <c r="AG6" s="27"/>
      <c r="AI6" t="s">
        <v>34</v>
      </c>
      <c r="AJ6" t="s">
        <v>24</v>
      </c>
      <c r="AK6" t="s">
        <v>159</v>
      </c>
      <c r="AL6" cm="1">
        <f t="array" ref="AL6">COUNTA(_xlfn.UNIQUE(_xlfn._xlws.FILTER(Table2[Project],(Table2[Month]="March") * (Table2[Total Cups Sold]&gt;0))))</f>
        <v>1</v>
      </c>
    </row>
    <row r="7" spans="1:38">
      <c r="B7">
        <v>2025</v>
      </c>
      <c r="C7" t="s">
        <v>200</v>
      </c>
      <c r="D7" t="s">
        <v>200</v>
      </c>
      <c r="E7" t="s">
        <v>169</v>
      </c>
      <c r="F7" t="s">
        <v>28</v>
      </c>
      <c r="G7" t="s">
        <v>28</v>
      </c>
      <c r="H7">
        <v>5</v>
      </c>
      <c r="I7" t="s">
        <v>158</v>
      </c>
      <c r="J7" t="s">
        <v>275</v>
      </c>
      <c r="K7" t="s">
        <v>293</v>
      </c>
      <c r="L7" s="1">
        <v>1</v>
      </c>
      <c r="M7" s="1">
        <v>49</v>
      </c>
      <c r="N7" s="1">
        <v>536000</v>
      </c>
      <c r="O7" s="1">
        <v>49000</v>
      </c>
      <c r="P7" s="1">
        <v>125000</v>
      </c>
      <c r="T7" s="1">
        <v>233100</v>
      </c>
      <c r="U7" s="1">
        <f>SUM(Table2[[#This Row],[Total Selling Comission/Sales (Weekly)]:[Manpower (Korlap)]])</f>
        <v>174000</v>
      </c>
      <c r="W7" s="1">
        <f>Table2[[#This Row],[Total Selling]]*23%</f>
        <v>123280</v>
      </c>
      <c r="AA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-283820</v>
      </c>
      <c r="AB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-50720</v>
      </c>
      <c r="AC7" s="27">
        <f>IFERROR(Table2[[#This Row],[Delivery PV]]/(Table2[[#This Row],[Total Sharing % (Weekly)]]+Table2[[#This Row],[Rider Penalty (Denda to Riders)]]),0)</f>
        <v>-0.41142115509409477</v>
      </c>
      <c r="AD7" s="28">
        <f>SUM(Table2[[#This Row],[Total Potongan Moils (Weekly) ]:[Total Subsidi Molis KSJ (Monthly)]])-Table2[[#This Row],[Total Cost Molis (Weekly)]]</f>
        <v>-233100</v>
      </c>
      <c r="AE7" s="27">
        <f>IFERROR(Table2[[#This Row],[EV Related PV]]/(Table2[[#This Row],[Total Potongan Moils (Weekly) ]]+Table2[[#This Row],[Total Subsidi Molis KSJ (Monthly)]]),-1)</f>
        <v>-1</v>
      </c>
      <c r="AG7" s="27"/>
      <c r="AI7" t="s">
        <v>33</v>
      </c>
      <c r="AJ7" t="s">
        <v>282</v>
      </c>
      <c r="AK7" t="s">
        <v>160</v>
      </c>
      <c r="AL7" cm="1">
        <f t="array" ref="AL7">COUNTA(_xlfn.UNIQUE(_xlfn._xlws.FILTER(Table2[Project],(Table2[Month]="April") * (Table2[Total Cups Sold]&gt;0))))</f>
        <v>1</v>
      </c>
    </row>
    <row r="8" spans="1:38">
      <c r="B8">
        <v>2025</v>
      </c>
      <c r="C8" t="s">
        <v>33</v>
      </c>
      <c r="D8" t="s">
        <v>33</v>
      </c>
      <c r="E8" t="s">
        <v>169</v>
      </c>
      <c r="F8" t="s">
        <v>28</v>
      </c>
      <c r="G8" t="s">
        <v>28</v>
      </c>
      <c r="H8">
        <v>5</v>
      </c>
      <c r="I8" t="s">
        <v>158</v>
      </c>
      <c r="J8" t="s">
        <v>275</v>
      </c>
      <c r="K8" t="s">
        <v>293</v>
      </c>
      <c r="L8" s="1">
        <v>1</v>
      </c>
      <c r="M8" s="1">
        <v>33</v>
      </c>
      <c r="O8" s="1">
        <v>33000</v>
      </c>
      <c r="P8" s="1">
        <v>125000</v>
      </c>
      <c r="T8" s="1">
        <v>233100</v>
      </c>
      <c r="U8" s="1">
        <f>SUM(Table2[[#This Row],[Total Selling Comission/Sales (Weekly)]:[Manpower (Korlap)]])</f>
        <v>158000</v>
      </c>
      <c r="W8" s="1">
        <f>Table2[[#This Row],[Total Selling]]*23%</f>
        <v>0</v>
      </c>
      <c r="AA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-391100</v>
      </c>
      <c r="AB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-158000</v>
      </c>
      <c r="AC8" s="27">
        <f>IFERROR(Table2[[#This Row],[Delivery PV]]/(Table2[[#This Row],[Total Sharing % (Weekly)]]+Table2[[#This Row],[Rider Penalty (Denda to Riders)]]),0)</f>
        <v>0</v>
      </c>
      <c r="AD8" s="28">
        <f>SUM(Table2[[#This Row],[Total Potongan Moils (Weekly) ]:[Total Subsidi Molis KSJ (Monthly)]])-Table2[[#This Row],[Total Cost Molis (Weekly)]]</f>
        <v>-233100</v>
      </c>
      <c r="AE8" s="27">
        <f>IFERROR(Table2[[#This Row],[EV Related PV]]/(Table2[[#This Row],[Total Potongan Moils (Weekly) ]]+Table2[[#This Row],[Total Subsidi Molis KSJ (Monthly)]]),-1)</f>
        <v>-1</v>
      </c>
      <c r="AG8" s="27"/>
      <c r="AI8" t="s">
        <v>200</v>
      </c>
    </row>
    <row r="9" spans="1:38">
      <c r="B9">
        <v>2025</v>
      </c>
      <c r="C9" t="s">
        <v>23</v>
      </c>
      <c r="D9" t="s">
        <v>23</v>
      </c>
      <c r="E9" t="s">
        <v>168</v>
      </c>
      <c r="F9" t="s">
        <v>28</v>
      </c>
      <c r="G9" t="s">
        <v>25</v>
      </c>
      <c r="H9">
        <v>6</v>
      </c>
      <c r="I9" t="s">
        <v>158</v>
      </c>
      <c r="J9" t="s">
        <v>256</v>
      </c>
      <c r="K9" t="s">
        <v>289</v>
      </c>
      <c r="L9" s="1">
        <v>270</v>
      </c>
      <c r="M9" s="1">
        <v>79559</v>
      </c>
      <c r="N9" s="1">
        <v>698169000</v>
      </c>
      <c r="O9" s="1">
        <v>79455500</v>
      </c>
      <c r="P9" s="1">
        <v>59625000</v>
      </c>
      <c r="T9" s="1">
        <v>66150000</v>
      </c>
      <c r="U9" s="1">
        <f>SUM(Table2[[#This Row],[Total Selling Comission/Sales (Weekly)]:[Manpower (Korlap)]])</f>
        <v>139080500</v>
      </c>
      <c r="V9" s="42">
        <v>2620000</v>
      </c>
      <c r="W9" s="1">
        <f>Table2[[#This Row],[Total Selling]]*23%</f>
        <v>160578870</v>
      </c>
      <c r="Y9" s="1">
        <v>32688000</v>
      </c>
      <c r="Z9" s="1">
        <v>35856000</v>
      </c>
      <c r="AA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21272370</v>
      </c>
      <c r="AB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21498370</v>
      </c>
      <c r="AC9" s="13">
        <f>IFERROR(Table2[[#This Row],[Delivery PV]]/(Table2[[#This Row],[Total Sharing % (Weekly)]]+Table2[[#This Row],[Rider Penalty (Denda to Riders)]]),0)</f>
        <v>0.13388044143043229</v>
      </c>
      <c r="AD9" s="28">
        <f>SUM(Table2[[#This Row],[Total Potongan Moils (Weekly) ]:[Total Subsidi Molis KSJ (Monthly)]])-Table2[[#This Row],[Total Cost Molis (Weekly)]]</f>
        <v>2394000</v>
      </c>
      <c r="AE9" s="27">
        <f>IFERROR(Table2[[#This Row],[EV Related PV]]/(Table2[[#This Row],[Total Potongan Moils (Weekly) ]]+Table2[[#This Row],[Total Subsidi Molis KSJ (Monthly)]]),-1)</f>
        <v>3.4926470588235295E-2</v>
      </c>
      <c r="AG9" s="27"/>
      <c r="AI9" t="s">
        <v>201</v>
      </c>
    </row>
    <row r="10" spans="1:38">
      <c r="B10">
        <v>2025</v>
      </c>
      <c r="C10" t="s">
        <v>23</v>
      </c>
      <c r="D10" t="s">
        <v>23</v>
      </c>
      <c r="E10" t="s">
        <v>168</v>
      </c>
      <c r="F10" t="s">
        <v>28</v>
      </c>
      <c r="G10" t="s">
        <v>31</v>
      </c>
      <c r="H10">
        <v>6</v>
      </c>
      <c r="I10" t="s">
        <v>158</v>
      </c>
      <c r="J10" t="s">
        <v>256</v>
      </c>
      <c r="K10" t="s">
        <v>289</v>
      </c>
      <c r="L10" s="1">
        <v>32</v>
      </c>
      <c r="M10" s="1">
        <v>9742</v>
      </c>
      <c r="N10" s="1">
        <v>86493000</v>
      </c>
      <c r="O10" s="1">
        <v>9739500</v>
      </c>
      <c r="P10" s="1">
        <v>7025000</v>
      </c>
      <c r="T10" s="1">
        <v>7840000</v>
      </c>
      <c r="U10" s="1">
        <f>Table2[[#This Row],[Total Selling Comission/Sales (Weekly)]]+Table2[[#This Row],[Total Daily Incentive (Weekly)]]</f>
        <v>16764500</v>
      </c>
      <c r="V10" s="42">
        <v>456000</v>
      </c>
      <c r="W10" s="1">
        <f>Table2[[#This Row],[Total Selling]]*23%</f>
        <v>19893390</v>
      </c>
      <c r="Y10" s="1">
        <v>3834000</v>
      </c>
      <c r="Z10" s="1">
        <v>4080000</v>
      </c>
      <c r="AA1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2746890</v>
      </c>
      <c r="AB1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3128890</v>
      </c>
      <c r="AC10" s="13">
        <f>IFERROR(Table2[[#This Row],[Delivery PV]]/(Table2[[#This Row],[Total Sharing % (Weekly)]]+Table2[[#This Row],[Rider Penalty (Denda to Riders)]]),0)</f>
        <v>0.15728289647968496</v>
      </c>
      <c r="AD10" s="28">
        <f>SUM(Table2[[#This Row],[Total Potongan Moils (Weekly) ]:[Total Subsidi Molis KSJ (Monthly)]])-Table2[[#This Row],[Total Cost Molis (Weekly)]]</f>
        <v>74000</v>
      </c>
      <c r="AE10" s="27">
        <f>IFERROR(Table2[[#This Row],[EV Related PV]]/(Table2[[#This Row],[Total Potongan Moils (Weekly) ]]+Table2[[#This Row],[Total Subsidi Molis KSJ (Monthly)]]),-1)</f>
        <v>9.3505180692443762E-3</v>
      </c>
      <c r="AG10" s="27"/>
      <c r="AI10" t="s">
        <v>171</v>
      </c>
    </row>
    <row r="11" spans="1:38">
      <c r="B11">
        <v>2025</v>
      </c>
      <c r="C11" t="s">
        <v>23</v>
      </c>
      <c r="D11" t="s">
        <v>23</v>
      </c>
      <c r="E11" t="s">
        <v>168</v>
      </c>
      <c r="F11" t="s">
        <v>24</v>
      </c>
      <c r="G11" s="1" t="s">
        <v>24</v>
      </c>
      <c r="H11">
        <v>6</v>
      </c>
      <c r="I11" t="s">
        <v>158</v>
      </c>
      <c r="J11" t="s">
        <v>256</v>
      </c>
      <c r="K11" t="s">
        <v>289</v>
      </c>
      <c r="L11" s="1">
        <v>59</v>
      </c>
      <c r="M11" s="1">
        <v>9707</v>
      </c>
      <c r="N11" s="1">
        <v>87376000</v>
      </c>
      <c r="O11" s="1">
        <v>7738600</v>
      </c>
      <c r="P11" s="1">
        <v>14850000</v>
      </c>
      <c r="Q11" s="1">
        <v>0</v>
      </c>
      <c r="R11" s="1">
        <v>0</v>
      </c>
      <c r="S11" s="1">
        <v>840000</v>
      </c>
      <c r="T11" s="1">
        <f>297*35000</f>
        <v>10395000</v>
      </c>
      <c r="U11" s="1">
        <f>Table2[[#This Row],[Total Selling Comission/Sales (Weekly)]]+Table2[[#This Row],[Total Daily Incentive (Weekly)]]</f>
        <v>22588600</v>
      </c>
      <c r="W11" s="1">
        <f>Table2[[#This Row],[Total Selling]]*23%</f>
        <v>20096480</v>
      </c>
      <c r="X11" s="1">
        <v>700000</v>
      </c>
      <c r="Y11" s="1">
        <v>9770000</v>
      </c>
      <c r="Z11" s="1">
        <v>5486400</v>
      </c>
      <c r="AA1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3069280</v>
      </c>
      <c r="AB1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-1792120</v>
      </c>
      <c r="AC11" s="27">
        <f>IFERROR(Table2[[#This Row],[Delivery PV]]/(Table2[[#This Row],[Total Sharing % (Weekly)]]+Table2[[#This Row],[Rider Penalty (Denda to Riders)]]),0)</f>
        <v>-8.6174198710551014E-2</v>
      </c>
      <c r="AD11" s="28">
        <f>SUM(Table2[[#This Row],[Total Potongan Moils (Weekly) ]:[Total Subsidi Molis KSJ (Monthly)]])-Table2[[#This Row],[Total Cost Molis (Weekly)]]</f>
        <v>4861400</v>
      </c>
      <c r="AE11" s="13">
        <f>IFERROR(Table2[[#This Row],[EV Related PV]]/(Table2[[#This Row],[Total Potongan Moils (Weekly) ]]+Table2[[#This Row],[Total Subsidi Molis KSJ (Monthly)]]),-1)</f>
        <v>0.31864660077082407</v>
      </c>
      <c r="AG11" s="12"/>
    </row>
    <row r="12" spans="1:38">
      <c r="B12">
        <v>2025</v>
      </c>
      <c r="C12" t="s">
        <v>27</v>
      </c>
      <c r="D12" t="s">
        <v>27</v>
      </c>
      <c r="E12" t="s">
        <v>169</v>
      </c>
      <c r="F12" t="s">
        <v>28</v>
      </c>
      <c r="G12" t="s">
        <v>28</v>
      </c>
      <c r="H12">
        <v>4</v>
      </c>
      <c r="I12" t="s">
        <v>21</v>
      </c>
      <c r="J12" t="s">
        <v>279</v>
      </c>
      <c r="K12" t="s">
        <v>297</v>
      </c>
      <c r="L12" s="1">
        <v>3</v>
      </c>
      <c r="M12" s="1">
        <v>405</v>
      </c>
      <c r="N12" s="1">
        <v>2756000</v>
      </c>
      <c r="O12" s="1">
        <f>Table2[[#This Row],[Total Cups Sold]]*1000</f>
        <v>405000</v>
      </c>
      <c r="P12" s="1">
        <v>400000</v>
      </c>
      <c r="T12" s="1">
        <v>599400</v>
      </c>
      <c r="U12" s="1">
        <f>SUM(Table2[[#This Row],[Total Selling Comission/Sales (Weekly)]:[Manpower (Korlap)]])</f>
        <v>805000</v>
      </c>
      <c r="W12" s="1">
        <f>Table2[[#This Row],[Total Selling]]*30%</f>
        <v>826800</v>
      </c>
      <c r="AA1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-577600</v>
      </c>
      <c r="AB1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21800</v>
      </c>
      <c r="AC12" s="27">
        <f>IFERROR(Table2[[#This Row],[Delivery PV]]/(Table2[[#This Row],[Total Sharing % (Weekly)]]+Table2[[#This Row],[Rider Penalty (Denda to Riders)]]),0)</f>
        <v>2.6366715045960328E-2</v>
      </c>
      <c r="AD12" s="28">
        <f>SUM(Table2[[#This Row],[Total Potongan Moils (Weekly) ]:[Total Subsidi Molis KSJ (Monthly)]])-Table2[[#This Row],[Total Cost Molis (Weekly)]]</f>
        <v>-599400</v>
      </c>
      <c r="AE12" s="27">
        <f>IFERROR(Table2[[#This Row],[EV Related PV]]/(Table2[[#This Row],[Total Potongan Moils (Weekly) ]]+Table2[[#This Row],[Total Subsidi Molis KSJ (Monthly)]]),-1)</f>
        <v>-1</v>
      </c>
      <c r="AG12" s="12"/>
    </row>
    <row r="13" spans="1:38" s="16" customFormat="1">
      <c r="A13"/>
      <c r="B13">
        <v>2025</v>
      </c>
      <c r="C13" t="s">
        <v>34</v>
      </c>
      <c r="D13" t="s">
        <v>34</v>
      </c>
      <c r="E13" t="s">
        <v>169</v>
      </c>
      <c r="F13" t="s">
        <v>28</v>
      </c>
      <c r="G13" t="s">
        <v>28</v>
      </c>
      <c r="H13">
        <v>4</v>
      </c>
      <c r="I13" t="s">
        <v>21</v>
      </c>
      <c r="J13" t="s">
        <v>279</v>
      </c>
      <c r="K13" t="s">
        <v>297</v>
      </c>
      <c r="L13" s="1">
        <v>7</v>
      </c>
      <c r="M13" s="1">
        <v>291</v>
      </c>
      <c r="N13" s="1">
        <v>2401000</v>
      </c>
      <c r="O13" s="1">
        <f>Table2[[#This Row],[Total Cups Sold]]*1000</f>
        <v>291000</v>
      </c>
      <c r="P13" s="1">
        <v>575000</v>
      </c>
      <c r="Q13" s="1"/>
      <c r="R13" s="1"/>
      <c r="S13" s="1"/>
      <c r="T13" s="1">
        <v>832500</v>
      </c>
      <c r="U13" s="1">
        <f>SUM(Table2[[#This Row],[Total Selling Comission/Sales (Weekly)]:[Manpower (Korlap)]])</f>
        <v>866000</v>
      </c>
      <c r="V13" s="1"/>
      <c r="W13" s="1">
        <f>Table2[[#This Row],[Total Selling]]*35%</f>
        <v>840350</v>
      </c>
      <c r="X13" s="1"/>
      <c r="Y13" s="1"/>
      <c r="Z13" s="1"/>
      <c r="AA1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-858150</v>
      </c>
      <c r="AB1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-25650</v>
      </c>
      <c r="AC13" s="27">
        <f>IFERROR(Table2[[#This Row],[Delivery PV]]/(Table2[[#This Row],[Total Sharing % (Weekly)]]+Table2[[#This Row],[Rider Penalty (Denda to Riders)]]),0)</f>
        <v>-3.0522996370559885E-2</v>
      </c>
      <c r="AD13" s="28">
        <f>SUM(Table2[[#This Row],[Total Potongan Moils (Weekly) ]:[Total Subsidi Molis KSJ (Monthly)]])-Table2[[#This Row],[Total Cost Molis (Weekly)]]</f>
        <v>-832500</v>
      </c>
      <c r="AE13" s="27">
        <f>IFERROR(Table2[[#This Row],[EV Related PV]]/(Table2[[#This Row],[Total Potongan Moils (Weekly) ]]+Table2[[#This Row],[Total Subsidi Molis KSJ (Monthly)]]),-1)</f>
        <v>-1</v>
      </c>
      <c r="AG13" s="12"/>
    </row>
    <row r="14" spans="1:38">
      <c r="B14">
        <v>2025</v>
      </c>
      <c r="C14" t="s">
        <v>29</v>
      </c>
      <c r="D14" t="s">
        <v>29</v>
      </c>
      <c r="E14" t="s">
        <v>169</v>
      </c>
      <c r="F14" t="s">
        <v>28</v>
      </c>
      <c r="G14" t="s">
        <v>28</v>
      </c>
      <c r="H14">
        <v>4</v>
      </c>
      <c r="I14" t="s">
        <v>21</v>
      </c>
      <c r="J14" t="s">
        <v>279</v>
      </c>
      <c r="K14" t="s">
        <v>297</v>
      </c>
      <c r="L14" s="1">
        <v>4</v>
      </c>
      <c r="M14" s="1">
        <v>338</v>
      </c>
      <c r="N14" s="1">
        <v>3364000</v>
      </c>
      <c r="O14" s="1">
        <f>Table2[[#This Row],[Total Cups Sold]]*1000</f>
        <v>338000</v>
      </c>
      <c r="P14" s="1">
        <v>500000</v>
      </c>
      <c r="T14" s="1">
        <v>799200</v>
      </c>
      <c r="U14" s="1">
        <f>SUM(Table2[[#This Row],[Total Selling Comission/Sales (Weekly)]:[Manpower (Korlap)]])</f>
        <v>838000</v>
      </c>
      <c r="W14" s="1">
        <f>Table2[[#This Row],[Total Selling]]*30%</f>
        <v>1009200</v>
      </c>
      <c r="AA1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-628000</v>
      </c>
      <c r="AB1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171200</v>
      </c>
      <c r="AC14" s="27">
        <f>IFERROR(Table2[[#This Row],[Delivery PV]]/(Table2[[#This Row],[Total Sharing % (Weekly)]]+Table2[[#This Row],[Rider Penalty (Denda to Riders)]]),0)</f>
        <v>0.16963931827189854</v>
      </c>
      <c r="AD14" s="28">
        <f>SUM(Table2[[#This Row],[Total Potongan Moils (Weekly) ]:[Total Subsidi Molis KSJ (Monthly)]])-Table2[[#This Row],[Total Cost Molis (Weekly)]]</f>
        <v>-799200</v>
      </c>
      <c r="AE14" s="27">
        <f>IFERROR(Table2[[#This Row],[EV Related PV]]/(Table2[[#This Row],[Total Potongan Moils (Weekly) ]]+Table2[[#This Row],[Total Subsidi Molis KSJ (Monthly)]]),-1)</f>
        <v>-1</v>
      </c>
      <c r="AG14" s="12"/>
    </row>
    <row r="15" spans="1:38">
      <c r="B15">
        <v>2025</v>
      </c>
      <c r="C15" t="s">
        <v>200</v>
      </c>
      <c r="D15" t="s">
        <v>200</v>
      </c>
      <c r="E15" t="s">
        <v>169</v>
      </c>
      <c r="F15" t="s">
        <v>28</v>
      </c>
      <c r="G15" t="s">
        <v>28</v>
      </c>
      <c r="H15">
        <v>4</v>
      </c>
      <c r="I15" t="s">
        <v>21</v>
      </c>
      <c r="J15" t="s">
        <v>279</v>
      </c>
      <c r="K15" t="s">
        <v>297</v>
      </c>
      <c r="L15" s="1">
        <v>1</v>
      </c>
      <c r="M15" s="1">
        <v>67</v>
      </c>
      <c r="N15" s="1">
        <v>718000</v>
      </c>
      <c r="O15" s="1">
        <f>Table2[[#This Row],[Total Cups Sold]]*1000</f>
        <v>67000</v>
      </c>
      <c r="P15" s="1">
        <v>125000</v>
      </c>
      <c r="T15" s="1">
        <v>166500</v>
      </c>
      <c r="U15" s="1">
        <f>SUM(Table2[[#This Row],[Total Selling Comission/Sales (Weekly)]:[Manpower (Korlap)]])</f>
        <v>192000</v>
      </c>
      <c r="W15" s="1">
        <f>Table2[[#This Row],[Total Selling]]*35%</f>
        <v>251299.99999999997</v>
      </c>
      <c r="AA1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-107200.00000000003</v>
      </c>
      <c r="AB1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59299.999999999971</v>
      </c>
      <c r="AC15" s="27">
        <f>IFERROR(Table2[[#This Row],[Delivery PV]]/(Table2[[#This Row],[Total Sharing % (Weekly)]]+Table2[[#This Row],[Rider Penalty (Denda to Riders)]]),0)</f>
        <v>0.23597294070831668</v>
      </c>
      <c r="AD15" s="28">
        <f>SUM(Table2[[#This Row],[Total Potongan Moils (Weekly) ]:[Total Subsidi Molis KSJ (Monthly)]])-Table2[[#This Row],[Total Cost Molis (Weekly)]]</f>
        <v>-166500</v>
      </c>
      <c r="AE15" s="27">
        <f>IFERROR(Table2[[#This Row],[EV Related PV]]/(Table2[[#This Row],[Total Potongan Moils (Weekly) ]]+Table2[[#This Row],[Total Subsidi Molis KSJ (Monthly)]]),-1)</f>
        <v>-1</v>
      </c>
      <c r="AG15" s="12"/>
    </row>
    <row r="16" spans="1:38">
      <c r="B16">
        <v>2025</v>
      </c>
      <c r="C16" t="s">
        <v>23</v>
      </c>
      <c r="D16" t="s">
        <v>23</v>
      </c>
      <c r="E16" t="s">
        <v>168</v>
      </c>
      <c r="F16" t="s">
        <v>28</v>
      </c>
      <c r="G16" t="s">
        <v>25</v>
      </c>
      <c r="H16">
        <v>5</v>
      </c>
      <c r="I16" t="s">
        <v>158</v>
      </c>
      <c r="J16" t="s">
        <v>275</v>
      </c>
      <c r="K16" t="s">
        <v>421</v>
      </c>
      <c r="L16" s="1">
        <v>252</v>
      </c>
      <c r="M16" s="1">
        <v>69012</v>
      </c>
      <c r="N16" s="1">
        <v>604818000</v>
      </c>
      <c r="O16" s="1">
        <v>68881000</v>
      </c>
      <c r="P16" s="1">
        <v>51375000</v>
      </c>
      <c r="Q16" s="1">
        <v>46500000</v>
      </c>
      <c r="R16" s="1">
        <v>5500000</v>
      </c>
      <c r="T16" s="1">
        <v>57875400</v>
      </c>
      <c r="U16" s="1">
        <f>SUM(Table2[[#This Row],[Total Selling Comission/Sales (Weekly)]:[Manpower (Korlap)]])</f>
        <v>172256000</v>
      </c>
      <c r="V16" s="42">
        <v>2620000</v>
      </c>
      <c r="W16" s="1">
        <f>Table2[[#This Row],[Total Selling]]*23%</f>
        <v>139108140</v>
      </c>
      <c r="Y16" s="1">
        <v>40668000</v>
      </c>
      <c r="Z16" s="1">
        <f>(188+190+191+162+190+205+204)*24000</f>
        <v>31920000</v>
      </c>
      <c r="AA1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-21055260</v>
      </c>
      <c r="AB1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-33147860</v>
      </c>
      <c r="AC16" s="27">
        <f>IFERROR(Table2[[#This Row],[Delivery PV]]/(Table2[[#This Row],[Total Sharing % (Weekly)]]+Table2[[#This Row],[Rider Penalty (Denda to Riders)]]),0)</f>
        <v>-0.23828842798128133</v>
      </c>
      <c r="AD16" s="28">
        <f>SUM(Table2[[#This Row],[Total Potongan Moils (Weekly) ]:[Total Subsidi Molis KSJ (Monthly)]])-Table2[[#This Row],[Total Cost Molis (Weekly)]]</f>
        <v>14712600</v>
      </c>
      <c r="AE16" s="27">
        <f>IFERROR(Table2[[#This Row],[EV Related PV]]/(Table2[[#This Row],[Total Potongan Moils (Weekly) ]]+Table2[[#This Row],[Total Subsidi Molis KSJ (Monthly)]]),-1)</f>
        <v>0.20268639444536288</v>
      </c>
      <c r="AG16" s="12"/>
    </row>
    <row r="17" spans="2:33">
      <c r="B17">
        <v>2025</v>
      </c>
      <c r="C17" t="s">
        <v>23</v>
      </c>
      <c r="D17" t="s">
        <v>23</v>
      </c>
      <c r="E17" t="s">
        <v>168</v>
      </c>
      <c r="F17" t="s">
        <v>28</v>
      </c>
      <c r="G17" t="s">
        <v>31</v>
      </c>
      <c r="H17">
        <v>5</v>
      </c>
      <c r="I17" t="s">
        <v>158</v>
      </c>
      <c r="J17" t="s">
        <v>275</v>
      </c>
      <c r="K17" t="s">
        <v>421</v>
      </c>
      <c r="L17" s="1">
        <v>30</v>
      </c>
      <c r="M17" s="1">
        <v>8579</v>
      </c>
      <c r="N17" s="1">
        <v>75882000</v>
      </c>
      <c r="O17" s="1">
        <v>8580000</v>
      </c>
      <c r="P17" s="1">
        <v>6775000</v>
      </c>
      <c r="Q17" s="1">
        <v>4875000</v>
      </c>
      <c r="T17" s="1">
        <v>6626700</v>
      </c>
      <c r="U17" s="1">
        <f>SUM(Table2[[#This Row],[Total Selling Comission/Sales (Weekly)]:[Manpower (Korlap)]])</f>
        <v>20230000</v>
      </c>
      <c r="V17" s="42">
        <v>456000</v>
      </c>
      <c r="W17" s="1">
        <f>Table2[[#This Row],[Total Selling]]*23%</f>
        <v>17452860</v>
      </c>
      <c r="Y17" s="1">
        <v>3582000</v>
      </c>
      <c r="Z17" s="1">
        <f>(22+21+23+21+23+26+24)*24000</f>
        <v>3840000</v>
      </c>
      <c r="AA1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-2437840</v>
      </c>
      <c r="AB1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-2777140</v>
      </c>
      <c r="AC17" s="27">
        <f>IFERROR(Table2[[#This Row],[Delivery PV]]/(Table2[[#This Row],[Total Sharing % (Weekly)]]+Table2[[#This Row],[Rider Penalty (Denda to Riders)]]),0)</f>
        <v>-0.15912234441804954</v>
      </c>
      <c r="AD17" s="28">
        <f>SUM(Table2[[#This Row],[Total Potongan Moils (Weekly) ]:[Total Subsidi Molis KSJ (Monthly)]])-Table2[[#This Row],[Total Cost Molis (Weekly)]]</f>
        <v>795300</v>
      </c>
      <c r="AE17" s="27">
        <f>IFERROR(Table2[[#This Row],[EV Related PV]]/(Table2[[#This Row],[Total Potongan Moils (Weekly) ]]+Table2[[#This Row],[Total Subsidi Molis KSJ (Monthly)]]),-1)</f>
        <v>0.10715440582053355</v>
      </c>
      <c r="AG17" s="12"/>
    </row>
    <row r="18" spans="2:33">
      <c r="B18">
        <v>2025</v>
      </c>
      <c r="C18" t="s">
        <v>23</v>
      </c>
      <c r="D18" t="s">
        <v>23</v>
      </c>
      <c r="E18" t="s">
        <v>168</v>
      </c>
      <c r="F18" t="s">
        <v>24</v>
      </c>
      <c r="G18" t="s">
        <v>24</v>
      </c>
      <c r="H18">
        <v>5</v>
      </c>
      <c r="I18" t="s">
        <v>158</v>
      </c>
      <c r="J18" t="s">
        <v>275</v>
      </c>
      <c r="K18" t="s">
        <v>421</v>
      </c>
      <c r="L18" s="1">
        <v>53</v>
      </c>
      <c r="M18" s="1">
        <v>8391</v>
      </c>
      <c r="N18" s="1">
        <v>76268000</v>
      </c>
      <c r="O18" s="1">
        <v>6702600</v>
      </c>
      <c r="P18" s="1">
        <v>13150000</v>
      </c>
      <c r="Q18" s="1">
        <v>6067034</v>
      </c>
      <c r="T18" s="1">
        <f>263*33300</f>
        <v>8757900</v>
      </c>
      <c r="U18" s="1">
        <f>SUM(Table2[[#This Row],[Total Selling Comission/Sales (Weekly)]:[Manpower (Korlap)]])</f>
        <v>25919634</v>
      </c>
      <c r="W18" s="1">
        <f>Table2[[#This Row],[Total Selling]]*23%</f>
        <v>17541640</v>
      </c>
      <c r="X18" s="1">
        <v>1450000</v>
      </c>
      <c r="Y18" s="1">
        <v>657500</v>
      </c>
      <c r="Z18" s="1">
        <f>263*14400</f>
        <v>3787200</v>
      </c>
      <c r="AA1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-11241194</v>
      </c>
      <c r="AB1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-6927994</v>
      </c>
      <c r="AC18" s="27">
        <f>IFERROR(Table2[[#This Row],[Delivery PV]]/(Table2[[#This Row],[Total Sharing % (Weekly)]]+Table2[[#This Row],[Rider Penalty (Denda to Riders)]]),0)</f>
        <v>-0.36479177153737119</v>
      </c>
      <c r="AD18" s="28">
        <f>SUM(Table2[[#This Row],[Total Potongan Moils (Weekly) ]:[Total Subsidi Molis KSJ (Monthly)]])-Table2[[#This Row],[Total Cost Molis (Weekly)]]</f>
        <v>-4313200</v>
      </c>
      <c r="AE18" s="27">
        <f>IFERROR(Table2[[#This Row],[EV Related PV]]/(Table2[[#This Row],[Total Potongan Moils (Weekly) ]]+Table2[[#This Row],[Total Subsidi Molis KSJ (Monthly)]]),-1)</f>
        <v>-0.97041420118343191</v>
      </c>
      <c r="AG18" s="12"/>
    </row>
    <row r="19" spans="2:33">
      <c r="B19">
        <v>2025</v>
      </c>
      <c r="C19" t="s">
        <v>23</v>
      </c>
      <c r="D19" t="s">
        <v>23</v>
      </c>
      <c r="E19" t="s">
        <v>168</v>
      </c>
      <c r="F19" t="s">
        <v>24</v>
      </c>
      <c r="G19" t="s">
        <v>282</v>
      </c>
      <c r="H19">
        <v>5</v>
      </c>
      <c r="I19" t="s">
        <v>158</v>
      </c>
      <c r="J19" t="s">
        <v>275</v>
      </c>
      <c r="K19" t="s">
        <v>421</v>
      </c>
      <c r="L19" s="1">
        <v>16</v>
      </c>
      <c r="M19" s="1">
        <v>3909</v>
      </c>
      <c r="N19" s="1">
        <v>35677000</v>
      </c>
      <c r="O19" s="1">
        <v>2885600</v>
      </c>
      <c r="P19" s="1">
        <v>3800000</v>
      </c>
      <c r="Q19" s="1">
        <v>798077</v>
      </c>
      <c r="R19" s="1">
        <v>0</v>
      </c>
      <c r="S19" s="1">
        <v>0</v>
      </c>
      <c r="T19" s="1">
        <f>76*33300</f>
        <v>2530800</v>
      </c>
      <c r="U19" s="1">
        <f>SUM(Table2[[#This Row],[Total Selling Comission/Sales (Weekly)]:[Manpower (Korlap)]])</f>
        <v>7483677</v>
      </c>
      <c r="W19" s="1">
        <f>Table2[[#This Row],[Total Selling]]*23%</f>
        <v>8205710</v>
      </c>
      <c r="X19" s="1">
        <v>250000</v>
      </c>
      <c r="Y19" s="1">
        <v>1900000</v>
      </c>
      <c r="Z19" s="1">
        <f>76*14400</f>
        <v>1094400</v>
      </c>
      <c r="AA1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1435633</v>
      </c>
      <c r="AB1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972033</v>
      </c>
      <c r="AC19" s="27">
        <f>IFERROR(Table2[[#This Row],[Delivery PV]]/(Table2[[#This Row],[Total Sharing % (Weekly)]]+Table2[[#This Row],[Rider Penalty (Denda to Riders)]]),0)</f>
        <v>0.11495581092539835</v>
      </c>
      <c r="AD19" s="28">
        <f>SUM(Table2[[#This Row],[Total Potongan Moils (Weekly) ]:[Total Subsidi Molis KSJ (Monthly)]])-Table2[[#This Row],[Total Cost Molis (Weekly)]]</f>
        <v>463600</v>
      </c>
      <c r="AE19" s="27">
        <f>IFERROR(Table2[[#This Row],[EV Related PV]]/(Table2[[#This Row],[Total Potongan Moils (Weekly) ]]+Table2[[#This Row],[Total Subsidi Molis KSJ (Monthly)]]),-1)</f>
        <v>0.1548223350253807</v>
      </c>
      <c r="AG19" s="12"/>
    </row>
    <row r="20" spans="2:33">
      <c r="B20">
        <v>2025</v>
      </c>
      <c r="C20" t="s">
        <v>27</v>
      </c>
      <c r="D20" t="s">
        <v>27</v>
      </c>
      <c r="E20" t="s">
        <v>169</v>
      </c>
      <c r="F20" t="s">
        <v>28</v>
      </c>
      <c r="G20" t="s">
        <v>28</v>
      </c>
      <c r="H20">
        <v>3</v>
      </c>
      <c r="I20" t="s">
        <v>21</v>
      </c>
      <c r="J20" t="s">
        <v>278</v>
      </c>
      <c r="K20" s="18" t="s">
        <v>35</v>
      </c>
      <c r="L20" s="1">
        <v>4</v>
      </c>
      <c r="M20" s="1">
        <v>538</v>
      </c>
      <c r="N20" s="1">
        <v>4754000</v>
      </c>
      <c r="O20" s="1">
        <v>538000</v>
      </c>
      <c r="P20" s="1">
        <v>450000</v>
      </c>
      <c r="T20" s="1">
        <v>699300</v>
      </c>
      <c r="U20" s="1">
        <f>SUM(Table2[[#This Row],[Total Selling Comission/Sales (Weekly)]:[Manpower (Korlap)]])</f>
        <v>988000</v>
      </c>
      <c r="W20" s="1">
        <f>Table2[[#This Row],[Total Selling]]*30%</f>
        <v>1426200</v>
      </c>
      <c r="AA2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-261100</v>
      </c>
      <c r="AB2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438200</v>
      </c>
      <c r="AC20" s="27">
        <f>IFERROR(Table2[[#This Row],[Delivery PV]]/(Table2[[#This Row],[Total Sharing % (Weekly)]]+Table2[[#This Row],[Rider Penalty (Denda to Riders)]]),0)</f>
        <v>0.30725003505819659</v>
      </c>
      <c r="AD20" s="28">
        <f>SUM(Table2[[#This Row],[Total Potongan Moils (Weekly) ]:[Total Subsidi Molis KSJ (Monthly)]])-Table2[[#This Row],[Total Cost Molis (Weekly)]]</f>
        <v>-699300</v>
      </c>
      <c r="AE20" s="27">
        <f>IFERROR(Table2[[#This Row],[EV Related PV]]/(Table2[[#This Row],[Total Potongan Moils (Weekly) ]]+Table2[[#This Row],[Total Subsidi Molis KSJ (Monthly)]]),-1)</f>
        <v>-1</v>
      </c>
      <c r="AG20" s="12"/>
    </row>
    <row r="21" spans="2:33">
      <c r="B21">
        <v>2025</v>
      </c>
      <c r="C21" t="s">
        <v>29</v>
      </c>
      <c r="D21" s="16" t="s">
        <v>29</v>
      </c>
      <c r="E21" s="16" t="s">
        <v>169</v>
      </c>
      <c r="F21" t="s">
        <v>28</v>
      </c>
      <c r="G21" s="16" t="s">
        <v>28</v>
      </c>
      <c r="H21" s="16">
        <v>3</v>
      </c>
      <c r="I21" s="16" t="s">
        <v>21</v>
      </c>
      <c r="J21" s="16" t="s">
        <v>278</v>
      </c>
      <c r="K21" s="16" t="s">
        <v>35</v>
      </c>
      <c r="L21" s="1">
        <v>3</v>
      </c>
      <c r="M21" s="1">
        <v>504</v>
      </c>
      <c r="N21" s="1">
        <v>2704000</v>
      </c>
      <c r="O21" s="1">
        <v>504000</v>
      </c>
      <c r="P21" s="1">
        <v>450000</v>
      </c>
      <c r="T21" s="1">
        <v>699300</v>
      </c>
      <c r="U21" s="1">
        <f>SUM(Table2[[#This Row],[Total Selling Comission/Sales (Weekly)]:[Manpower (Korlap)]])</f>
        <v>954000</v>
      </c>
      <c r="W21" s="1">
        <f>Table2[[#This Row],[Total Selling]]*30%</f>
        <v>811200</v>
      </c>
      <c r="AA2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-842100</v>
      </c>
      <c r="AB2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-142800</v>
      </c>
      <c r="AC21" s="27">
        <f>IFERROR(Table2[[#This Row],[Delivery PV]]/(Table2[[#This Row],[Total Sharing % (Weekly)]]+Table2[[#This Row],[Rider Penalty (Denda to Riders)]]),0)</f>
        <v>-0.17603550295857989</v>
      </c>
      <c r="AD21" s="28">
        <f>SUM(Table2[[#This Row],[Total Potongan Moils (Weekly) ]:[Total Subsidi Molis KSJ (Monthly)]])-Table2[[#This Row],[Total Cost Molis (Weekly)]]</f>
        <v>-699300</v>
      </c>
      <c r="AE21" s="27">
        <f>IFERROR(Table2[[#This Row],[EV Related PV]]/(Table2[[#This Row],[Total Potongan Moils (Weekly) ]]+Table2[[#This Row],[Total Subsidi Molis KSJ (Monthly)]]),-1)</f>
        <v>-1</v>
      </c>
      <c r="AG21" s="12"/>
    </row>
    <row r="22" spans="2:33">
      <c r="B22">
        <v>2025</v>
      </c>
      <c r="C22" s="30" t="s">
        <v>23</v>
      </c>
      <c r="D22" s="30" t="s">
        <v>23</v>
      </c>
      <c r="E22" s="30" t="s">
        <v>168</v>
      </c>
      <c r="F22" s="30" t="s">
        <v>28</v>
      </c>
      <c r="G22" s="30" t="s">
        <v>25</v>
      </c>
      <c r="H22" s="30">
        <v>4</v>
      </c>
      <c r="I22" s="166" t="s">
        <v>21</v>
      </c>
      <c r="J22" t="s">
        <v>279</v>
      </c>
      <c r="K22" t="s">
        <v>298</v>
      </c>
      <c r="L22" s="1">
        <v>255</v>
      </c>
      <c r="M22" s="1">
        <v>67657</v>
      </c>
      <c r="N22" s="1">
        <v>593360000</v>
      </c>
      <c r="O22" s="1">
        <v>67538000</v>
      </c>
      <c r="P22" s="1">
        <v>51325000</v>
      </c>
      <c r="T22" s="1">
        <v>56643300</v>
      </c>
      <c r="U22" s="1">
        <f>SUM(Table2[[#This Row],[Total Selling Comission/Sales (Weekly)]:[Manpower (Korlap)]])</f>
        <v>118863000</v>
      </c>
      <c r="V22" s="42">
        <v>2620000</v>
      </c>
      <c r="W22" s="1">
        <f>Table2[[#This Row],[Total Selling]]*23%</f>
        <v>136472800</v>
      </c>
      <c r="Y22" s="1">
        <v>30618000</v>
      </c>
      <c r="Z22" s="1">
        <f>(181+187+196+184+207+217+217)*24000</f>
        <v>33336000</v>
      </c>
      <c r="AA2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22300500</v>
      </c>
      <c r="AB2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17609800</v>
      </c>
      <c r="AC22" s="27">
        <f>IFERROR(Table2[[#This Row],[Delivery PV]]/(Table2[[#This Row],[Total Sharing % (Weekly)]]+Table2[[#This Row],[Rider Penalty (Denda to Riders)]]),0)</f>
        <v>0.12903523632548025</v>
      </c>
      <c r="AD22" s="28">
        <f>SUM(Table2[[#This Row],[Total Potongan Moils (Weekly) ]:[Total Subsidi Molis KSJ (Monthly)]])-Table2[[#This Row],[Total Cost Molis (Weekly)]]</f>
        <v>7310700</v>
      </c>
      <c r="AE22" s="27">
        <f>IFERROR(Table2[[#This Row],[EV Related PV]]/(Table2[[#This Row],[Total Potongan Moils (Weekly) ]]+Table2[[#This Row],[Total Subsidi Molis KSJ (Monthly)]]),-1)</f>
        <v>0.1143118491415705</v>
      </c>
      <c r="AG22" s="12"/>
    </row>
    <row r="23" spans="2:33">
      <c r="B23">
        <v>2025</v>
      </c>
      <c r="C23" s="30" t="s">
        <v>23</v>
      </c>
      <c r="D23" s="30" t="s">
        <v>23</v>
      </c>
      <c r="E23" s="30" t="s">
        <v>168</v>
      </c>
      <c r="F23" s="30" t="s">
        <v>28</v>
      </c>
      <c r="G23" s="30" t="s">
        <v>31</v>
      </c>
      <c r="H23" s="30">
        <v>4</v>
      </c>
      <c r="I23" s="166" t="s">
        <v>21</v>
      </c>
      <c r="J23" t="s">
        <v>279</v>
      </c>
      <c r="K23" t="s">
        <v>298</v>
      </c>
      <c r="L23" s="1">
        <v>28</v>
      </c>
      <c r="M23" s="1">
        <v>7717</v>
      </c>
      <c r="N23" s="1">
        <v>68118000</v>
      </c>
      <c r="O23" s="1">
        <v>7717000</v>
      </c>
      <c r="P23" s="1">
        <v>6375000</v>
      </c>
      <c r="T23" s="1">
        <v>5727600</v>
      </c>
      <c r="U23" s="1">
        <f>SUM(Table2[[#This Row],[Total Selling Comission/Sales (Weekly)]:[Manpower (Korlap)]])</f>
        <v>14092000</v>
      </c>
      <c r="V23" s="42">
        <v>456000</v>
      </c>
      <c r="W23" s="1">
        <f>Table2[[#This Row],[Total Selling]]*23%</f>
        <v>15667140</v>
      </c>
      <c r="Y23" s="1">
        <v>3096000</v>
      </c>
      <c r="Z23" s="1">
        <f>(18+18+21+23+24+27+22)*24000</f>
        <v>3672000</v>
      </c>
      <c r="AA2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2159540</v>
      </c>
      <c r="AB2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1575140</v>
      </c>
      <c r="AC23" s="27">
        <f>IFERROR(Table2[[#This Row],[Delivery PV]]/(Table2[[#This Row],[Total Sharing % (Weekly)]]+Table2[[#This Row],[Rider Penalty (Denda to Riders)]]),0)</f>
        <v>0.10053781353839948</v>
      </c>
      <c r="AD23" s="28">
        <f>SUM(Table2[[#This Row],[Total Potongan Moils (Weekly) ]:[Total Subsidi Molis KSJ (Monthly)]])-Table2[[#This Row],[Total Cost Molis (Weekly)]]</f>
        <v>1040400</v>
      </c>
      <c r="AE23" s="27">
        <f>IFERROR(Table2[[#This Row],[EV Related PV]]/(Table2[[#This Row],[Total Potongan Moils (Weekly) ]]+Table2[[#This Row],[Total Subsidi Molis KSJ (Monthly)]]),-1)</f>
        <v>0.15372340425531916</v>
      </c>
      <c r="AG23" s="12"/>
    </row>
    <row r="24" spans="2:33">
      <c r="B24">
        <v>2025</v>
      </c>
      <c r="C24" s="30" t="s">
        <v>23</v>
      </c>
      <c r="D24" s="30" t="s">
        <v>23</v>
      </c>
      <c r="E24" s="30" t="s">
        <v>168</v>
      </c>
      <c r="F24" s="30" t="s">
        <v>24</v>
      </c>
      <c r="G24" s="30" t="s">
        <v>24</v>
      </c>
      <c r="H24" s="30">
        <v>4</v>
      </c>
      <c r="I24" s="166" t="s">
        <v>21</v>
      </c>
      <c r="J24" t="s">
        <v>279</v>
      </c>
      <c r="K24" t="s">
        <v>298</v>
      </c>
      <c r="L24" s="1">
        <v>53</v>
      </c>
      <c r="M24" s="1">
        <v>9405</v>
      </c>
      <c r="N24" s="1">
        <v>85420000</v>
      </c>
      <c r="O24" s="1">
        <v>7489200</v>
      </c>
      <c r="P24" s="1">
        <v>13630000</v>
      </c>
      <c r="Q24" s="1">
        <v>0</v>
      </c>
      <c r="R24" s="1">
        <v>0</v>
      </c>
      <c r="S24" s="1">
        <v>0</v>
      </c>
      <c r="T24" s="1">
        <f>263*33300</f>
        <v>8757900</v>
      </c>
      <c r="U24" s="1">
        <f>SUM(Table2[[#This Row],[Total Selling Comission/Sales (Weekly)]:[Manpower (Korlap)]])</f>
        <v>21119200</v>
      </c>
      <c r="W24" s="1">
        <f>Table2[[#This Row],[Total Selling]]*23%</f>
        <v>19646600</v>
      </c>
      <c r="X24" s="1">
        <v>625000</v>
      </c>
      <c r="Y24" s="1">
        <v>6575000</v>
      </c>
      <c r="Z24" s="1">
        <f>263*14400</f>
        <v>3787200</v>
      </c>
      <c r="AA2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756700</v>
      </c>
      <c r="AB2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-847600</v>
      </c>
      <c r="AC24" s="27">
        <f>IFERROR(Table2[[#This Row],[Delivery PV]]/(Table2[[#This Row],[Total Sharing % (Weekly)]]+Table2[[#This Row],[Rider Penalty (Denda to Riders)]]),0)</f>
        <v>-4.1812190453639576E-2</v>
      </c>
      <c r="AD24" s="28">
        <f>SUM(Table2[[#This Row],[Total Potongan Moils (Weekly) ]:[Total Subsidi Molis KSJ (Monthly)]])-Table2[[#This Row],[Total Cost Molis (Weekly)]]</f>
        <v>1604300</v>
      </c>
      <c r="AE24" s="27">
        <f>IFERROR(Table2[[#This Row],[EV Related PV]]/(Table2[[#This Row],[Total Potongan Moils (Weekly) ]]+Table2[[#This Row],[Total Subsidi Molis KSJ (Monthly)]]),-1)</f>
        <v>0.1548223350253807</v>
      </c>
      <c r="AG24" s="12"/>
    </row>
    <row r="25" spans="2:33">
      <c r="B25">
        <v>2025</v>
      </c>
      <c r="C25" s="30" t="s">
        <v>23</v>
      </c>
      <c r="D25" s="30" t="s">
        <v>23</v>
      </c>
      <c r="E25" s="30" t="s">
        <v>168</v>
      </c>
      <c r="F25" s="30" t="s">
        <v>24</v>
      </c>
      <c r="G25" s="30" t="s">
        <v>282</v>
      </c>
      <c r="H25" s="30">
        <v>4</v>
      </c>
      <c r="I25" s="166" t="s">
        <v>21</v>
      </c>
      <c r="J25" t="s">
        <v>279</v>
      </c>
      <c r="K25" t="s">
        <v>298</v>
      </c>
      <c r="L25" s="1">
        <v>15</v>
      </c>
      <c r="M25" s="1">
        <v>4531</v>
      </c>
      <c r="N25" s="1">
        <v>41488000</v>
      </c>
      <c r="O25" s="1">
        <v>3485600</v>
      </c>
      <c r="P25" s="1">
        <v>37500000</v>
      </c>
      <c r="Q25" s="1">
        <v>0</v>
      </c>
      <c r="R25" s="1">
        <v>0</v>
      </c>
      <c r="S25" s="1">
        <v>0</v>
      </c>
      <c r="T25" s="1">
        <f>75*33300</f>
        <v>2497500</v>
      </c>
      <c r="U25" s="1">
        <f>SUM(Table2[[#This Row],[Total Selling Comission/Sales (Weekly)]:[Manpower (Korlap)]])</f>
        <v>40985600</v>
      </c>
      <c r="W25" s="1">
        <f>Table2[[#This Row],[Total Selling]]*23%</f>
        <v>9542240</v>
      </c>
      <c r="X25" s="1">
        <v>0</v>
      </c>
      <c r="Y25" s="1">
        <v>1875000</v>
      </c>
      <c r="Z25" s="1">
        <f>75*14400</f>
        <v>1080000</v>
      </c>
      <c r="AA2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-30985860</v>
      </c>
      <c r="AB2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-31443360</v>
      </c>
      <c r="AC25" s="27">
        <f>IFERROR(Table2[[#This Row],[Delivery PV]]/(Table2[[#This Row],[Total Sharing % (Weekly)]]+Table2[[#This Row],[Rider Penalty (Denda to Riders)]]),0)</f>
        <v>-3.2951759754523047</v>
      </c>
      <c r="AD25" s="28">
        <f>SUM(Table2[[#This Row],[Total Potongan Moils (Weekly) ]:[Total Subsidi Molis KSJ (Monthly)]])-Table2[[#This Row],[Total Cost Molis (Weekly)]]</f>
        <v>457500</v>
      </c>
      <c r="AE25" s="27">
        <f>IFERROR(Table2[[#This Row],[EV Related PV]]/(Table2[[#This Row],[Total Potongan Moils (Weekly) ]]+Table2[[#This Row],[Total Subsidi Molis KSJ (Monthly)]]),-1)</f>
        <v>0.1548223350253807</v>
      </c>
      <c r="AG25" s="12"/>
    </row>
    <row r="26" spans="2:33">
      <c r="B26">
        <v>2025</v>
      </c>
      <c r="C26" s="30" t="s">
        <v>27</v>
      </c>
      <c r="D26" s="30" t="s">
        <v>27</v>
      </c>
      <c r="E26" s="30" t="s">
        <v>169</v>
      </c>
      <c r="F26" s="30" t="s">
        <v>28</v>
      </c>
      <c r="G26" s="30" t="s">
        <v>28</v>
      </c>
      <c r="H26" s="30">
        <v>2</v>
      </c>
      <c r="I26" s="166" t="s">
        <v>21</v>
      </c>
      <c r="J26" t="s">
        <v>256</v>
      </c>
      <c r="K26" t="s">
        <v>26</v>
      </c>
      <c r="L26" s="1">
        <v>4</v>
      </c>
      <c r="M26" s="1">
        <v>683</v>
      </c>
      <c r="N26" s="1">
        <v>5610000</v>
      </c>
      <c r="O26" s="1">
        <v>683000</v>
      </c>
      <c r="P26" s="1">
        <v>650000</v>
      </c>
      <c r="T26" s="1">
        <v>932400</v>
      </c>
      <c r="U26" s="1">
        <f>SUM(Table2[[#This Row],[Total Selling Comission/Sales (Weekly)]:[Manpower (Korlap)]])</f>
        <v>1333000</v>
      </c>
      <c r="W26" s="1">
        <f>Table2[[#This Row],[Total Selling]]*30%</f>
        <v>1683000</v>
      </c>
      <c r="Y26" s="1">
        <v>0</v>
      </c>
      <c r="Z26" s="1">
        <v>0</v>
      </c>
      <c r="AA2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-582400</v>
      </c>
      <c r="AB2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350000</v>
      </c>
      <c r="AC26" s="27">
        <f>IFERROR(Table2[[#This Row],[Delivery PV]]/(Table2[[#This Row],[Total Sharing % (Weekly)]]+Table2[[#This Row],[Rider Penalty (Denda to Riders)]]),0)</f>
        <v>0.20796197266785502</v>
      </c>
      <c r="AD26" s="28">
        <f>SUM(Table2[[#This Row],[Total Potongan Moils (Weekly) ]:[Total Subsidi Molis KSJ (Monthly)]])-Table2[[#This Row],[Total Cost Molis (Weekly)]]</f>
        <v>-932400</v>
      </c>
      <c r="AE26" s="27">
        <f>IFERROR(Table2[[#This Row],[EV Related PV]]/(Table2[[#This Row],[Total Potongan Moils (Weekly) ]]+Table2[[#This Row],[Total Subsidi Molis KSJ (Monthly)]]),-1)</f>
        <v>-1</v>
      </c>
      <c r="AG26" s="12"/>
    </row>
    <row r="27" spans="2:33">
      <c r="B27">
        <v>2025</v>
      </c>
      <c r="C27" s="30" t="s">
        <v>29</v>
      </c>
      <c r="D27" s="30" t="s">
        <v>29</v>
      </c>
      <c r="E27" s="30" t="s">
        <v>169</v>
      </c>
      <c r="F27" s="30" t="s">
        <v>28</v>
      </c>
      <c r="G27" s="30" t="s">
        <v>28</v>
      </c>
      <c r="H27" s="30">
        <v>2</v>
      </c>
      <c r="I27" s="166" t="s">
        <v>21</v>
      </c>
      <c r="J27" t="s">
        <v>256</v>
      </c>
      <c r="K27" t="s">
        <v>26</v>
      </c>
      <c r="L27" s="1">
        <v>3</v>
      </c>
      <c r="M27" s="1">
        <v>299</v>
      </c>
      <c r="N27" s="1">
        <v>2728000</v>
      </c>
      <c r="O27" s="1">
        <v>299000</v>
      </c>
      <c r="P27" s="25">
        <v>285000</v>
      </c>
      <c r="T27" s="1">
        <v>599400</v>
      </c>
      <c r="U27" s="1">
        <f>SUM(Table2[[#This Row],[Total Selling Comission/Sales (Weekly)]:[Manpower (Korlap)]])</f>
        <v>584000</v>
      </c>
      <c r="W27" s="1">
        <f>Table2[[#This Row],[Total Selling Comission/Sales (Weekly)]]*30%</f>
        <v>89700</v>
      </c>
      <c r="Y27" s="1">
        <v>0</v>
      </c>
      <c r="Z27" s="1">
        <v>0</v>
      </c>
      <c r="AA2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-1093700</v>
      </c>
      <c r="AB2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-494300</v>
      </c>
      <c r="AC27" s="27">
        <f>IFERROR(Table2[[#This Row],[Delivery PV]]/(Table2[[#This Row],[Total Sharing % (Weekly)]]+Table2[[#This Row],[Rider Penalty (Denda to Riders)]]),0)</f>
        <v>-5.5105908584169452</v>
      </c>
      <c r="AD27" s="28">
        <f>SUM(Table2[[#This Row],[Total Potongan Moils (Weekly) ]:[Total Subsidi Molis KSJ (Monthly)]])-Table2[[#This Row],[Total Cost Molis (Weekly)]]</f>
        <v>-599400</v>
      </c>
      <c r="AE27" s="27">
        <f>IFERROR(Table2[[#This Row],[EV Related PV]]/(Table2[[#This Row],[Total Potongan Moils (Weekly) ]]+Table2[[#This Row],[Total Subsidi Molis KSJ (Monthly)]]),-1)</f>
        <v>-1</v>
      </c>
      <c r="AG27" s="12"/>
    </row>
    <row r="28" spans="2:33">
      <c r="B28">
        <v>2025</v>
      </c>
      <c r="C28" s="30" t="s">
        <v>23</v>
      </c>
      <c r="D28" s="30" t="s">
        <v>23</v>
      </c>
      <c r="E28" s="30" t="s">
        <v>168</v>
      </c>
      <c r="F28" s="30" t="s">
        <v>28</v>
      </c>
      <c r="G28" s="30" t="s">
        <v>25</v>
      </c>
      <c r="H28" s="30">
        <v>3</v>
      </c>
      <c r="I28" s="166" t="s">
        <v>21</v>
      </c>
      <c r="J28" t="s">
        <v>278</v>
      </c>
      <c r="K28" s="18" t="s">
        <v>299</v>
      </c>
      <c r="L28" s="1">
        <v>256</v>
      </c>
      <c r="M28" s="1">
        <v>73938</v>
      </c>
      <c r="N28" s="1">
        <v>650952000</v>
      </c>
      <c r="O28" s="1">
        <v>73700000</v>
      </c>
      <c r="P28" s="1">
        <v>53650000</v>
      </c>
      <c r="T28" s="1">
        <v>58141800</v>
      </c>
      <c r="U28" s="1">
        <f>SUM(Table2[[#This Row],[Total Selling Comission/Sales (Weekly)]:[Manpower (Korlap)]])</f>
        <v>127350000</v>
      </c>
      <c r="V28" s="42">
        <v>2620000</v>
      </c>
      <c r="W28" s="1">
        <f>Table2[[#This Row],[Total Selling]]*23%</f>
        <v>149718960</v>
      </c>
      <c r="Y28" s="1">
        <v>31428000</v>
      </c>
      <c r="Z28" s="1">
        <f>(184+201+198+192+205+216+207)*24000</f>
        <v>33672000</v>
      </c>
      <c r="AA2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26707160</v>
      </c>
      <c r="AB2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22368960</v>
      </c>
      <c r="AC28" s="27">
        <f>IFERROR(Table2[[#This Row],[Delivery PV]]/(Table2[[#This Row],[Total Sharing % (Weekly)]]+Table2[[#This Row],[Rider Penalty (Denda to Riders)]]),0)</f>
        <v>0.14940632769557041</v>
      </c>
      <c r="AD28" s="28">
        <f>SUM(Table2[[#This Row],[Total Potongan Moils (Weekly) ]:[Total Subsidi Molis KSJ (Monthly)]])-Table2[[#This Row],[Total Cost Molis (Weekly)]]</f>
        <v>6958200</v>
      </c>
      <c r="AE28" s="27">
        <f>IFERROR(Table2[[#This Row],[EV Related PV]]/(Table2[[#This Row],[Total Potongan Moils (Weekly) ]]+Table2[[#This Row],[Total Subsidi Molis KSJ (Monthly)]]),-1)</f>
        <v>0.10688479262672811</v>
      </c>
      <c r="AG28" s="12"/>
    </row>
    <row r="29" spans="2:33">
      <c r="B29">
        <v>2025</v>
      </c>
      <c r="C29" s="30" t="s">
        <v>23</v>
      </c>
      <c r="D29" s="30" t="s">
        <v>23</v>
      </c>
      <c r="E29" s="30" t="s">
        <v>168</v>
      </c>
      <c r="F29" s="30" t="s">
        <v>28</v>
      </c>
      <c r="G29" s="30" t="s">
        <v>31</v>
      </c>
      <c r="H29" s="30">
        <v>3</v>
      </c>
      <c r="I29" s="30" t="s">
        <v>21</v>
      </c>
      <c r="J29" t="s">
        <v>278</v>
      </c>
      <c r="K29" s="18" t="s">
        <v>299</v>
      </c>
      <c r="L29" s="1">
        <v>20</v>
      </c>
      <c r="M29" s="1">
        <v>6964</v>
      </c>
      <c r="N29" s="1">
        <v>61752000</v>
      </c>
      <c r="O29" s="1">
        <v>6952000</v>
      </c>
      <c r="P29" s="1">
        <v>5025000</v>
      </c>
      <c r="T29" s="1">
        <v>4562100</v>
      </c>
      <c r="U29" s="1">
        <f>SUM(Table2[[#This Row],[Total Selling Comission/Sales (Weekly)]:[Manpower (Korlap)]])</f>
        <v>11977000</v>
      </c>
      <c r="V29" s="42">
        <v>456000</v>
      </c>
      <c r="W29" s="1">
        <f>Table2[[#This Row],[Total Selling]]*23%</f>
        <v>14202960</v>
      </c>
      <c r="Y29" s="1">
        <v>2466000</v>
      </c>
      <c r="Z29" s="1">
        <f>(18+15+17+16+17+17+15)*24000</f>
        <v>2760000</v>
      </c>
      <c r="AA2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2433860</v>
      </c>
      <c r="AB2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2225960</v>
      </c>
      <c r="AC29" s="27">
        <f>IFERROR(Table2[[#This Row],[Delivery PV]]/(Table2[[#This Row],[Total Sharing % (Weekly)]]+Table2[[#This Row],[Rider Penalty (Denda to Riders)]]),0)</f>
        <v>0.15672507702619737</v>
      </c>
      <c r="AD29" s="28">
        <f>SUM(Table2[[#This Row],[Total Potongan Moils (Weekly) ]:[Total Subsidi Molis KSJ (Monthly)]])-Table2[[#This Row],[Total Cost Molis (Weekly)]]</f>
        <v>663900</v>
      </c>
      <c r="AE29" s="27">
        <f>IFERROR(Table2[[#This Row],[EV Related PV]]/(Table2[[#This Row],[Total Potongan Moils (Weekly) ]]+Table2[[#This Row],[Total Subsidi Molis KSJ (Monthly)]]),-1)</f>
        <v>0.12703788748564868</v>
      </c>
      <c r="AG29" s="12"/>
    </row>
    <row r="30" spans="2:33">
      <c r="B30">
        <v>2025</v>
      </c>
      <c r="C30" s="30" t="s">
        <v>23</v>
      </c>
      <c r="D30" s="30" t="s">
        <v>23</v>
      </c>
      <c r="E30" s="30" t="s">
        <v>168</v>
      </c>
      <c r="F30" s="30" t="s">
        <v>24</v>
      </c>
      <c r="G30" s="30" t="s">
        <v>24</v>
      </c>
      <c r="H30" s="30">
        <v>3</v>
      </c>
      <c r="I30" s="30" t="s">
        <v>21</v>
      </c>
      <c r="J30" t="s">
        <v>278</v>
      </c>
      <c r="K30" s="18" t="s">
        <v>299</v>
      </c>
      <c r="L30" s="1">
        <v>47</v>
      </c>
      <c r="M30" s="1">
        <v>9176</v>
      </c>
      <c r="N30" s="1">
        <v>83342000</v>
      </c>
      <c r="O30" s="1">
        <v>6958600</v>
      </c>
      <c r="P30" s="1">
        <v>11900000</v>
      </c>
      <c r="Q30" s="1">
        <v>0</v>
      </c>
      <c r="R30" s="1">
        <v>0</v>
      </c>
      <c r="S30" s="1">
        <v>0</v>
      </c>
      <c r="T30" s="1">
        <f>238*33300</f>
        <v>7925400</v>
      </c>
      <c r="U30" s="1">
        <f>SUM(Table2[[#This Row],[Total Selling Comission/Sales (Weekly)]:[Manpower (Korlap)]])</f>
        <v>18858600</v>
      </c>
      <c r="W30" s="1">
        <f>Table2[[#This Row],[Total Selling]]*23%</f>
        <v>19168660</v>
      </c>
      <c r="X30" s="1">
        <v>600000</v>
      </c>
      <c r="Y30" s="1">
        <v>5950000</v>
      </c>
      <c r="Z30" s="1">
        <f>238*14400</f>
        <v>3427200</v>
      </c>
      <c r="AA3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2361860</v>
      </c>
      <c r="AB3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910060</v>
      </c>
      <c r="AC30" s="27">
        <f>IFERROR(Table2[[#This Row],[Delivery PV]]/(Table2[[#This Row],[Total Sharing % (Weekly)]]+Table2[[#This Row],[Rider Penalty (Denda to Riders)]]),0)</f>
        <v>4.6035492542236045E-2</v>
      </c>
      <c r="AD30" s="28">
        <f>SUM(Table2[[#This Row],[Total Potongan Moils (Weekly) ]:[Total Subsidi Molis KSJ (Monthly)]])-Table2[[#This Row],[Total Cost Molis (Weekly)]]</f>
        <v>1451800</v>
      </c>
      <c r="AE30" s="27">
        <f>IFERROR(Table2[[#This Row],[EV Related PV]]/(Table2[[#This Row],[Total Potongan Moils (Weekly) ]]+Table2[[#This Row],[Total Subsidi Molis KSJ (Monthly)]]),-1)</f>
        <v>0.1548223350253807</v>
      </c>
      <c r="AG30" s="12"/>
    </row>
    <row r="31" spans="2:33">
      <c r="B31">
        <v>2025</v>
      </c>
      <c r="C31" s="30" t="s">
        <v>23</v>
      </c>
      <c r="D31" s="30" t="s">
        <v>23</v>
      </c>
      <c r="E31" s="30" t="s">
        <v>168</v>
      </c>
      <c r="F31" s="30" t="s">
        <v>24</v>
      </c>
      <c r="G31" s="30" t="s">
        <v>282</v>
      </c>
      <c r="H31" s="30">
        <v>3</v>
      </c>
      <c r="I31" s="30" t="s">
        <v>21</v>
      </c>
      <c r="J31" t="s">
        <v>278</v>
      </c>
      <c r="K31" s="18" t="s">
        <v>299</v>
      </c>
      <c r="L31" s="1">
        <v>14</v>
      </c>
      <c r="M31" s="1">
        <v>4410</v>
      </c>
      <c r="N31" s="1">
        <v>40536000</v>
      </c>
      <c r="O31" s="1">
        <v>3528000</v>
      </c>
      <c r="P31" s="1">
        <v>3700000</v>
      </c>
      <c r="Q31" s="1">
        <v>0</v>
      </c>
      <c r="R31" s="1">
        <v>0</v>
      </c>
      <c r="S31" s="1">
        <v>0</v>
      </c>
      <c r="T31" s="1">
        <f>74*33300</f>
        <v>2464200</v>
      </c>
      <c r="U31" s="1">
        <f>SUM(Table2[[#This Row],[Total Selling Comission/Sales (Weekly)]:[Manpower (Korlap)]])</f>
        <v>7228000</v>
      </c>
      <c r="W31" s="1">
        <f>Table2[[#This Row],[Total Selling]]*23%</f>
        <v>9323280</v>
      </c>
      <c r="X31" s="1">
        <v>250000</v>
      </c>
      <c r="Y31" s="1">
        <v>1850000</v>
      </c>
      <c r="Z31" s="1">
        <f>74*14400</f>
        <v>1065600</v>
      </c>
      <c r="AA3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2796680</v>
      </c>
      <c r="AB3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2345280</v>
      </c>
      <c r="AC31" s="27">
        <f>IFERROR(Table2[[#This Row],[Delivery PV]]/(Table2[[#This Row],[Total Sharing % (Weekly)]]+Table2[[#This Row],[Rider Penalty (Denda to Riders)]]),0)</f>
        <v>0.24498186619424064</v>
      </c>
      <c r="AD31" s="28">
        <f>SUM(Table2[[#This Row],[Total Potongan Moils (Weekly) ]:[Total Subsidi Molis KSJ (Monthly)]])-Table2[[#This Row],[Total Cost Molis (Weekly)]]</f>
        <v>451400</v>
      </c>
      <c r="AE31" s="27">
        <f>IFERROR(Table2[[#This Row],[EV Related PV]]/(Table2[[#This Row],[Total Potongan Moils (Weekly) ]]+Table2[[#This Row],[Total Subsidi Molis KSJ (Monthly)]]),-1)</f>
        <v>0.1548223350253807</v>
      </c>
      <c r="AG31" s="12"/>
    </row>
    <row r="32" spans="2:33" ht="15.95" customHeight="1">
      <c r="B32">
        <v>2025</v>
      </c>
      <c r="C32" s="30" t="s">
        <v>33</v>
      </c>
      <c r="D32" s="30" t="s">
        <v>33</v>
      </c>
      <c r="E32" s="30" t="s">
        <v>169</v>
      </c>
      <c r="F32" s="30" t="s">
        <v>28</v>
      </c>
      <c r="G32" s="30" t="s">
        <v>28</v>
      </c>
      <c r="H32" s="30">
        <v>1</v>
      </c>
      <c r="I32" s="30" t="s">
        <v>21</v>
      </c>
      <c r="J32" t="s">
        <v>275</v>
      </c>
      <c r="K32" s="18" t="s">
        <v>300</v>
      </c>
      <c r="L32" s="1">
        <v>1</v>
      </c>
      <c r="M32" s="1">
        <v>30</v>
      </c>
      <c r="N32" s="1">
        <v>410000</v>
      </c>
      <c r="O32" s="1">
        <v>30000</v>
      </c>
      <c r="P32" s="1">
        <v>75000</v>
      </c>
      <c r="T32" s="1">
        <v>166500</v>
      </c>
      <c r="U32" s="1">
        <f>SUM(Table2[[#This Row],[Total Selling Comission/Sales (Weekly)]:[Manpower (Korlap)]])</f>
        <v>105000</v>
      </c>
      <c r="W32" s="1">
        <f>Table2[[#This Row],[Total Daily Incentive (Weekly)]]*25%</f>
        <v>18750</v>
      </c>
      <c r="Y32" s="1">
        <v>60000</v>
      </c>
      <c r="AA3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-192750</v>
      </c>
      <c r="AB3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-86250</v>
      </c>
      <c r="AC32" s="27">
        <f>IFERROR(Table2[[#This Row],[Delivery PV]]/(Table2[[#This Row],[Total Sharing % (Weekly)]]+Table2[[#This Row],[Rider Penalty (Denda to Riders)]]),0)</f>
        <v>-4.5999999999999996</v>
      </c>
      <c r="AD32" s="28">
        <f>SUM(Table2[[#This Row],[Total Potongan Moils (Weekly) ]:[Total Subsidi Molis KSJ (Monthly)]])-Table2[[#This Row],[Total Cost Molis (Weekly)]]</f>
        <v>-106500</v>
      </c>
      <c r="AE32" s="27">
        <f>IFERROR(Table2[[#This Row],[EV Related PV]]/(Table2[[#This Row],[Total Potongan Moils (Weekly) ]]+Table2[[#This Row],[Total Subsidi Molis KSJ (Monthly)]]),-1)</f>
        <v>-1.7749999999999999</v>
      </c>
      <c r="AG32" s="12"/>
    </row>
    <row r="33" spans="2:33">
      <c r="B33">
        <v>2025</v>
      </c>
      <c r="C33" s="30" t="s">
        <v>23</v>
      </c>
      <c r="D33" s="30" t="s">
        <v>23</v>
      </c>
      <c r="E33" s="30" t="s">
        <v>168</v>
      </c>
      <c r="F33" s="30" t="s">
        <v>24</v>
      </c>
      <c r="G33" s="30" t="s">
        <v>24</v>
      </c>
      <c r="H33" s="30">
        <v>2</v>
      </c>
      <c r="I33" s="30" t="s">
        <v>21</v>
      </c>
      <c r="J33" t="s">
        <v>256</v>
      </c>
      <c r="K33" t="s">
        <v>22</v>
      </c>
      <c r="L33" s="1">
        <v>44</v>
      </c>
      <c r="M33" s="1">
        <v>9110</v>
      </c>
      <c r="N33" s="1">
        <v>83081000</v>
      </c>
      <c r="O33" s="1">
        <v>7225900</v>
      </c>
      <c r="P33" s="1">
        <f>225*50000</f>
        <v>11250000</v>
      </c>
      <c r="Q33" s="1">
        <v>0</v>
      </c>
      <c r="R33" s="1">
        <v>0</v>
      </c>
      <c r="S33" s="1">
        <v>0</v>
      </c>
      <c r="T33" s="1">
        <v>10156500</v>
      </c>
      <c r="U33" s="1">
        <f>SUM(Table2[[#This Row],[Total Selling Comission/Sales (Weekly)]:[Manpower (Korlap)]])</f>
        <v>18475900</v>
      </c>
      <c r="W33" s="1">
        <f>Table2[[#This Row],[Total Selling]]*23%</f>
        <v>19108630</v>
      </c>
      <c r="X33" s="1">
        <v>0</v>
      </c>
      <c r="Y33" s="1">
        <f>225*25000</f>
        <v>5625000</v>
      </c>
      <c r="Z33" s="1">
        <f>225*14400</f>
        <v>3240000</v>
      </c>
      <c r="AA3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-658770</v>
      </c>
      <c r="AB3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632730</v>
      </c>
      <c r="AC33" s="27">
        <f>IFERROR(Table2[[#This Row],[Delivery PV]]/(Table2[[#This Row],[Total Sharing % (Weekly)]]+Table2[[#This Row],[Rider Penalty (Denda to Riders)]]),0)</f>
        <v>3.3112263935195771E-2</v>
      </c>
      <c r="AD33" s="28">
        <f>SUM(Table2[[#This Row],[Total Potongan Moils (Weekly) ]:[Total Subsidi Molis KSJ (Monthly)]])-Table2[[#This Row],[Total Cost Molis (Weekly)]]</f>
        <v>-1291500</v>
      </c>
      <c r="AE33" s="27">
        <f>IFERROR(Table2[[#This Row],[EV Related PV]]/(Table2[[#This Row],[Total Potongan Moils (Weekly) ]]+Table2[[#This Row],[Total Subsidi Molis KSJ (Monthly)]]),-1)</f>
        <v>-0.14568527918781726</v>
      </c>
      <c r="AG33" s="12"/>
    </row>
    <row r="34" spans="2:33">
      <c r="B34">
        <v>2025</v>
      </c>
      <c r="C34" s="30" t="s">
        <v>23</v>
      </c>
      <c r="D34" s="30" t="s">
        <v>23</v>
      </c>
      <c r="E34" s="30" t="s">
        <v>168</v>
      </c>
      <c r="F34" s="30" t="s">
        <v>24</v>
      </c>
      <c r="G34" s="30" t="s">
        <v>282</v>
      </c>
      <c r="H34" s="30">
        <v>2</v>
      </c>
      <c r="I34" s="30" t="s">
        <v>21</v>
      </c>
      <c r="J34" t="s">
        <v>256</v>
      </c>
      <c r="K34" t="s">
        <v>22</v>
      </c>
      <c r="L34" s="1">
        <v>15</v>
      </c>
      <c r="M34" s="1">
        <v>4243</v>
      </c>
      <c r="N34" s="1">
        <v>39114000</v>
      </c>
      <c r="O34" s="1">
        <v>3394400</v>
      </c>
      <c r="P34" s="1">
        <f>80*50000</f>
        <v>4000000</v>
      </c>
      <c r="Q34" s="1">
        <v>0</v>
      </c>
      <c r="R34" s="1">
        <v>0</v>
      </c>
      <c r="S34" s="1">
        <v>0</v>
      </c>
      <c r="T34" s="1">
        <f>80*33300</f>
        <v>2664000</v>
      </c>
      <c r="U34" s="1">
        <f>SUM(Table2[[#This Row],[Total Selling Comission/Sales (Weekly)]:[Manpower (Korlap)]])</f>
        <v>7394400</v>
      </c>
      <c r="W34" s="1">
        <f>Table2[[#This Row],[Total Selling]]*23%</f>
        <v>8996220</v>
      </c>
      <c r="X34" s="1">
        <v>0</v>
      </c>
      <c r="Y34" s="1">
        <f>80*25000</f>
        <v>2000000</v>
      </c>
      <c r="Z34" s="1">
        <f>80*14400</f>
        <v>1152000</v>
      </c>
      <c r="AA3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2089820</v>
      </c>
      <c r="AB3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1601820</v>
      </c>
      <c r="AC34" s="27">
        <f>IFERROR(Table2[[#This Row],[Delivery PV]]/(Table2[[#This Row],[Total Sharing % (Weekly)]]+Table2[[#This Row],[Rider Penalty (Denda to Riders)]]),0)</f>
        <v>0.17805478300886371</v>
      </c>
      <c r="AD34" s="28">
        <f>SUM(Table2[[#This Row],[Total Potongan Moils (Weekly) ]:[Total Subsidi Molis KSJ (Monthly)]])-Table2[[#This Row],[Total Cost Molis (Weekly)]]</f>
        <v>488000</v>
      </c>
      <c r="AE34" s="27">
        <f>IFERROR(Table2[[#This Row],[EV Related PV]]/(Table2[[#This Row],[Total Potongan Moils (Weekly) ]]+Table2[[#This Row],[Total Subsidi Molis KSJ (Monthly)]]),-1)</f>
        <v>0.1548223350253807</v>
      </c>
      <c r="AG34" s="12"/>
    </row>
    <row r="35" spans="2:33">
      <c r="B35">
        <v>2025</v>
      </c>
      <c r="C35" s="30" t="s">
        <v>23</v>
      </c>
      <c r="D35" s="30" t="s">
        <v>23</v>
      </c>
      <c r="E35" s="30" t="s">
        <v>168</v>
      </c>
      <c r="F35" s="30" t="s">
        <v>28</v>
      </c>
      <c r="G35" s="30" t="s">
        <v>25</v>
      </c>
      <c r="H35" s="30">
        <v>2</v>
      </c>
      <c r="I35" s="30" t="s">
        <v>21</v>
      </c>
      <c r="J35" t="s">
        <v>256</v>
      </c>
      <c r="K35" t="s">
        <v>22</v>
      </c>
      <c r="L35" s="42">
        <v>257</v>
      </c>
      <c r="M35" s="42">
        <v>75705</v>
      </c>
      <c r="N35" s="42">
        <v>666015000</v>
      </c>
      <c r="O35" s="42">
        <v>75642500</v>
      </c>
      <c r="P35" s="42">
        <v>52225000</v>
      </c>
      <c r="Q35" s="42"/>
      <c r="R35" s="42"/>
      <c r="S35" s="42"/>
      <c r="T35" s="42">
        <v>57542400</v>
      </c>
      <c r="U35" s="42">
        <f>SUM(Table2[[#This Row],[Total Selling Comission/Sales (Weekly)]:[Manpower (Korlap)]])</f>
        <v>127867500</v>
      </c>
      <c r="V35" s="42">
        <v>2620000</v>
      </c>
      <c r="W35" s="42">
        <f>Table2[[#This Row],[Total Selling]]*23%</f>
        <v>153183450</v>
      </c>
      <c r="X35" s="42"/>
      <c r="Y35" s="42">
        <v>31104000</v>
      </c>
      <c r="Z35" s="42">
        <f>(166+186+207+171+188+222+216)*24000</f>
        <v>32544000</v>
      </c>
      <c r="AA3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28801550</v>
      </c>
      <c r="AB3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25315950</v>
      </c>
      <c r="AC35" s="43">
        <f>IFERROR(Table2[[#This Row],[Delivery PV]]/(Table2[[#This Row],[Total Sharing % (Weekly)]]+Table2[[#This Row],[Rider Penalty (Denda to Riders)]]),0)</f>
        <v>0.16526556883266436</v>
      </c>
      <c r="AD35" s="44">
        <f>SUM(Table2[[#This Row],[Total Potongan Moils (Weekly) ]:[Total Subsidi Molis KSJ (Monthly)]])-Table2[[#This Row],[Total Cost Molis (Weekly)]]</f>
        <v>6105600</v>
      </c>
      <c r="AE35" s="43">
        <f>IFERROR(Table2[[#This Row],[EV Related PV]]/(Table2[[#This Row],[Total Potongan Moils (Weekly) ]]+Table2[[#This Row],[Total Subsidi Molis KSJ (Monthly)]]),-1)</f>
        <v>9.5927601809954757E-2</v>
      </c>
      <c r="AG35" s="12"/>
    </row>
    <row r="36" spans="2:33">
      <c r="B36">
        <v>2025</v>
      </c>
      <c r="C36" s="30" t="s">
        <v>23</v>
      </c>
      <c r="D36" s="30" t="s">
        <v>23</v>
      </c>
      <c r="E36" s="30" t="s">
        <v>168</v>
      </c>
      <c r="F36" s="30" t="s">
        <v>28</v>
      </c>
      <c r="G36" s="30" t="s">
        <v>31</v>
      </c>
      <c r="H36" s="30">
        <v>2</v>
      </c>
      <c r="I36" s="30" t="s">
        <v>21</v>
      </c>
      <c r="J36" t="s">
        <v>256</v>
      </c>
      <c r="K36" t="s">
        <v>22</v>
      </c>
      <c r="L36" s="42">
        <v>19</v>
      </c>
      <c r="M36" s="42">
        <v>7309</v>
      </c>
      <c r="N36" s="42">
        <v>64489000</v>
      </c>
      <c r="O36" s="42">
        <v>7291500</v>
      </c>
      <c r="P36" s="45">
        <v>4900000</v>
      </c>
      <c r="Q36" s="42"/>
      <c r="R36" s="42"/>
      <c r="S36" s="42"/>
      <c r="T36" s="42">
        <v>4362300</v>
      </c>
      <c r="U36" s="42">
        <f>SUM(Table2[[#This Row],[Total Selling Comission/Sales (Weekly)]:[Manpower (Korlap)]])</f>
        <v>12191500</v>
      </c>
      <c r="V36" s="42">
        <v>456000</v>
      </c>
      <c r="W36" s="42">
        <f>Table2[[#This Row],[Total Selling]]*23%</f>
        <v>14832470</v>
      </c>
      <c r="X36" s="42"/>
      <c r="Y36" s="42">
        <v>2358000</v>
      </c>
      <c r="Z36" s="42">
        <v>2688000</v>
      </c>
      <c r="AA3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2868670</v>
      </c>
      <c r="AB3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2640970</v>
      </c>
      <c r="AC36" s="43">
        <f>IFERROR(Table2[[#This Row],[Delivery PV]]/(Table2[[#This Row],[Total Sharing % (Weekly)]]+Table2[[#This Row],[Rider Penalty (Denda to Riders)]]),0)</f>
        <v>0.17805328444958932</v>
      </c>
      <c r="AD36" s="44">
        <f>SUM(Table2[[#This Row],[Total Potongan Moils (Weekly) ]:[Total Subsidi Molis KSJ (Monthly)]])-Table2[[#This Row],[Total Cost Molis (Weekly)]]</f>
        <v>683700</v>
      </c>
      <c r="AE36" s="43">
        <f>IFERROR(Table2[[#This Row],[EV Related PV]]/(Table2[[#This Row],[Total Potongan Moils (Weekly) ]]+Table2[[#This Row],[Total Subsidi Molis KSJ (Monthly)]]),-1)</f>
        <v>0.13549346016646849</v>
      </c>
      <c r="AG36" s="12"/>
    </row>
    <row r="37" spans="2:33">
      <c r="B37">
        <v>2025</v>
      </c>
      <c r="C37" s="30" t="s">
        <v>23</v>
      </c>
      <c r="D37" s="30" t="s">
        <v>23</v>
      </c>
      <c r="E37" s="30" t="s">
        <v>168</v>
      </c>
      <c r="F37" s="30" t="s">
        <v>24</v>
      </c>
      <c r="G37" s="30" t="s">
        <v>24</v>
      </c>
      <c r="H37" s="30">
        <v>1</v>
      </c>
      <c r="I37" s="30" t="s">
        <v>21</v>
      </c>
      <c r="J37" t="s">
        <v>275</v>
      </c>
      <c r="K37" s="34" t="s">
        <v>300</v>
      </c>
      <c r="L37" s="42">
        <v>44</v>
      </c>
      <c r="M37" s="42">
        <v>9125</v>
      </c>
      <c r="N37" s="42">
        <v>83533000</v>
      </c>
      <c r="O37" s="42">
        <v>7246900</v>
      </c>
      <c r="P37" s="42">
        <f>219*50000</f>
        <v>10950000</v>
      </c>
      <c r="Q37" s="42">
        <v>0</v>
      </c>
      <c r="R37" s="42">
        <v>0</v>
      </c>
      <c r="S37" s="42">
        <v>0</v>
      </c>
      <c r="T37" s="42">
        <f>219*33300</f>
        <v>7292700</v>
      </c>
      <c r="U37" s="42">
        <f>SUM(Table2[[#This Row],[Total Selling Comission/Sales (Weekly)]:[Manpower (Korlap)]])</f>
        <v>18196900</v>
      </c>
      <c r="V37" s="42"/>
      <c r="W37" s="42">
        <f>Table2[[#This Row],[Total Selling]]*23%</f>
        <v>19212590</v>
      </c>
      <c r="X37" s="42"/>
      <c r="Y37" s="42">
        <f>219*25000</f>
        <v>5475000</v>
      </c>
      <c r="Z37" s="42">
        <f>219*14400</f>
        <v>3153600</v>
      </c>
      <c r="AA3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2351590</v>
      </c>
      <c r="AB37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1015690</v>
      </c>
      <c r="AC37" s="46">
        <f>IFERROR(Table2[[#This Row],[Delivery PV]]/(Table2[[#This Row],[Total Sharing % (Weekly)]]+Table2[[#This Row],[Rider Penalty (Denda to Riders)]]),0)</f>
        <v>5.2865855150190579E-2</v>
      </c>
      <c r="AD37" s="44">
        <f>SUM(Table2[[#This Row],[Total Potongan Moils (Weekly) ]:[Total Subsidi Molis KSJ (Monthly)]])-Table2[[#This Row],[Total Cost Molis (Weekly)]]</f>
        <v>1335900</v>
      </c>
      <c r="AE37" s="43">
        <f>IFERROR(Table2[[#This Row],[EV Related PV]]/(Table2[[#This Row],[Total Potongan Moils (Weekly) ]]+Table2[[#This Row],[Total Subsidi Molis KSJ (Monthly)]]),-1)</f>
        <v>0.1548223350253807</v>
      </c>
      <c r="AG37" s="12"/>
    </row>
    <row r="38" spans="2:33">
      <c r="B38">
        <v>2025</v>
      </c>
      <c r="C38" s="30" t="s">
        <v>23</v>
      </c>
      <c r="D38" s="30" t="s">
        <v>23</v>
      </c>
      <c r="E38" s="30" t="s">
        <v>168</v>
      </c>
      <c r="F38" s="30" t="s">
        <v>24</v>
      </c>
      <c r="G38" s="30" t="s">
        <v>282</v>
      </c>
      <c r="H38" s="30">
        <v>1</v>
      </c>
      <c r="I38" s="30" t="s">
        <v>21</v>
      </c>
      <c r="J38" t="s">
        <v>275</v>
      </c>
      <c r="K38" s="34" t="s">
        <v>300</v>
      </c>
      <c r="L38" s="42">
        <v>14</v>
      </c>
      <c r="M38" s="42">
        <v>3687</v>
      </c>
      <c r="N38" s="42">
        <v>34248000</v>
      </c>
      <c r="O38" s="42">
        <v>2949600</v>
      </c>
      <c r="P38" s="42">
        <f>64*50000</f>
        <v>3200000</v>
      </c>
      <c r="Q38" s="42">
        <v>0</v>
      </c>
      <c r="R38" s="42">
        <v>0</v>
      </c>
      <c r="S38" s="42">
        <v>0</v>
      </c>
      <c r="T38" s="42">
        <f>64*33300</f>
        <v>2131200</v>
      </c>
      <c r="U38" s="42">
        <f>SUM(Table2[[#This Row],[Total Selling Comission/Sales (Weekly)]:[Manpower (Korlap)]])</f>
        <v>6149600</v>
      </c>
      <c r="V38" s="42"/>
      <c r="W38" s="42">
        <f>Table2[[#This Row],[Total Selling]]*23%</f>
        <v>7877040</v>
      </c>
      <c r="X38" s="42"/>
      <c r="Y38" s="42">
        <f>64*25000</f>
        <v>1600000</v>
      </c>
      <c r="Z38" s="42">
        <f>64*14400</f>
        <v>921600</v>
      </c>
      <c r="AA3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2117840</v>
      </c>
      <c r="AB38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1727440</v>
      </c>
      <c r="AC38" s="46">
        <f>IFERROR(Table2[[#This Row],[Delivery PV]]/(Table2[[#This Row],[Total Sharing % (Weekly)]]+Table2[[#This Row],[Rider Penalty (Denda to Riders)]]),0)</f>
        <v>0.21930065100596163</v>
      </c>
      <c r="AD38" s="44">
        <f>SUM(Table2[[#This Row],[Total Potongan Moils (Weekly) ]:[Total Subsidi Molis KSJ (Monthly)]])-Table2[[#This Row],[Total Cost Molis (Weekly)]]</f>
        <v>390400</v>
      </c>
      <c r="AE38" s="43">
        <f>IFERROR(Table2[[#This Row],[EV Related PV]]/(Table2[[#This Row],[Total Potongan Moils (Weekly) ]]+Table2[[#This Row],[Total Subsidi Molis KSJ (Monthly)]]),-1)</f>
        <v>0.1548223350253807</v>
      </c>
      <c r="AG38" s="12"/>
    </row>
    <row r="39" spans="2:33">
      <c r="B39">
        <v>2025</v>
      </c>
      <c r="C39" s="30" t="s">
        <v>23</v>
      </c>
      <c r="D39" s="30" t="s">
        <v>23</v>
      </c>
      <c r="E39" s="30" t="s">
        <v>168</v>
      </c>
      <c r="F39" s="30" t="s">
        <v>28</v>
      </c>
      <c r="G39" s="30" t="s">
        <v>25</v>
      </c>
      <c r="H39" s="30">
        <v>1</v>
      </c>
      <c r="I39" s="30" t="s">
        <v>21</v>
      </c>
      <c r="J39" t="s">
        <v>275</v>
      </c>
      <c r="K39" s="34" t="s">
        <v>300</v>
      </c>
      <c r="L39" s="42">
        <v>247</v>
      </c>
      <c r="M39" s="42">
        <v>78666</v>
      </c>
      <c r="N39" s="42">
        <v>693390000</v>
      </c>
      <c r="O39" s="42">
        <v>78666000</v>
      </c>
      <c r="P39" s="42">
        <v>52975000</v>
      </c>
      <c r="Q39" s="42">
        <v>0</v>
      </c>
      <c r="R39" s="42">
        <v>0</v>
      </c>
      <c r="S39" s="42"/>
      <c r="T39" s="42">
        <v>54245700</v>
      </c>
      <c r="U39" s="42">
        <f>SUM(Table2[[#This Row],[Total Selling Comission/Sales (Weekly)]:[Manpower (Korlap)]])</f>
        <v>131641000</v>
      </c>
      <c r="V39" s="42">
        <v>2620000</v>
      </c>
      <c r="W39" s="42">
        <f>Table2[[#This Row],[Total Selling]]*23%</f>
        <v>159479700</v>
      </c>
      <c r="X39" s="42"/>
      <c r="Y39" s="42">
        <v>29322000</v>
      </c>
      <c r="Z39" s="42">
        <v>30792000</v>
      </c>
      <c r="AA3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31087000</v>
      </c>
      <c r="AB39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27838700</v>
      </c>
      <c r="AC39" s="46">
        <f>IFERROR(Table2[[#This Row],[Delivery PV]]/(Table2[[#This Row],[Total Sharing % (Weekly)]]+Table2[[#This Row],[Rider Penalty (Denda to Riders)]]),0)</f>
        <v>0.17455952074151129</v>
      </c>
      <c r="AD39" s="44">
        <f>SUM(Table2[[#This Row],[Total Potongan Moils (Weekly) ]:[Total Subsidi Molis KSJ (Monthly)]])-Table2[[#This Row],[Total Cost Molis (Weekly)]]</f>
        <v>5868300</v>
      </c>
      <c r="AE39" s="43">
        <f>IFERROR(Table2[[#This Row],[EV Related PV]]/(Table2[[#This Row],[Total Potongan Moils (Weekly) ]]+Table2[[#This Row],[Total Subsidi Molis KSJ (Monthly)]]),-1)</f>
        <v>9.7619522906477699E-2</v>
      </c>
      <c r="AG39" s="12"/>
    </row>
    <row r="40" spans="2:33">
      <c r="B40">
        <v>2025</v>
      </c>
      <c r="C40" s="30" t="s">
        <v>23</v>
      </c>
      <c r="D40" s="30" t="s">
        <v>23</v>
      </c>
      <c r="E40" s="30" t="s">
        <v>168</v>
      </c>
      <c r="F40" s="30" t="s">
        <v>28</v>
      </c>
      <c r="G40" s="30" t="s">
        <v>31</v>
      </c>
      <c r="H40" s="30">
        <v>1</v>
      </c>
      <c r="I40" s="30" t="s">
        <v>21</v>
      </c>
      <c r="J40" t="s">
        <v>275</v>
      </c>
      <c r="K40" s="34" t="s">
        <v>300</v>
      </c>
      <c r="L40" s="42">
        <v>19</v>
      </c>
      <c r="M40" s="42">
        <v>7429</v>
      </c>
      <c r="N40" s="42">
        <v>65820000</v>
      </c>
      <c r="O40" s="42">
        <v>7429000</v>
      </c>
      <c r="P40" s="42">
        <v>5125000</v>
      </c>
      <c r="Q40" s="42"/>
      <c r="R40" s="42"/>
      <c r="S40" s="42"/>
      <c r="T40" s="42">
        <v>4362300</v>
      </c>
      <c r="U40" s="42">
        <f>SUM(Table2[[#This Row],[Total Selling Comission/Sales (Weekly)]:[Manpower (Korlap)]])</f>
        <v>12554000</v>
      </c>
      <c r="V40" s="42">
        <v>456000</v>
      </c>
      <c r="W40" s="42">
        <f>Table2[[#This Row],[Total Selling]]*23%</f>
        <v>15138600</v>
      </c>
      <c r="X40" s="42"/>
      <c r="Y40" s="42">
        <v>2358000</v>
      </c>
      <c r="Z40" s="42">
        <f>(13+19+18+14+16+18+18)*24000</f>
        <v>2784000</v>
      </c>
      <c r="AA4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2908300</v>
      </c>
      <c r="AB40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2584600</v>
      </c>
      <c r="AC40" s="46">
        <f>IFERROR(Table2[[#This Row],[Delivery PV]]/(Table2[[#This Row],[Total Sharing % (Weekly)]]+Table2[[#This Row],[Rider Penalty (Denda to Riders)]]),0)</f>
        <v>0.17072912950999433</v>
      </c>
      <c r="AD40" s="44">
        <f>SUM(Table2[[#This Row],[Total Potongan Moils (Weekly) ]:[Total Subsidi Molis KSJ (Monthly)]])-Table2[[#This Row],[Total Cost Molis (Weekly)]]</f>
        <v>779700</v>
      </c>
      <c r="AE40" s="43">
        <f>IFERROR(Table2[[#This Row],[EV Related PV]]/(Table2[[#This Row],[Total Potongan Moils (Weekly) ]]+Table2[[#This Row],[Total Subsidi Molis KSJ (Monthly)]]),-1)</f>
        <v>0.1516336056009335</v>
      </c>
      <c r="AG40" s="12"/>
    </row>
    <row r="41" spans="2:33" hidden="1">
      <c r="B41">
        <v>2024</v>
      </c>
      <c r="C41" t="s">
        <v>23</v>
      </c>
      <c r="D41" t="s">
        <v>23</v>
      </c>
      <c r="E41" t="s">
        <v>168</v>
      </c>
      <c r="F41" t="s">
        <v>24</v>
      </c>
      <c r="G41" t="s">
        <v>24</v>
      </c>
      <c r="H41"/>
      <c r="I41" t="s">
        <v>166</v>
      </c>
      <c r="J41" t="s">
        <v>279</v>
      </c>
      <c r="K41" t="s">
        <v>303</v>
      </c>
      <c r="L41" s="42">
        <v>55</v>
      </c>
      <c r="M41" s="42">
        <v>10497</v>
      </c>
      <c r="N41" s="42">
        <v>96386600</v>
      </c>
      <c r="O41" s="42">
        <v>13240800</v>
      </c>
      <c r="P41" s="42">
        <v>46250000</v>
      </c>
      <c r="Q41" s="42">
        <v>4000000</v>
      </c>
      <c r="R41" s="42">
        <v>200000</v>
      </c>
      <c r="S41" s="42"/>
      <c r="T41" s="42">
        <v>36563400</v>
      </c>
      <c r="U41" s="42">
        <f>SUM(Table2[[#This Row],[Total Selling Comission/Sales (Weekly)]:[Manpower (Korlap)]])</f>
        <v>63690800</v>
      </c>
      <c r="V41" s="42"/>
      <c r="W41" s="42">
        <f>Table2[[#This Row],[Total Selling]]*23%</f>
        <v>22168918</v>
      </c>
      <c r="X41" s="42"/>
      <c r="Y41" s="42">
        <v>26676000</v>
      </c>
      <c r="Z41" s="42">
        <v>15811200</v>
      </c>
      <c r="AA4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-35598082</v>
      </c>
      <c r="AB41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-41521882</v>
      </c>
      <c r="AC41" s="46">
        <f>IFERROR(Table2[[#This Row],[Delivery PV]]/(Table2[[#This Row],[Total Sharing % (Weekly)]]+Table2[[#This Row],[Rider Penalty (Denda to Riders)]]),0)</f>
        <v>-1.8729773821167095</v>
      </c>
      <c r="AD41" s="44">
        <f>SUM(Table2[[#This Row],[Total Potongan Moils (Weekly) ]:[Total Subsidi Molis KSJ (Monthly)]])-Table2[[#This Row],[Total Cost Molis (Weekly)]]</f>
        <v>5923800</v>
      </c>
      <c r="AE41" s="43">
        <f>IFERROR(Table2[[#This Row],[EV Related PV]]/(Table2[[#This Row],[Total Potongan Moils (Weekly) ]]+Table2[[#This Row],[Total Subsidi Molis KSJ (Monthly)]]),-1)</f>
        <v>0.13942552109811895</v>
      </c>
      <c r="AG41" s="12"/>
    </row>
    <row r="42" spans="2:33" hidden="1">
      <c r="B42">
        <v>2024</v>
      </c>
      <c r="C42" t="s">
        <v>23</v>
      </c>
      <c r="D42" t="s">
        <v>23</v>
      </c>
      <c r="E42" t="s">
        <v>168</v>
      </c>
      <c r="F42" t="s">
        <v>28</v>
      </c>
      <c r="G42" t="s">
        <v>25</v>
      </c>
      <c r="H42"/>
      <c r="I42" t="s">
        <v>166</v>
      </c>
      <c r="J42" t="s">
        <v>279</v>
      </c>
      <c r="K42" t="s">
        <v>303</v>
      </c>
      <c r="L42" s="42">
        <v>242</v>
      </c>
      <c r="M42" s="42">
        <v>71078</v>
      </c>
      <c r="N42" s="42">
        <v>619549000</v>
      </c>
      <c r="O42" s="42">
        <v>70751000</v>
      </c>
      <c r="P42" s="42">
        <v>53200000</v>
      </c>
      <c r="Q42" s="42">
        <v>31875000</v>
      </c>
      <c r="R42" s="42">
        <v>5700000</v>
      </c>
      <c r="S42" s="42"/>
      <c r="T42" s="42">
        <v>54516000</v>
      </c>
      <c r="U42" s="42">
        <f>SUM(Table2[[#This Row],[Total Selling Comission/Sales (Weekly)]:[Manpower (Korlap)]])</f>
        <v>161526000</v>
      </c>
      <c r="V42" s="42"/>
      <c r="W42" s="42">
        <f>Table2[[#This Row],[Total Selling]]*23%</f>
        <v>142496270</v>
      </c>
      <c r="X42" s="42"/>
      <c r="Y42" s="42">
        <v>29736000</v>
      </c>
      <c r="Z42" s="42">
        <v>31344000</v>
      </c>
      <c r="AA4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-12465730</v>
      </c>
      <c r="AB42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-19029730</v>
      </c>
      <c r="AC42" s="46">
        <f>IFERROR(Table2[[#This Row],[Delivery PV]]/(Table2[[#This Row],[Total Sharing % (Weekly)]]+Table2[[#This Row],[Rider Penalty (Denda to Riders)]]),0)</f>
        <v>-0.13354546052328248</v>
      </c>
      <c r="AD42" s="44">
        <f>SUM(Table2[[#This Row],[Total Potongan Moils (Weekly) ]:[Total Subsidi Molis KSJ (Monthly)]])-Table2[[#This Row],[Total Cost Molis (Weekly)]]</f>
        <v>6564000</v>
      </c>
      <c r="AE42" s="43">
        <f>IFERROR(Table2[[#This Row],[EV Related PV]]/(Table2[[#This Row],[Total Potongan Moils (Weekly) ]]+Table2[[#This Row],[Total Subsidi Molis KSJ (Monthly)]]),-1)</f>
        <v>0.1074656188605108</v>
      </c>
      <c r="AG42" s="12"/>
    </row>
    <row r="43" spans="2:33" hidden="1">
      <c r="B43">
        <v>2024</v>
      </c>
      <c r="C43" t="s">
        <v>23</v>
      </c>
      <c r="D43" t="s">
        <v>23</v>
      </c>
      <c r="E43" t="s">
        <v>168</v>
      </c>
      <c r="F43" t="s">
        <v>28</v>
      </c>
      <c r="G43" t="s">
        <v>31</v>
      </c>
      <c r="H43"/>
      <c r="I43" t="s">
        <v>166</v>
      </c>
      <c r="J43" t="s">
        <v>279</v>
      </c>
      <c r="K43" t="s">
        <v>303</v>
      </c>
      <c r="L43" s="42">
        <v>19</v>
      </c>
      <c r="M43" s="42">
        <v>5555</v>
      </c>
      <c r="N43" s="42">
        <v>51734000</v>
      </c>
      <c r="O43" s="42">
        <v>5550000</v>
      </c>
      <c r="P43" s="42">
        <v>4375000</v>
      </c>
      <c r="Q43" s="42">
        <v>4125000</v>
      </c>
      <c r="R43" s="42">
        <v>0</v>
      </c>
      <c r="S43" s="42">
        <v>0</v>
      </c>
      <c r="T43" s="42">
        <v>4125000</v>
      </c>
      <c r="U43" s="42">
        <f>SUM(Table2[[#This Row],[Total Selling Comission/Sales (Weekly)]:[Manpower (Korlap)]])</f>
        <v>14050000</v>
      </c>
      <c r="V43" s="42"/>
      <c r="W43" s="42">
        <f>Table2[[#This Row],[Total Selling]]*23%</f>
        <v>11898820</v>
      </c>
      <c r="X43" s="42"/>
      <c r="Y43" s="42">
        <v>2250000</v>
      </c>
      <c r="Z43" s="42">
        <f>(10+12+16+16+15+16+15)*24000</f>
        <v>2400000</v>
      </c>
      <c r="AA4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-1626180</v>
      </c>
      <c r="AB43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-2151180</v>
      </c>
      <c r="AC43" s="46">
        <f>IFERROR(Table2[[#This Row],[Delivery PV]]/(Table2[[#This Row],[Total Sharing % (Weekly)]]+Table2[[#This Row],[Rider Penalty (Denda to Riders)]]),0)</f>
        <v>-0.18078935558315867</v>
      </c>
      <c r="AD43" s="44">
        <f>SUM(Table2[[#This Row],[Total Potongan Moils (Weekly) ]:[Total Subsidi Molis KSJ (Monthly)]])-Table2[[#This Row],[Total Cost Molis (Weekly)]]</f>
        <v>525000</v>
      </c>
      <c r="AE43" s="43">
        <f>IFERROR(Table2[[#This Row],[EV Related PV]]/(Table2[[#This Row],[Total Potongan Moils (Weekly) ]]+Table2[[#This Row],[Total Subsidi Molis KSJ (Monthly)]]),-1)</f>
        <v>0.11290322580645161</v>
      </c>
      <c r="AG43" s="12"/>
    </row>
    <row r="44" spans="2:33" hidden="1">
      <c r="B44">
        <v>2024</v>
      </c>
      <c r="C44" t="s">
        <v>23</v>
      </c>
      <c r="D44" t="s">
        <v>23</v>
      </c>
      <c r="E44" t="s">
        <v>168</v>
      </c>
      <c r="F44" t="s">
        <v>24</v>
      </c>
      <c r="G44" t="s">
        <v>24</v>
      </c>
      <c r="H44"/>
      <c r="I44" t="s">
        <v>166</v>
      </c>
      <c r="J44" t="s">
        <v>278</v>
      </c>
      <c r="K44" t="s">
        <v>304</v>
      </c>
      <c r="L44" s="42">
        <v>48</v>
      </c>
      <c r="M44" s="42">
        <v>10683</v>
      </c>
      <c r="N44" s="42">
        <v>98694000</v>
      </c>
      <c r="O44" s="42">
        <v>8037900</v>
      </c>
      <c r="P44" s="42">
        <v>0</v>
      </c>
      <c r="Q44" s="42">
        <v>0</v>
      </c>
      <c r="R44" s="42">
        <v>0</v>
      </c>
      <c r="S44" s="42"/>
      <c r="T44" s="42">
        <v>0</v>
      </c>
      <c r="U44" s="42">
        <f>SUM(Table2[[#This Row],[Total Selling Comission/Sales (Weekly)]:[Manpower (Korlap)]])</f>
        <v>8037900</v>
      </c>
      <c r="V44" s="42"/>
      <c r="W44" s="42">
        <f>Table2[[#This Row],[Total Selling]]*23%</f>
        <v>22699620</v>
      </c>
      <c r="X44" s="42"/>
      <c r="Y44" s="42">
        <v>0</v>
      </c>
      <c r="Z44" s="42">
        <v>0</v>
      </c>
      <c r="AA4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14661720</v>
      </c>
      <c r="AB44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14661720</v>
      </c>
      <c r="AC44" s="46">
        <f>IFERROR(Table2[[#This Row],[Delivery PV]]/(Table2[[#This Row],[Total Sharing % (Weekly)]]+Table2[[#This Row],[Rider Penalty (Denda to Riders)]]),0)</f>
        <v>0.64590156134772303</v>
      </c>
      <c r="AD44" s="44">
        <f>SUM(Table2[[#This Row],[Total Potongan Moils (Weekly) ]:[Total Subsidi Molis KSJ (Monthly)]])-Table2[[#This Row],[Total Cost Molis (Weekly)]]</f>
        <v>0</v>
      </c>
      <c r="AE44" s="43">
        <f>IFERROR(Table2[[#This Row],[EV Related PV]]/(Table2[[#This Row],[Total Potongan Moils (Weekly) ]]+Table2[[#This Row],[Total Subsidi Molis KSJ (Monthly)]]),-1)</f>
        <v>-1</v>
      </c>
      <c r="AG44" s="12"/>
    </row>
    <row r="45" spans="2:33" hidden="1">
      <c r="B45">
        <v>2024</v>
      </c>
      <c r="C45" t="s">
        <v>23</v>
      </c>
      <c r="D45" t="s">
        <v>23</v>
      </c>
      <c r="E45" t="s">
        <v>168</v>
      </c>
      <c r="F45" t="s">
        <v>28</v>
      </c>
      <c r="G45" t="s">
        <v>25</v>
      </c>
      <c r="H45"/>
      <c r="I45" t="s">
        <v>166</v>
      </c>
      <c r="J45" t="s">
        <v>278</v>
      </c>
      <c r="K45" t="s">
        <v>304</v>
      </c>
      <c r="L45" s="42">
        <v>247</v>
      </c>
      <c r="M45" s="42">
        <v>68023</v>
      </c>
      <c r="N45" s="42">
        <v>597589000</v>
      </c>
      <c r="O45" s="42">
        <v>68023000</v>
      </c>
      <c r="P45" s="42">
        <v>51575000</v>
      </c>
      <c r="Q45" s="42">
        <v>0</v>
      </c>
      <c r="R45" s="42">
        <v>0</v>
      </c>
      <c r="S45" s="42">
        <v>0</v>
      </c>
      <c r="T45" s="42">
        <v>52514100</v>
      </c>
      <c r="U45" s="42">
        <f>SUM(Table2[[#This Row],[Total Selling Comission/Sales (Weekly)]:[Manpower (Korlap)]])</f>
        <v>119598000</v>
      </c>
      <c r="V45" s="42"/>
      <c r="W45" s="42">
        <f>Table2[[#This Row],[Total Selling]]*23%</f>
        <v>137445470</v>
      </c>
      <c r="X45" s="42"/>
      <c r="Y45" s="42">
        <v>28386000</v>
      </c>
      <c r="Z45" s="42">
        <f>(164+193+180+193+188+205+159)*24000</f>
        <v>30768000</v>
      </c>
      <c r="AA4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24487370</v>
      </c>
      <c r="AB45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17847470</v>
      </c>
      <c r="AC45" s="46">
        <f>IFERROR(Table2[[#This Row],[Delivery PV]]/(Table2[[#This Row],[Total Sharing % (Weekly)]]+Table2[[#This Row],[Rider Penalty (Denda to Riders)]]),0)</f>
        <v>0.1298512784742924</v>
      </c>
      <c r="AD45" s="44">
        <f>SUM(Table2[[#This Row],[Total Potongan Moils (Weekly) ]:[Total Subsidi Molis KSJ (Monthly)]])-Table2[[#This Row],[Total Cost Molis (Weekly)]]</f>
        <v>6639900</v>
      </c>
      <c r="AE45" s="43">
        <f>IFERROR(Table2[[#This Row],[EV Related PV]]/(Table2[[#This Row],[Total Potongan Moils (Weekly) ]]+Table2[[#This Row],[Total Subsidi Molis KSJ (Monthly)]]),-1)</f>
        <v>0.11224769246373871</v>
      </c>
      <c r="AG45" s="12"/>
    </row>
    <row r="46" spans="2:33" hidden="1">
      <c r="B46">
        <v>2024</v>
      </c>
      <c r="C46" t="s">
        <v>23</v>
      </c>
      <c r="D46" t="s">
        <v>23</v>
      </c>
      <c r="E46" t="s">
        <v>168</v>
      </c>
      <c r="F46" t="s">
        <v>28</v>
      </c>
      <c r="G46" t="s">
        <v>31</v>
      </c>
      <c r="H46"/>
      <c r="I46" t="s">
        <v>166</v>
      </c>
      <c r="J46" t="s">
        <v>278</v>
      </c>
      <c r="K46" t="s">
        <v>304</v>
      </c>
      <c r="L46" s="42">
        <v>16</v>
      </c>
      <c r="M46" s="42">
        <v>5770</v>
      </c>
      <c r="N46" s="42">
        <v>51094000</v>
      </c>
      <c r="O46" s="42">
        <v>5770000</v>
      </c>
      <c r="P46" s="42">
        <v>4075000</v>
      </c>
      <c r="Q46" s="42">
        <v>0</v>
      </c>
      <c r="R46" s="42">
        <v>0</v>
      </c>
      <c r="S46" s="42">
        <v>0</v>
      </c>
      <c r="T46" s="42">
        <v>3396600</v>
      </c>
      <c r="U46" s="42">
        <f>SUM(Table2[[#This Row],[Total Selling Comission/Sales (Weekly)]:[Manpower (Korlap)]])</f>
        <v>9845000</v>
      </c>
      <c r="V46"/>
      <c r="W46" s="42">
        <f>Table2[[#This Row],[Total Selling]]*23%</f>
        <v>11751620</v>
      </c>
      <c r="X46" s="42"/>
      <c r="Y46" s="42">
        <v>1836000</v>
      </c>
      <c r="Z46" s="16">
        <f>(12+12+14+15+13+13+13)*24000</f>
        <v>2208000</v>
      </c>
      <c r="AA4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2554020</v>
      </c>
      <c r="AB46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1906620</v>
      </c>
      <c r="AC46" s="46">
        <f>IFERROR(Table2[[#This Row],[Delivery PV]]/(Table2[[#This Row],[Total Sharing % (Weekly)]]+Table2[[#This Row],[Rider Penalty (Denda to Riders)]]),0)</f>
        <v>0.16224316307028308</v>
      </c>
      <c r="AD46" s="44">
        <f>SUM(Table2[[#This Row],[Total Potongan Moils (Weekly) ]:[Total Subsidi Molis KSJ (Monthly)]])-Table2[[#This Row],[Total Cost Molis (Weekly)]]</f>
        <v>647400</v>
      </c>
      <c r="AE46" s="43">
        <f>IFERROR(Table2[[#This Row],[EV Related PV]]/(Table2[[#This Row],[Total Potongan Moils (Weekly) ]]+Table2[[#This Row],[Total Subsidi Molis KSJ (Monthly)]]),-1)</f>
        <v>0.16008902077151335</v>
      </c>
      <c r="AG46" s="12"/>
    </row>
    <row r="47" spans="2:33" hidden="1">
      <c r="B47">
        <v>2024</v>
      </c>
      <c r="C47" t="s">
        <v>23</v>
      </c>
      <c r="D47" t="s">
        <v>23</v>
      </c>
      <c r="E47" t="s">
        <v>168</v>
      </c>
      <c r="F47" t="s">
        <v>24</v>
      </c>
      <c r="G47" t="s">
        <v>24</v>
      </c>
      <c r="H47"/>
      <c r="I47" t="s">
        <v>166</v>
      </c>
      <c r="J47" t="s">
        <v>256</v>
      </c>
      <c r="K47" t="s">
        <v>305</v>
      </c>
      <c r="L47" s="42">
        <v>39</v>
      </c>
      <c r="M47" s="42">
        <v>8405</v>
      </c>
      <c r="N47" s="42">
        <v>76136000</v>
      </c>
      <c r="O47" s="42">
        <v>6721100</v>
      </c>
      <c r="P47" s="42">
        <v>0</v>
      </c>
      <c r="Q47" s="42">
        <v>0</v>
      </c>
      <c r="R47" s="42">
        <v>0</v>
      </c>
      <c r="S47" s="42"/>
      <c r="T47" s="42">
        <v>0</v>
      </c>
      <c r="U47" s="42">
        <f>SUM(Table2[[#This Row],[Total Selling Comission/Sales (Weekly)]:[Manpower (Korlap)]])</f>
        <v>6721100</v>
      </c>
      <c r="V47" s="42"/>
      <c r="W47" s="42">
        <f>Table2[[#This Row],[Total Selling]]*23%</f>
        <v>17511280</v>
      </c>
      <c r="X47" s="42"/>
      <c r="Y47" s="42">
        <v>0</v>
      </c>
      <c r="Z47" s="42">
        <v>0</v>
      </c>
      <c r="AA4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10790180</v>
      </c>
      <c r="AB47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10790180</v>
      </c>
      <c r="AC47" s="46">
        <f>IFERROR(Table2[[#This Row],[Delivery PV]]/(Table2[[#This Row],[Total Sharing % (Weekly)]]+Table2[[#This Row],[Rider Penalty (Denda to Riders)]]),0)</f>
        <v>0.61618453933693029</v>
      </c>
      <c r="AD47" s="44">
        <f>SUM(Table2[[#This Row],[Total Potongan Moils (Weekly) ]:[Total Subsidi Molis KSJ (Monthly)]])-Table2[[#This Row],[Total Cost Molis (Weekly)]]</f>
        <v>0</v>
      </c>
      <c r="AE47" s="43">
        <f>IFERROR(Table2[[#This Row],[EV Related PV]]/(Table2[[#This Row],[Total Potongan Moils (Weekly) ]]+Table2[[#This Row],[Total Subsidi Molis KSJ (Monthly)]]),-1)</f>
        <v>-1</v>
      </c>
      <c r="AG47" s="12"/>
    </row>
    <row r="48" spans="2:33" hidden="1">
      <c r="B48">
        <v>2024</v>
      </c>
      <c r="C48" t="s">
        <v>23</v>
      </c>
      <c r="D48" t="s">
        <v>23</v>
      </c>
      <c r="E48" t="s">
        <v>168</v>
      </c>
      <c r="F48" t="s">
        <v>28</v>
      </c>
      <c r="G48" t="s">
        <v>25</v>
      </c>
      <c r="H48"/>
      <c r="I48" t="s">
        <v>166</v>
      </c>
      <c r="J48" t="s">
        <v>256</v>
      </c>
      <c r="K48" t="s">
        <v>305</v>
      </c>
      <c r="L48" s="42">
        <v>232</v>
      </c>
      <c r="M48" s="42">
        <v>65405</v>
      </c>
      <c r="N48" s="42">
        <v>573705000</v>
      </c>
      <c r="O48" s="42">
        <v>65405000</v>
      </c>
      <c r="P48" s="42">
        <v>49300000</v>
      </c>
      <c r="Q48" s="42">
        <v>0</v>
      </c>
      <c r="R48" s="42">
        <v>0</v>
      </c>
      <c r="S48" s="42"/>
      <c r="T48" s="42">
        <v>49716900</v>
      </c>
      <c r="U48" s="42">
        <f>SUM(Table2[[#This Row],[Total Selling Comission/Sales (Weekly)]:[Manpower (Korlap)]])</f>
        <v>114705000</v>
      </c>
      <c r="V48" s="42"/>
      <c r="W48" s="42">
        <f>Table2[[#This Row],[Total Selling]]*23%</f>
        <v>131952150</v>
      </c>
      <c r="X48" s="42"/>
      <c r="Y48" s="42">
        <v>26874000</v>
      </c>
      <c r="Z48" s="42">
        <v>29472000</v>
      </c>
      <c r="AA4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23876250</v>
      </c>
      <c r="AB48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17247150</v>
      </c>
      <c r="AC48" s="46">
        <f>IFERROR(Table2[[#This Row],[Delivery PV]]/(Table2[[#This Row],[Total Sharing % (Weekly)]]+Table2[[#This Row],[Rider Penalty (Denda to Riders)]]),0)</f>
        <v>0.13070760878091034</v>
      </c>
      <c r="AD48" s="44">
        <f>SUM(Table2[[#This Row],[Total Potongan Moils (Weekly) ]:[Total Subsidi Molis KSJ (Monthly)]])-Table2[[#This Row],[Total Cost Molis (Weekly)]]</f>
        <v>6629100</v>
      </c>
      <c r="AE48" s="43">
        <f>IFERROR(Table2[[#This Row],[EV Related PV]]/(Table2[[#This Row],[Total Potongan Moils (Weekly) ]]+Table2[[#This Row],[Total Subsidi Molis KSJ (Monthly)]]),-1)</f>
        <v>0.11764987754232777</v>
      </c>
      <c r="AG48" s="12"/>
    </row>
    <row r="49" spans="2:33" hidden="1">
      <c r="B49">
        <v>2024</v>
      </c>
      <c r="C49" t="s">
        <v>23</v>
      </c>
      <c r="D49" t="s">
        <v>23</v>
      </c>
      <c r="E49" t="s">
        <v>168</v>
      </c>
      <c r="F49" t="s">
        <v>28</v>
      </c>
      <c r="G49" t="s">
        <v>31</v>
      </c>
      <c r="H49"/>
      <c r="I49" t="s">
        <v>166</v>
      </c>
      <c r="J49" t="s">
        <v>256</v>
      </c>
      <c r="K49" t="s">
        <v>305</v>
      </c>
      <c r="L49" s="42">
        <v>14</v>
      </c>
      <c r="M49" s="42">
        <v>5090</v>
      </c>
      <c r="N49" s="42">
        <v>45532000</v>
      </c>
      <c r="O49" s="42">
        <v>5090000</v>
      </c>
      <c r="P49" s="42">
        <v>3875000</v>
      </c>
      <c r="Q49" s="42">
        <v>0</v>
      </c>
      <c r="R49" s="42">
        <v>0</v>
      </c>
      <c r="S49" s="42">
        <v>0</v>
      </c>
      <c r="T49" s="42">
        <v>2863800</v>
      </c>
      <c r="U49" s="42">
        <f>SUM(Table2[[#This Row],[Total Selling Comission/Sales (Weekly)]:[Manpower (Korlap)]])</f>
        <v>8965000</v>
      </c>
      <c r="V49" s="42"/>
      <c r="W49" s="42">
        <f>Table2[[#This Row],[Total Selling]]*23%</f>
        <v>10472360</v>
      </c>
      <c r="X49" s="42"/>
      <c r="Y49" s="42">
        <v>1548000</v>
      </c>
      <c r="Z49" s="42">
        <v>1872000</v>
      </c>
      <c r="AA4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2063560</v>
      </c>
      <c r="AB49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1507360</v>
      </c>
      <c r="AC49" s="46">
        <f>IFERROR(Table2[[#This Row],[Delivery PV]]/(Table2[[#This Row],[Total Sharing % (Weekly)]]+Table2[[#This Row],[Rider Penalty (Denda to Riders)]]),0)</f>
        <v>0.14393699223479711</v>
      </c>
      <c r="AD49" s="44">
        <f>SUM(Table2[[#This Row],[Total Potongan Moils (Weekly) ]:[Total Subsidi Molis KSJ (Monthly)]])-Table2[[#This Row],[Total Cost Molis (Weekly)]]</f>
        <v>556200</v>
      </c>
      <c r="AE49" s="43">
        <f>IFERROR(Table2[[#This Row],[EV Related PV]]/(Table2[[#This Row],[Total Potongan Moils (Weekly) ]]+Table2[[#This Row],[Total Subsidi Molis KSJ (Monthly)]]),-1)</f>
        <v>0.16263157894736843</v>
      </c>
      <c r="AG49" s="12"/>
    </row>
    <row r="50" spans="2:33" hidden="1">
      <c r="B50">
        <v>2024</v>
      </c>
      <c r="C50" t="s">
        <v>23</v>
      </c>
      <c r="D50" t="s">
        <v>23</v>
      </c>
      <c r="E50" t="s">
        <v>168</v>
      </c>
      <c r="F50" t="s">
        <v>24</v>
      </c>
      <c r="G50" t="s">
        <v>24</v>
      </c>
      <c r="H50"/>
      <c r="I50" t="s">
        <v>166</v>
      </c>
      <c r="J50" t="s">
        <v>275</v>
      </c>
      <c r="K50" t="s">
        <v>306</v>
      </c>
      <c r="L50" s="42">
        <v>39</v>
      </c>
      <c r="M50" s="42">
        <v>10172</v>
      </c>
      <c r="N50" s="42">
        <v>80481000</v>
      </c>
      <c r="O50" s="42">
        <v>6647000</v>
      </c>
      <c r="P50" s="42">
        <v>0</v>
      </c>
      <c r="Q50" s="42">
        <v>0</v>
      </c>
      <c r="R50" s="42">
        <v>0</v>
      </c>
      <c r="S50" s="42"/>
      <c r="T50" s="42">
        <v>0</v>
      </c>
      <c r="U50" s="42">
        <f>SUM(Table2[[#This Row],[Total Selling Comission/Sales (Weekly)]:[Manpower (Korlap)]])</f>
        <v>6647000</v>
      </c>
      <c r="V50" s="42"/>
      <c r="W50" s="42">
        <f>Table2[[#This Row],[Total Selling]]*23%</f>
        <v>18510630</v>
      </c>
      <c r="X50" s="42"/>
      <c r="Y50" s="42">
        <v>0</v>
      </c>
      <c r="Z50" s="42">
        <v>0</v>
      </c>
      <c r="AA5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11863630</v>
      </c>
      <c r="AB50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11863630</v>
      </c>
      <c r="AC50" s="46">
        <f>IFERROR(Table2[[#This Row],[Delivery PV]]/(Table2[[#This Row],[Total Sharing % (Weekly)]]+Table2[[#This Row],[Rider Penalty (Denda to Riders)]]),0)</f>
        <v>0.64090903443048675</v>
      </c>
      <c r="AD50" s="44">
        <f>SUM(Table2[[#This Row],[Total Potongan Moils (Weekly) ]:[Total Subsidi Molis KSJ (Monthly)]])-Table2[[#This Row],[Total Cost Molis (Weekly)]]</f>
        <v>0</v>
      </c>
      <c r="AE50" s="43">
        <f>IFERROR(Table2[[#This Row],[EV Related PV]]/(Table2[[#This Row],[Total Potongan Moils (Weekly) ]]+Table2[[#This Row],[Total Subsidi Molis KSJ (Monthly)]]),-1)</f>
        <v>-1</v>
      </c>
      <c r="AG50" s="12"/>
    </row>
    <row r="51" spans="2:33" hidden="1">
      <c r="B51">
        <v>2024</v>
      </c>
      <c r="C51" t="s">
        <v>23</v>
      </c>
      <c r="D51" t="s">
        <v>23</v>
      </c>
      <c r="E51" t="s">
        <v>168</v>
      </c>
      <c r="F51" t="s">
        <v>28</v>
      </c>
      <c r="G51" t="s">
        <v>25</v>
      </c>
      <c r="H51"/>
      <c r="I51" t="s">
        <v>166</v>
      </c>
      <c r="J51" t="s">
        <v>275</v>
      </c>
      <c r="K51" t="s">
        <v>306</v>
      </c>
      <c r="L51" s="42">
        <v>236</v>
      </c>
      <c r="M51" s="42">
        <v>63090</v>
      </c>
      <c r="N51" s="42">
        <v>553762000</v>
      </c>
      <c r="O51" s="42">
        <v>63090000</v>
      </c>
      <c r="P51" s="42">
        <v>49450000</v>
      </c>
      <c r="Q51" s="42">
        <v>0</v>
      </c>
      <c r="R51" s="42">
        <v>0</v>
      </c>
      <c r="S51" s="42">
        <v>0</v>
      </c>
      <c r="T51" s="42">
        <v>50349600</v>
      </c>
      <c r="U51" s="42">
        <f>SUM(Table2[[#This Row],[Total Selling Comission/Sales (Weekly)]:[Manpower (Korlap)]])</f>
        <v>112540000</v>
      </c>
      <c r="V51" s="42"/>
      <c r="W51" s="42">
        <f>Table2[[#This Row],[Total Selling]]*23%</f>
        <v>127365260</v>
      </c>
      <c r="X51" s="42"/>
      <c r="Y51" s="42">
        <v>27216000</v>
      </c>
      <c r="Z51" s="42">
        <f>(157+178+180+163+177+184+174)*24000</f>
        <v>29112000</v>
      </c>
      <c r="AA5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20803660</v>
      </c>
      <c r="AB51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14825260</v>
      </c>
      <c r="AC51" s="46">
        <f>IFERROR(Table2[[#This Row],[Delivery PV]]/(Table2[[#This Row],[Total Sharing % (Weekly)]]+Table2[[#This Row],[Rider Penalty (Denda to Riders)]]),0)</f>
        <v>0.11639955824688773</v>
      </c>
      <c r="AD51" s="44">
        <f>SUM(Table2[[#This Row],[Total Potongan Moils (Weekly) ]:[Total Subsidi Molis KSJ (Monthly)]])-Table2[[#This Row],[Total Cost Molis (Weekly)]]</f>
        <v>5978400</v>
      </c>
      <c r="AE51" s="43">
        <f>IFERROR(Table2[[#This Row],[EV Related PV]]/(Table2[[#This Row],[Total Potongan Moils (Weekly) ]]+Table2[[#This Row],[Total Subsidi Molis KSJ (Monthly)]]),-1)</f>
        <v>0.10613549211759693</v>
      </c>
      <c r="AG51" s="12"/>
    </row>
    <row r="52" spans="2:33" hidden="1">
      <c r="B52">
        <v>2024</v>
      </c>
      <c r="C52" t="s">
        <v>23</v>
      </c>
      <c r="D52" t="s">
        <v>23</v>
      </c>
      <c r="E52" t="s">
        <v>168</v>
      </c>
      <c r="F52" t="s">
        <v>28</v>
      </c>
      <c r="G52" t="s">
        <v>31</v>
      </c>
      <c r="H52"/>
      <c r="I52" t="s">
        <v>166</v>
      </c>
      <c r="J52" t="s">
        <v>275</v>
      </c>
      <c r="K52" t="s">
        <v>306</v>
      </c>
      <c r="L52" s="42">
        <v>12</v>
      </c>
      <c r="M52" s="42">
        <v>3962</v>
      </c>
      <c r="N52" s="42">
        <v>35350000</v>
      </c>
      <c r="O52" s="42">
        <v>3962000</v>
      </c>
      <c r="P52" s="42">
        <v>6225000</v>
      </c>
      <c r="Q52" s="42">
        <v>0</v>
      </c>
      <c r="R52" s="42">
        <v>0</v>
      </c>
      <c r="S52" s="42">
        <v>0</v>
      </c>
      <c r="T52" s="42">
        <v>2697300</v>
      </c>
      <c r="U52" s="42">
        <f>SUM(Table2[[#This Row],[Total Selling Comission/Sales (Weekly)]:[Manpower (Korlap)]])</f>
        <v>10187000</v>
      </c>
      <c r="V52" s="42"/>
      <c r="W52" s="42">
        <f>Table2[[#This Row],[Total Selling]]*23%</f>
        <v>8130500</v>
      </c>
      <c r="X52" s="42"/>
      <c r="Y52" s="42">
        <v>1458000</v>
      </c>
      <c r="Z52" s="42">
        <f>(8+12+12+10+10+9+10)*24000</f>
        <v>1704000</v>
      </c>
      <c r="AA5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-1591800</v>
      </c>
      <c r="AB52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-2056500</v>
      </c>
      <c r="AC52" s="46">
        <f>IFERROR(Table2[[#This Row],[Delivery PV]]/(Table2[[#This Row],[Total Sharing % (Weekly)]]+Table2[[#This Row],[Rider Penalty (Denda to Riders)]]),0)</f>
        <v>-0.25293647377160078</v>
      </c>
      <c r="AD52" s="44">
        <f>SUM(Table2[[#This Row],[Total Potongan Moils (Weekly) ]:[Total Subsidi Molis KSJ (Monthly)]])-Table2[[#This Row],[Total Cost Molis (Weekly)]]</f>
        <v>464700</v>
      </c>
      <c r="AE52" s="43">
        <f>IFERROR(Table2[[#This Row],[EV Related PV]]/(Table2[[#This Row],[Total Potongan Moils (Weekly) ]]+Table2[[#This Row],[Total Subsidi Molis KSJ (Monthly)]]),-1)</f>
        <v>0.14696394686907022</v>
      </c>
      <c r="AG52" s="12"/>
    </row>
    <row r="53" spans="2:33" hidden="1">
      <c r="B53">
        <v>2024</v>
      </c>
      <c r="C53" t="s">
        <v>23</v>
      </c>
      <c r="D53" t="s">
        <v>23</v>
      </c>
      <c r="E53" t="s">
        <v>168</v>
      </c>
      <c r="F53" t="s">
        <v>24</v>
      </c>
      <c r="G53" t="s">
        <v>24</v>
      </c>
      <c r="H53"/>
      <c r="I53" t="s">
        <v>36</v>
      </c>
      <c r="J53" t="s">
        <v>279</v>
      </c>
      <c r="K53" t="s">
        <v>307</v>
      </c>
      <c r="L53" s="42">
        <v>40</v>
      </c>
      <c r="M53" s="42">
        <v>8215</v>
      </c>
      <c r="N53" s="42">
        <v>90297000</v>
      </c>
      <c r="O53" s="42">
        <v>8494500</v>
      </c>
      <c r="P53" s="42">
        <v>35450000</v>
      </c>
      <c r="Q53" s="42">
        <v>4250000</v>
      </c>
      <c r="R53" s="42">
        <v>200000</v>
      </c>
      <c r="S53" s="42"/>
      <c r="T53" s="42">
        <v>23609700</v>
      </c>
      <c r="U53" s="42">
        <f>SUM(Table2[[#This Row],[Total Selling Comission/Sales (Weekly)]:[Manpower (Korlap)]])</f>
        <v>48394500</v>
      </c>
      <c r="V53" s="42"/>
      <c r="W53" s="42">
        <f>Table2[[#This Row],[Total Selling]]*23%</f>
        <v>20768310</v>
      </c>
      <c r="X53" s="42"/>
      <c r="Y53" s="42">
        <v>12762000</v>
      </c>
      <c r="Z53" s="42">
        <v>10209600</v>
      </c>
      <c r="AA5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-28264290</v>
      </c>
      <c r="AB53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-27626190</v>
      </c>
      <c r="AC53" s="46">
        <f>IFERROR(Table2[[#This Row],[Delivery PV]]/(Table2[[#This Row],[Total Sharing % (Weekly)]]+Table2[[#This Row],[Rider Penalty (Denda to Riders)]]),0)</f>
        <v>-1.330208861481748</v>
      </c>
      <c r="AD53" s="44">
        <f>SUM(Table2[[#This Row],[Total Potongan Moils (Weekly) ]:[Total Subsidi Molis KSJ (Monthly)]])-Table2[[#This Row],[Total Cost Molis (Weekly)]]</f>
        <v>-638100</v>
      </c>
      <c r="AE53" s="43">
        <f>IFERROR(Table2[[#This Row],[EV Related PV]]/(Table2[[#This Row],[Total Potongan Moils (Weekly) ]]+Table2[[#This Row],[Total Subsidi Molis KSJ (Monthly)]]),-1)</f>
        <v>-2.7777777777777776E-2</v>
      </c>
      <c r="AG53" s="12"/>
    </row>
    <row r="54" spans="2:33" hidden="1">
      <c r="B54">
        <v>2024</v>
      </c>
      <c r="C54" t="s">
        <v>23</v>
      </c>
      <c r="D54" t="s">
        <v>23</v>
      </c>
      <c r="E54" t="s">
        <v>168</v>
      </c>
      <c r="F54" t="s">
        <v>28</v>
      </c>
      <c r="G54" t="s">
        <v>25</v>
      </c>
      <c r="H54"/>
      <c r="I54" t="s">
        <v>36</v>
      </c>
      <c r="J54" t="s">
        <v>279</v>
      </c>
      <c r="K54" t="s">
        <v>307</v>
      </c>
      <c r="L54" s="42">
        <v>236</v>
      </c>
      <c r="M54" s="42">
        <v>70681</v>
      </c>
      <c r="N54" s="42">
        <v>592460000</v>
      </c>
      <c r="O54" s="42">
        <v>67775000</v>
      </c>
      <c r="P54" s="42">
        <v>52500000</v>
      </c>
      <c r="Q54" s="42">
        <v>39375000</v>
      </c>
      <c r="R54" s="42">
        <v>3100000</v>
      </c>
      <c r="S54" s="42"/>
      <c r="T54" s="42">
        <v>52833000</v>
      </c>
      <c r="U54" s="42">
        <v>162750000</v>
      </c>
      <c r="V54" s="42"/>
      <c r="W54" s="42">
        <v>136265800</v>
      </c>
      <c r="X54" s="42"/>
      <c r="Y54" s="42">
        <v>28818000</v>
      </c>
      <c r="Z54" s="42">
        <v>24552000</v>
      </c>
      <c r="AA5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-25947200</v>
      </c>
      <c r="AB54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-26484200</v>
      </c>
      <c r="AC54" s="46">
        <f>IFERROR(Table2[[#This Row],[Delivery PV]]/(Table2[[#This Row],[Total Sharing % (Weekly)]]+Table2[[#This Row],[Rider Penalty (Denda to Riders)]]),0)</f>
        <v>-0.19435691127194057</v>
      </c>
      <c r="AD54" s="44">
        <f>SUM(Table2[[#This Row],[Total Potongan Moils (Weekly) ]:[Total Subsidi Molis KSJ (Monthly)]])-Table2[[#This Row],[Total Cost Molis (Weekly)]]</f>
        <v>537000</v>
      </c>
      <c r="AE54" s="43">
        <f>IFERROR(Table2[[#This Row],[EV Related PV]]/(Table2[[#This Row],[Total Potongan Moils (Weekly) ]]+Table2[[#This Row],[Total Subsidi Molis KSJ (Monthly)]]),-1)</f>
        <v>1.0061832490163012E-2</v>
      </c>
      <c r="AG54" s="12"/>
    </row>
    <row r="55" spans="2:33" hidden="1">
      <c r="B55">
        <v>2024</v>
      </c>
      <c r="C55" t="s">
        <v>23</v>
      </c>
      <c r="D55" t="s">
        <v>23</v>
      </c>
      <c r="E55" t="s">
        <v>168</v>
      </c>
      <c r="F55" t="s">
        <v>24</v>
      </c>
      <c r="G55" t="s">
        <v>24</v>
      </c>
      <c r="H55"/>
      <c r="I55" t="s">
        <v>36</v>
      </c>
      <c r="J55" t="s">
        <v>278</v>
      </c>
      <c r="K55" t="s">
        <v>309</v>
      </c>
      <c r="L55" s="42">
        <v>36</v>
      </c>
      <c r="M55" s="42">
        <v>8696</v>
      </c>
      <c r="N55" s="42">
        <v>85181000</v>
      </c>
      <c r="O55" s="42">
        <v>7240500</v>
      </c>
      <c r="P55" s="42">
        <v>0</v>
      </c>
      <c r="Q55" s="42">
        <v>0</v>
      </c>
      <c r="R55" s="42">
        <v>0</v>
      </c>
      <c r="S55" s="42"/>
      <c r="T55" s="42">
        <v>0</v>
      </c>
      <c r="U55" s="42">
        <f>SUM(Table2[[#This Row],[Total Selling Comission/Sales (Weekly)]:[Manpower (Korlap)]])</f>
        <v>7240500</v>
      </c>
      <c r="V55" s="42"/>
      <c r="W55" s="42">
        <f>Table2[[#This Row],[Total Selling]]*23%</f>
        <v>19591630</v>
      </c>
      <c r="X55" s="42"/>
      <c r="Y55" s="42">
        <v>0</v>
      </c>
      <c r="Z55" s="42">
        <v>0</v>
      </c>
      <c r="AA5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12351130</v>
      </c>
      <c r="AB55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12351130</v>
      </c>
      <c r="AC55" s="46">
        <f>IFERROR(Table2[[#This Row],[Delivery PV]]/(Table2[[#This Row],[Total Sharing % (Weekly)]]+Table2[[#This Row],[Rider Penalty (Denda to Riders)]]),0)</f>
        <v>0.63042891275508983</v>
      </c>
      <c r="AD55" s="44">
        <f>SUM(Table2[[#This Row],[Total Potongan Moils (Weekly) ]:[Total Subsidi Molis KSJ (Monthly)]])-Table2[[#This Row],[Total Cost Molis (Weekly)]]</f>
        <v>0</v>
      </c>
      <c r="AE55" s="43">
        <f>IFERROR(Table2[[#This Row],[EV Related PV]]/(Table2[[#This Row],[Total Potongan Moils (Weekly) ]]+Table2[[#This Row],[Total Subsidi Molis KSJ (Monthly)]]),-1)</f>
        <v>-1</v>
      </c>
      <c r="AG55" s="12"/>
    </row>
    <row r="56" spans="2:33" hidden="1">
      <c r="B56">
        <v>2024</v>
      </c>
      <c r="C56" t="s">
        <v>23</v>
      </c>
      <c r="D56" t="s">
        <v>23</v>
      </c>
      <c r="E56" t="s">
        <v>168</v>
      </c>
      <c r="F56" t="s">
        <v>28</v>
      </c>
      <c r="G56" t="s">
        <v>25</v>
      </c>
      <c r="H56"/>
      <c r="I56" t="s">
        <v>36</v>
      </c>
      <c r="J56" t="s">
        <v>278</v>
      </c>
      <c r="K56" t="s">
        <v>309</v>
      </c>
      <c r="L56" s="42">
        <v>235</v>
      </c>
      <c r="M56" s="42">
        <v>64566</v>
      </c>
      <c r="N56" s="42">
        <v>543788000</v>
      </c>
      <c r="O56" s="42">
        <v>61770000</v>
      </c>
      <c r="P56" s="42">
        <v>50740000</v>
      </c>
      <c r="Q56" s="42"/>
      <c r="R56" s="42"/>
      <c r="S56" s="42"/>
      <c r="T56" s="42">
        <v>54280000</v>
      </c>
      <c r="U56" s="42">
        <v>112510000</v>
      </c>
      <c r="V56" s="42"/>
      <c r="W56" s="42">
        <v>125071240</v>
      </c>
      <c r="X56" s="42"/>
      <c r="Y56" s="42">
        <v>28098000</v>
      </c>
      <c r="Z56" s="42">
        <v>29136000</v>
      </c>
      <c r="AA5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15515240</v>
      </c>
      <c r="AB56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12561240</v>
      </c>
      <c r="AC56" s="46">
        <f>IFERROR(Table2[[#This Row],[Delivery PV]]/(Table2[[#This Row],[Total Sharing % (Weekly)]]+Table2[[#This Row],[Rider Penalty (Denda to Riders)]]),0)</f>
        <v>0.10043268140621298</v>
      </c>
      <c r="AD56" s="44">
        <f>SUM(Table2[[#This Row],[Total Potongan Moils (Weekly) ]:[Total Subsidi Molis KSJ (Monthly)]])-Table2[[#This Row],[Total Cost Molis (Weekly)]]</f>
        <v>2954000</v>
      </c>
      <c r="AE56" s="43">
        <f>IFERROR(Table2[[#This Row],[EV Related PV]]/(Table2[[#This Row],[Total Potongan Moils (Weekly) ]]+Table2[[#This Row],[Total Subsidi Molis KSJ (Monthly)]]),-1)</f>
        <v>5.1612677778942587E-2</v>
      </c>
      <c r="AG56" s="12"/>
    </row>
    <row r="57" spans="2:33" hidden="1">
      <c r="B57">
        <v>2024</v>
      </c>
      <c r="C57" t="s">
        <v>23</v>
      </c>
      <c r="D57" t="s">
        <v>23</v>
      </c>
      <c r="E57" t="s">
        <v>168</v>
      </c>
      <c r="F57" t="s">
        <v>24</v>
      </c>
      <c r="G57" t="s">
        <v>24</v>
      </c>
      <c r="H57"/>
      <c r="I57" t="s">
        <v>36</v>
      </c>
      <c r="J57" t="s">
        <v>256</v>
      </c>
      <c r="K57" t="s">
        <v>310</v>
      </c>
      <c r="L57" s="42">
        <v>36</v>
      </c>
      <c r="M57" s="42">
        <v>8503</v>
      </c>
      <c r="N57" s="42">
        <v>77914000</v>
      </c>
      <c r="O57" s="42">
        <v>5772800</v>
      </c>
      <c r="P57" s="42">
        <v>0</v>
      </c>
      <c r="Q57" s="42">
        <v>0</v>
      </c>
      <c r="R57" s="42">
        <v>0</v>
      </c>
      <c r="S57" s="42"/>
      <c r="T57" s="42">
        <v>0</v>
      </c>
      <c r="U57" s="42">
        <f>SUM(Table2[[#This Row],[Total Selling Comission/Sales (Weekly)]:[Manpower (Korlap)]])</f>
        <v>5772800</v>
      </c>
      <c r="V57" s="42"/>
      <c r="W57" s="42">
        <f>Table2[[#This Row],[Total Selling]]*23%</f>
        <v>17920220</v>
      </c>
      <c r="X57" s="42"/>
      <c r="Y57" s="42">
        <v>0</v>
      </c>
      <c r="Z57" s="42">
        <v>0</v>
      </c>
      <c r="AA5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12147420</v>
      </c>
      <c r="AB57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12147420</v>
      </c>
      <c r="AC57" s="46">
        <f>IFERROR(Table2[[#This Row],[Delivery PV]]/(Table2[[#This Row],[Total Sharing % (Weekly)]]+Table2[[#This Row],[Rider Penalty (Denda to Riders)]]),0)</f>
        <v>0.67786109768741676</v>
      </c>
      <c r="AD57" s="44">
        <f>SUM(Table2[[#This Row],[Total Potongan Moils (Weekly) ]:[Total Subsidi Molis KSJ (Monthly)]])-Table2[[#This Row],[Total Cost Molis (Weekly)]]</f>
        <v>0</v>
      </c>
      <c r="AE57" s="43">
        <f>IFERROR(Table2[[#This Row],[EV Related PV]]/(Table2[[#This Row],[Total Potongan Moils (Weekly) ]]+Table2[[#This Row],[Total Subsidi Molis KSJ (Monthly)]]),-1)</f>
        <v>-1</v>
      </c>
      <c r="AG57" s="12"/>
    </row>
    <row r="58" spans="2:33" hidden="1">
      <c r="B58">
        <v>2024</v>
      </c>
      <c r="C58" t="s">
        <v>23</v>
      </c>
      <c r="D58" t="s">
        <v>23</v>
      </c>
      <c r="E58" t="s">
        <v>168</v>
      </c>
      <c r="F58" t="s">
        <v>28</v>
      </c>
      <c r="G58" t="s">
        <v>25</v>
      </c>
      <c r="H58"/>
      <c r="I58" t="s">
        <v>36</v>
      </c>
      <c r="J58" t="s">
        <v>256</v>
      </c>
      <c r="K58" t="s">
        <v>311</v>
      </c>
      <c r="L58" s="42">
        <v>229</v>
      </c>
      <c r="M58" s="42">
        <v>67970</v>
      </c>
      <c r="N58" s="42">
        <v>557896000</v>
      </c>
      <c r="O58" s="42">
        <v>63118000</v>
      </c>
      <c r="P58" s="42">
        <v>49350000</v>
      </c>
      <c r="Q58" s="42"/>
      <c r="R58" s="42"/>
      <c r="S58" s="42"/>
      <c r="T58" s="42">
        <v>49383900</v>
      </c>
      <c r="U58" s="42">
        <f>SUM(Table2[[#This Row],[Total Selling Comission/Sales (Weekly)]:[Manpower (Korlap)]])</f>
        <v>112468000</v>
      </c>
      <c r="V58" s="42"/>
      <c r="W58" s="42">
        <v>128316080</v>
      </c>
      <c r="X58" s="42"/>
      <c r="Y58" s="42">
        <v>26694000</v>
      </c>
      <c r="Z58" s="42">
        <v>28848000</v>
      </c>
      <c r="AA5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22006180</v>
      </c>
      <c r="AB5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15848080</v>
      </c>
      <c r="AC58" s="13">
        <f>IFERROR(Table2[[#This Row],[Delivery PV]]/(Table2[[#This Row],[Total Sharing % (Weekly)]]+Table2[[#This Row],[Rider Penalty (Denda to Riders)]]),0)</f>
        <v>0.12350813709396359</v>
      </c>
      <c r="AD58" s="44">
        <f>SUM(Table2[[#This Row],[Total Potongan Moils (Weekly) ]:[Total Subsidi Molis KSJ (Monthly)]])-Table2[[#This Row],[Total Cost Molis (Weekly)]]</f>
        <v>6158100</v>
      </c>
      <c r="AE58" s="43">
        <f>IFERROR(Table2[[#This Row],[EV Related PV]]/(Table2[[#This Row],[Total Potongan Moils (Weekly) ]]+Table2[[#This Row],[Total Subsidi Molis KSJ (Monthly)]]),-1)</f>
        <v>0.11087285297612617</v>
      </c>
    </row>
    <row r="59" spans="2:33" hidden="1">
      <c r="B59">
        <v>2024</v>
      </c>
      <c r="C59" t="s">
        <v>23</v>
      </c>
      <c r="D59" t="s">
        <v>23</v>
      </c>
      <c r="E59" t="s">
        <v>168</v>
      </c>
      <c r="F59" t="s">
        <v>24</v>
      </c>
      <c r="G59" t="s">
        <v>24</v>
      </c>
      <c r="H59"/>
      <c r="I59" t="s">
        <v>36</v>
      </c>
      <c r="J59" t="s">
        <v>275</v>
      </c>
      <c r="K59" t="s">
        <v>311</v>
      </c>
      <c r="L59" s="42">
        <v>25</v>
      </c>
      <c r="M59" s="42">
        <v>7216</v>
      </c>
      <c r="N59" s="42">
        <v>66424000</v>
      </c>
      <c r="O59" s="42">
        <v>5772800</v>
      </c>
      <c r="P59" s="42">
        <v>0</v>
      </c>
      <c r="Q59" s="42">
        <v>0</v>
      </c>
      <c r="R59" s="42">
        <v>0</v>
      </c>
      <c r="S59" s="42"/>
      <c r="T59" s="42">
        <v>0</v>
      </c>
      <c r="U59" s="42">
        <f>SUM(Table2[[#This Row],[Total Selling Comission/Sales (Weekly)]:[Manpower (Korlap)]])</f>
        <v>5772800</v>
      </c>
      <c r="V59" s="42"/>
      <c r="W59" s="42">
        <f>Table2[[#This Row],[Total Selling]]*23%</f>
        <v>15277520</v>
      </c>
      <c r="X59" s="42"/>
      <c r="Y59" s="42">
        <v>0</v>
      </c>
      <c r="Z59" s="42">
        <v>0</v>
      </c>
      <c r="AA5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9504720</v>
      </c>
      <c r="AB59" s="4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9504720</v>
      </c>
      <c r="AC59" s="46">
        <f>IFERROR(Table2[[#This Row],[Delivery PV]]/(Table2[[#This Row],[Total Sharing % (Weekly)]]+Table2[[#This Row],[Rider Penalty (Denda to Riders)]]),0)</f>
        <v>0.62213762443119036</v>
      </c>
      <c r="AD59" s="44">
        <f>SUM(Table2[[#This Row],[Total Potongan Moils (Weekly) ]:[Total Subsidi Molis KSJ (Monthly)]])-Table2[[#This Row],[Total Cost Molis (Weekly)]]</f>
        <v>0</v>
      </c>
      <c r="AE59" s="43">
        <f>IFERROR(Table2[[#This Row],[EV Related PV]]/(Table2[[#This Row],[Total Potongan Moils (Weekly) ]]+Table2[[#This Row],[Total Subsidi Molis KSJ (Monthly)]]),-1)</f>
        <v>-1</v>
      </c>
    </row>
    <row r="60" spans="2:33" hidden="1">
      <c r="B60">
        <v>2024</v>
      </c>
      <c r="C60" t="s">
        <v>23</v>
      </c>
      <c r="D60" t="s">
        <v>23</v>
      </c>
      <c r="E60" t="s">
        <v>168</v>
      </c>
      <c r="F60" t="s">
        <v>28</v>
      </c>
      <c r="G60" t="s">
        <v>25</v>
      </c>
      <c r="H60"/>
      <c r="I60" t="s">
        <v>36</v>
      </c>
      <c r="J60" t="s">
        <v>275</v>
      </c>
      <c r="K60" t="s">
        <v>312</v>
      </c>
      <c r="L60" s="1">
        <v>224</v>
      </c>
      <c r="M60" s="1">
        <v>65466</v>
      </c>
      <c r="N60" s="1">
        <v>577687000</v>
      </c>
      <c r="O60" s="1">
        <v>65443500</v>
      </c>
      <c r="P60" s="1">
        <v>50550000</v>
      </c>
      <c r="T60" s="1">
        <v>49250700</v>
      </c>
      <c r="U60" s="1">
        <f>SUM(Table2[[#This Row],[Total Selling Comission/Sales (Weekly)]:[Manpower (Korlap)]])</f>
        <v>115993500</v>
      </c>
      <c r="W60" s="1">
        <v>132868010</v>
      </c>
      <c r="Y60" s="1">
        <v>26622000</v>
      </c>
      <c r="Z60" s="1">
        <v>28392000</v>
      </c>
      <c r="AA6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22637810</v>
      </c>
      <c r="AB60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16874510</v>
      </c>
      <c r="AC60" s="13">
        <f>IFERROR(Table2[[#This Row],[Delivery PV]]/(Table2[[#This Row],[Total Sharing % (Weekly)]]+Table2[[#This Row],[Rider Penalty (Denda to Riders)]]),0)</f>
        <v>0.1270020526385546</v>
      </c>
      <c r="AD60" s="28">
        <f>SUM(Table2[[#This Row],[Total Potongan Moils (Weekly) ]:[Total Subsidi Molis KSJ (Monthly)]])-Table2[[#This Row],[Total Cost Molis (Weekly)]]</f>
        <v>5763300</v>
      </c>
      <c r="AE60" s="27">
        <f>IFERROR(Table2[[#This Row],[EV Related PV]]/(Table2[[#This Row],[Total Potongan Moils (Weekly) ]]+Table2[[#This Row],[Total Subsidi Molis KSJ (Monthly)]]),-1)</f>
        <v>0.10476060639110045</v>
      </c>
    </row>
    <row r="61" spans="2:33" hidden="1">
      <c r="B61">
        <v>2024</v>
      </c>
      <c r="C61" t="s">
        <v>23</v>
      </c>
      <c r="D61" t="s">
        <v>23</v>
      </c>
      <c r="E61" t="s">
        <v>168</v>
      </c>
      <c r="F61" t="s">
        <v>24</v>
      </c>
      <c r="G61" t="s">
        <v>24</v>
      </c>
      <c r="H61"/>
      <c r="I61" t="s">
        <v>165</v>
      </c>
      <c r="J61" t="s">
        <v>280</v>
      </c>
      <c r="K61" s="34" t="s">
        <v>312</v>
      </c>
      <c r="L61" s="1">
        <v>25</v>
      </c>
      <c r="M61" s="1">
        <v>7612</v>
      </c>
      <c r="N61" s="1">
        <v>69652000</v>
      </c>
      <c r="O61" s="1">
        <v>6225600</v>
      </c>
      <c r="P61" s="1">
        <v>2004000</v>
      </c>
      <c r="Q61" s="1">
        <v>0</v>
      </c>
      <c r="R61" s="1">
        <v>0</v>
      </c>
      <c r="T61" s="1">
        <v>2597400</v>
      </c>
      <c r="U61" s="1">
        <f>SUM(Table2[[#This Row],[Total Selling Comission/Sales (Weekly)]:[Manpower (Korlap)]])</f>
        <v>8229600</v>
      </c>
      <c r="W61" s="1">
        <f>Table2[[#This Row],[Total Selling]]*23%</f>
        <v>16019960</v>
      </c>
      <c r="Y61" s="1">
        <v>1296000</v>
      </c>
      <c r="Z61" s="1">
        <v>1036800</v>
      </c>
      <c r="AA6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7525760</v>
      </c>
      <c r="AB61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7790360</v>
      </c>
      <c r="AC61" s="29">
        <f>IFERROR(Table2[[#This Row],[Delivery PV]]/(Table2[[#This Row],[Total Sharing % (Weekly)]]+Table2[[#This Row],[Rider Penalty (Denda to Riders)]]),0)</f>
        <v>0.48629085216192802</v>
      </c>
      <c r="AD61" s="28">
        <f>SUM(Table2[[#This Row],[Total Potongan Moils (Weekly) ]:[Total Subsidi Molis KSJ (Monthly)]])-Table2[[#This Row],[Total Cost Molis (Weekly)]]</f>
        <v>-264600</v>
      </c>
      <c r="AE61" s="27">
        <f>IFERROR(Table2[[#This Row],[EV Related PV]]/(Table2[[#This Row],[Total Potongan Moils (Weekly) ]]+Table2[[#This Row],[Total Subsidi Molis KSJ (Monthly)]]),-1)</f>
        <v>-0.11342592592592593</v>
      </c>
    </row>
    <row r="62" spans="2:33" hidden="1">
      <c r="B62">
        <v>2024</v>
      </c>
      <c r="C62" t="s">
        <v>23</v>
      </c>
      <c r="D62" t="s">
        <v>23</v>
      </c>
      <c r="E62" t="s">
        <v>168</v>
      </c>
      <c r="F62" t="s">
        <v>24</v>
      </c>
      <c r="G62" t="s">
        <v>24</v>
      </c>
      <c r="H62"/>
      <c r="I62" t="s">
        <v>165</v>
      </c>
      <c r="J62" t="s">
        <v>279</v>
      </c>
      <c r="K62" t="s">
        <v>313</v>
      </c>
      <c r="L62" s="1">
        <v>22</v>
      </c>
      <c r="M62" s="1">
        <v>6963</v>
      </c>
      <c r="N62" s="1">
        <v>73460000</v>
      </c>
      <c r="O62" s="1">
        <v>6369600</v>
      </c>
      <c r="P62" s="1">
        <v>27972385</v>
      </c>
      <c r="Q62" s="1">
        <v>4336537</v>
      </c>
      <c r="R62" s="1">
        <v>200000</v>
      </c>
      <c r="T62" s="1">
        <v>21012300</v>
      </c>
      <c r="U62" s="1">
        <f>SUM(Table2[[#This Row],[Total Selling Comission/Sales (Weekly)]:[Manpower (Korlap)]])</f>
        <v>38878522</v>
      </c>
      <c r="W62" s="1">
        <f>Table2[[#This Row],[Total Selling]]*23%</f>
        <v>16895800</v>
      </c>
      <c r="Y62" s="1">
        <v>10062000</v>
      </c>
      <c r="Z62" s="1">
        <v>9086400</v>
      </c>
      <c r="AA6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-23846622</v>
      </c>
      <c r="AB62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-21982722</v>
      </c>
      <c r="AC62" s="29">
        <f>IFERROR(Table2[[#This Row],[Delivery PV]]/(Table2[[#This Row],[Total Sharing % (Weekly)]]+Table2[[#This Row],[Rider Penalty (Denda to Riders)]]),0)</f>
        <v>-1.3010761254276211</v>
      </c>
      <c r="AD62" s="28">
        <f>SUM(Table2[[#This Row],[Total Potongan Moils (Weekly) ]:[Total Subsidi Molis KSJ (Monthly)]])-Table2[[#This Row],[Total Cost Molis (Weekly)]]</f>
        <v>-1863900</v>
      </c>
      <c r="AE62" s="27">
        <f>IFERROR(Table2[[#This Row],[EV Related PV]]/(Table2[[#This Row],[Total Potongan Moils (Weekly) ]]+Table2[[#This Row],[Total Subsidi Molis KSJ (Monthly)]]),-1)</f>
        <v>-9.7339725512314346E-2</v>
      </c>
    </row>
    <row r="63" spans="2:33" hidden="1">
      <c r="B63">
        <v>2024</v>
      </c>
      <c r="C63" t="s">
        <v>23</v>
      </c>
      <c r="D63" t="s">
        <v>23</v>
      </c>
      <c r="E63" t="s">
        <v>168</v>
      </c>
      <c r="F63" t="s">
        <v>28</v>
      </c>
      <c r="G63" t="s">
        <v>25</v>
      </c>
      <c r="H63"/>
      <c r="I63" t="s">
        <v>165</v>
      </c>
      <c r="J63" t="s">
        <v>279</v>
      </c>
      <c r="K63" t="s">
        <v>314</v>
      </c>
      <c r="L63" s="1">
        <v>208</v>
      </c>
      <c r="M63" s="1">
        <v>61209</v>
      </c>
      <c r="N63" s="1">
        <v>541260000</v>
      </c>
      <c r="O63" s="1">
        <v>61187000</v>
      </c>
      <c r="P63" s="1">
        <v>47300000</v>
      </c>
      <c r="Q63" s="1">
        <v>25875000</v>
      </c>
      <c r="R63" s="1">
        <v>3700000</v>
      </c>
      <c r="T63" s="1">
        <v>45487800</v>
      </c>
      <c r="U63" s="1">
        <f>SUM(Table2[[#This Row],[Total Selling Comission/Sales (Weekly)]:[Manpower (Korlap)]])</f>
        <v>138062000</v>
      </c>
      <c r="W63" s="1">
        <v>124489800</v>
      </c>
      <c r="Y63" s="1">
        <v>24588000</v>
      </c>
      <c r="Z63" s="1">
        <v>18936000</v>
      </c>
      <c r="AA6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-15536000</v>
      </c>
      <c r="AB6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-13572200</v>
      </c>
      <c r="AC63" s="13">
        <f>IFERROR(Table2[[#This Row],[Delivery PV]]/(Table2[[#This Row],[Total Sharing % (Weekly)]]+Table2[[#This Row],[Rider Penalty (Denda to Riders)]]),0)</f>
        <v>-0.10902258658942339</v>
      </c>
      <c r="AD63" s="28">
        <f>SUM(Table2[[#This Row],[Total Potongan Moils (Weekly) ]:[Total Subsidi Molis KSJ (Monthly)]])-Table2[[#This Row],[Total Cost Molis (Weekly)]]</f>
        <v>-1963800</v>
      </c>
      <c r="AE63" s="27">
        <f>IFERROR(Table2[[#This Row],[EV Related PV]]/(Table2[[#This Row],[Total Potongan Moils (Weekly) ]]+Table2[[#This Row],[Total Subsidi Molis KSJ (Monthly)]]),-1)</f>
        <v>-4.5119933829611249E-2</v>
      </c>
    </row>
    <row r="64" spans="2:33" hidden="1">
      <c r="B64">
        <v>2024</v>
      </c>
      <c r="C64" t="s">
        <v>23</v>
      </c>
      <c r="D64" t="s">
        <v>23</v>
      </c>
      <c r="E64" t="s">
        <v>168</v>
      </c>
      <c r="F64" t="s">
        <v>24</v>
      </c>
      <c r="G64" t="s">
        <v>24</v>
      </c>
      <c r="H64"/>
      <c r="I64" t="s">
        <v>165</v>
      </c>
      <c r="J64" t="s">
        <v>278</v>
      </c>
      <c r="K64" t="s">
        <v>316</v>
      </c>
      <c r="L64" s="1">
        <v>26</v>
      </c>
      <c r="M64" s="1">
        <v>8176</v>
      </c>
      <c r="N64" s="1">
        <v>74132000</v>
      </c>
      <c r="O64" s="1">
        <v>6816000</v>
      </c>
      <c r="P64" s="1">
        <v>0</v>
      </c>
      <c r="Q64" s="1">
        <v>0</v>
      </c>
      <c r="R64" s="1">
        <v>0</v>
      </c>
      <c r="T64" s="1">
        <v>0</v>
      </c>
      <c r="U64" s="1">
        <f>SUM(Table2[[#This Row],[Total Selling Comission/Sales (Weekly)]:[Manpower (Korlap)]])</f>
        <v>6816000</v>
      </c>
      <c r="W64" s="1">
        <f>Table2[[#This Row],[Total Selling]]*23%</f>
        <v>17050360</v>
      </c>
      <c r="Y64" s="1">
        <v>0</v>
      </c>
      <c r="Z64" s="1">
        <v>0</v>
      </c>
      <c r="AA6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10234360</v>
      </c>
      <c r="AB64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10234360</v>
      </c>
      <c r="AC64" s="29">
        <f>IFERROR(Table2[[#This Row],[Delivery PV]]/(Table2[[#This Row],[Total Sharing % (Weekly)]]+Table2[[#This Row],[Rider Penalty (Denda to Riders)]]),0)</f>
        <v>0.60024304472163637</v>
      </c>
      <c r="AD64" s="28">
        <f>SUM(Table2[[#This Row],[Total Potongan Moils (Weekly) ]:[Total Subsidi Molis KSJ (Monthly)]])-Table2[[#This Row],[Total Cost Molis (Weekly)]]</f>
        <v>0</v>
      </c>
      <c r="AE64" s="27">
        <f>IFERROR(Table2[[#This Row],[EV Related PV]]/(Table2[[#This Row],[Total Potongan Moils (Weekly) ]]+Table2[[#This Row],[Total Subsidi Molis KSJ (Monthly)]]),-1)</f>
        <v>-1</v>
      </c>
    </row>
    <row r="65" spans="2:31" hidden="1">
      <c r="B65">
        <v>2024</v>
      </c>
      <c r="C65" t="s">
        <v>23</v>
      </c>
      <c r="D65" t="s">
        <v>23</v>
      </c>
      <c r="E65" t="s">
        <v>168</v>
      </c>
      <c r="F65" t="s">
        <v>28</v>
      </c>
      <c r="G65" t="s">
        <v>25</v>
      </c>
      <c r="H65"/>
      <c r="I65" t="s">
        <v>165</v>
      </c>
      <c r="J65" t="s">
        <v>278</v>
      </c>
      <c r="K65" t="s">
        <v>316</v>
      </c>
      <c r="L65" s="1">
        <v>199</v>
      </c>
      <c r="M65" s="1">
        <v>58648</v>
      </c>
      <c r="N65" s="1">
        <v>518067000</v>
      </c>
      <c r="O65" s="1">
        <v>58648000</v>
      </c>
      <c r="P65" s="1">
        <v>45250000</v>
      </c>
      <c r="Q65" s="1">
        <v>0</v>
      </c>
      <c r="R65" s="1">
        <v>0</v>
      </c>
      <c r="T65" s="1">
        <v>44788500</v>
      </c>
      <c r="U65" s="1">
        <f>SUM(Table2[[#This Row],[Total Selling Comission/Sales (Weekly)]:[Manpower (Korlap)]])</f>
        <v>103898000</v>
      </c>
      <c r="W65" s="1">
        <v>119155410</v>
      </c>
      <c r="Y65" s="1">
        <v>24210000</v>
      </c>
      <c r="Z65" s="1">
        <v>25824000</v>
      </c>
      <c r="AA6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20502910</v>
      </c>
      <c r="AB6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15257410</v>
      </c>
      <c r="AC65" s="13">
        <f>IFERROR(Table2[[#This Row],[Delivery PV]]/(Table2[[#This Row],[Total Sharing % (Weekly)]]+Table2[[#This Row],[Rider Penalty (Denda to Riders)]]),0)</f>
        <v>0.1280463052411972</v>
      </c>
      <c r="AD65" s="28">
        <f>SUM(Table2[[#This Row],[Total Potongan Moils (Weekly) ]:[Total Subsidi Molis KSJ (Monthly)]])-Table2[[#This Row],[Total Cost Molis (Weekly)]]</f>
        <v>5245500</v>
      </c>
      <c r="AE65" s="27">
        <f>IFERROR(Table2[[#This Row],[EV Related PV]]/(Table2[[#This Row],[Total Potongan Moils (Weekly) ]]+Table2[[#This Row],[Total Subsidi Molis KSJ (Monthly)]]),-1)</f>
        <v>0.10483870967741936</v>
      </c>
    </row>
    <row r="66" spans="2:31" hidden="1">
      <c r="B66">
        <v>2024</v>
      </c>
      <c r="C66" t="s">
        <v>23</v>
      </c>
      <c r="D66" t="s">
        <v>23</v>
      </c>
      <c r="E66" t="s">
        <v>168</v>
      </c>
      <c r="F66" t="s">
        <v>24</v>
      </c>
      <c r="G66" t="s">
        <v>24</v>
      </c>
      <c r="H66"/>
      <c r="I66" t="s">
        <v>165</v>
      </c>
      <c r="J66" t="s">
        <v>256</v>
      </c>
      <c r="K66" t="s">
        <v>317</v>
      </c>
      <c r="L66" s="1">
        <v>25</v>
      </c>
      <c r="M66" s="1">
        <v>8088</v>
      </c>
      <c r="N66" s="1">
        <v>73300000</v>
      </c>
      <c r="O66" s="1">
        <v>6600000</v>
      </c>
      <c r="P66" s="1">
        <v>0</v>
      </c>
      <c r="Q66" s="1">
        <v>0</v>
      </c>
      <c r="R66" s="1">
        <v>0</v>
      </c>
      <c r="T66" s="1">
        <v>0</v>
      </c>
      <c r="U66" s="1">
        <f>SUM(Table2[[#This Row],[Total Selling Comission/Sales (Weekly)]:[Manpower (Korlap)]])</f>
        <v>6600000</v>
      </c>
      <c r="W66" s="1">
        <f>Table2[[#This Row],[Total Selling]]*23%</f>
        <v>16859000</v>
      </c>
      <c r="Y66" s="1">
        <v>0</v>
      </c>
      <c r="Z66" s="1">
        <v>0</v>
      </c>
      <c r="AA6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10259000</v>
      </c>
      <c r="AB66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10259000</v>
      </c>
      <c r="AC66" s="29">
        <f>IFERROR(Table2[[#This Row],[Delivery PV]]/(Table2[[#This Row],[Total Sharing % (Weekly)]]+Table2[[#This Row],[Rider Penalty (Denda to Riders)]]),0)</f>
        <v>0.60851770567649321</v>
      </c>
      <c r="AD66" s="28">
        <f>SUM(Table2[[#This Row],[Total Potongan Moils (Weekly) ]:[Total Subsidi Molis KSJ (Monthly)]])-Table2[[#This Row],[Total Cost Molis (Weekly)]]</f>
        <v>0</v>
      </c>
      <c r="AE66" s="27">
        <f>IFERROR(Table2[[#This Row],[EV Related PV]]/(Table2[[#This Row],[Total Potongan Moils (Weekly) ]]+Table2[[#This Row],[Total Subsidi Molis KSJ (Monthly)]]),-1)</f>
        <v>-1</v>
      </c>
    </row>
    <row r="67" spans="2:31" hidden="1">
      <c r="B67">
        <v>2024</v>
      </c>
      <c r="C67" t="s">
        <v>23</v>
      </c>
      <c r="D67" t="s">
        <v>23</v>
      </c>
      <c r="E67" t="s">
        <v>168</v>
      </c>
      <c r="F67" t="s">
        <v>28</v>
      </c>
      <c r="G67" t="s">
        <v>25</v>
      </c>
      <c r="H67"/>
      <c r="I67" s="23" t="s">
        <v>165</v>
      </c>
      <c r="J67" t="s">
        <v>256</v>
      </c>
      <c r="K67" t="s">
        <v>318</v>
      </c>
      <c r="L67" s="1">
        <v>197</v>
      </c>
      <c r="M67" s="1">
        <v>59288</v>
      </c>
      <c r="N67" s="16">
        <v>526617000</v>
      </c>
      <c r="O67" s="1">
        <v>59288000</v>
      </c>
      <c r="P67" s="1">
        <v>45225000</v>
      </c>
      <c r="Q67" s="1">
        <v>0</v>
      </c>
      <c r="R67" s="1">
        <v>0</v>
      </c>
      <c r="T67" s="16">
        <v>43656300</v>
      </c>
      <c r="U67" s="1">
        <f>SUM(Table2[[#This Row],[Total Selling Comission/Sales (Weekly)]:[Manpower (Korlap)]])</f>
        <v>104513000</v>
      </c>
      <c r="W67" s="1">
        <v>121121910</v>
      </c>
      <c r="Y67" s="1">
        <v>23598000</v>
      </c>
      <c r="Z67" s="1">
        <v>24504000</v>
      </c>
      <c r="AA6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21054610</v>
      </c>
      <c r="AB6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16608910</v>
      </c>
      <c r="AC67" s="13">
        <f>IFERROR(Table2[[#This Row],[Delivery PV]]/(Table2[[#This Row],[Total Sharing % (Weekly)]]+Table2[[#This Row],[Rider Penalty (Denda to Riders)]]),0)</f>
        <v>0.1371255621712042</v>
      </c>
      <c r="AD67" s="28">
        <f>SUM(Table2[[#This Row],[Total Potongan Moils (Weekly) ]:[Total Subsidi Molis KSJ (Monthly)]])-Table2[[#This Row],[Total Cost Molis (Weekly)]]</f>
        <v>4445700</v>
      </c>
      <c r="AE67" s="27">
        <f>IFERROR(Table2[[#This Row],[EV Related PV]]/(Table2[[#This Row],[Total Potongan Moils (Weekly) ]]+Table2[[#This Row],[Total Subsidi Molis KSJ (Monthly)]]),-1)</f>
        <v>9.2422352500935515E-2</v>
      </c>
    </row>
    <row r="68" spans="2:31" hidden="1">
      <c r="B68">
        <v>2024</v>
      </c>
      <c r="C68" t="s">
        <v>23</v>
      </c>
      <c r="D68" t="s">
        <v>23</v>
      </c>
      <c r="E68" t="s">
        <v>168</v>
      </c>
      <c r="F68" t="s">
        <v>24</v>
      </c>
      <c r="G68" t="s">
        <v>24</v>
      </c>
      <c r="H68"/>
      <c r="I68" s="23" t="s">
        <v>165</v>
      </c>
      <c r="J68" t="s">
        <v>275</v>
      </c>
      <c r="K68" t="s">
        <v>319</v>
      </c>
      <c r="L68" s="1">
        <v>25</v>
      </c>
      <c r="M68" s="1">
        <v>8057</v>
      </c>
      <c r="N68" s="1">
        <v>73340000</v>
      </c>
      <c r="O68" s="1">
        <v>6592400</v>
      </c>
      <c r="P68" s="1">
        <v>0</v>
      </c>
      <c r="Q68" s="1">
        <v>0</v>
      </c>
      <c r="R68" s="1">
        <v>0</v>
      </c>
      <c r="T68" s="1">
        <v>0</v>
      </c>
      <c r="U68" s="1">
        <f>SUM(Table2[[#This Row],[Total Selling Comission/Sales (Weekly)]:[Manpower (Korlap)]])</f>
        <v>6592400</v>
      </c>
      <c r="W68" s="1">
        <f>Table2[[#This Row],[Total Selling]]*23%</f>
        <v>16868200</v>
      </c>
      <c r="Y68" s="1">
        <v>0</v>
      </c>
      <c r="Z68" s="1">
        <v>0</v>
      </c>
      <c r="AA6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10275800</v>
      </c>
      <c r="AB68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10275800</v>
      </c>
      <c r="AC68" s="29">
        <f>IFERROR(Table2[[#This Row],[Delivery PV]]/(Table2[[#This Row],[Total Sharing % (Weekly)]]+Table2[[#This Row],[Rider Penalty (Denda to Riders)]]),0)</f>
        <v>0.60918177398892592</v>
      </c>
      <c r="AD68" s="28">
        <f>SUM(Table2[[#This Row],[Total Potongan Moils (Weekly) ]:[Total Subsidi Molis KSJ (Monthly)]])-Table2[[#This Row],[Total Cost Molis (Weekly)]]</f>
        <v>0</v>
      </c>
      <c r="AE68" s="27">
        <f>IFERROR(Table2[[#This Row],[EV Related PV]]/(Table2[[#This Row],[Total Potongan Moils (Weekly) ]]+Table2[[#This Row],[Total Subsidi Molis KSJ (Monthly)]]),-1)</f>
        <v>-1</v>
      </c>
    </row>
    <row r="69" spans="2:31" hidden="1">
      <c r="B69">
        <v>2024</v>
      </c>
      <c r="C69" t="s">
        <v>23</v>
      </c>
      <c r="D69" t="s">
        <v>23</v>
      </c>
      <c r="E69" t="s">
        <v>168</v>
      </c>
      <c r="F69" t="s">
        <v>28</v>
      </c>
      <c r="G69" t="s">
        <v>25</v>
      </c>
      <c r="H69"/>
      <c r="I69" s="23" t="s">
        <v>165</v>
      </c>
      <c r="J69" t="s">
        <v>275</v>
      </c>
      <c r="K69" s="34" t="s">
        <v>319</v>
      </c>
      <c r="L69" s="1">
        <v>191</v>
      </c>
      <c r="M69" s="1">
        <v>57329</v>
      </c>
      <c r="N69" s="1">
        <v>508867000</v>
      </c>
      <c r="O69" s="1">
        <v>57329000</v>
      </c>
      <c r="P69" s="1">
        <v>44225000</v>
      </c>
      <c r="Q69" s="1">
        <v>0</v>
      </c>
      <c r="R69" s="1">
        <v>0</v>
      </c>
      <c r="T69" s="1">
        <v>42490800</v>
      </c>
      <c r="U69" s="1">
        <f>SUM(Table2[[#This Row],[Total Selling Comission/Sales (Weekly)]:[Manpower (Korlap)]])</f>
        <v>101554000</v>
      </c>
      <c r="W69" s="1">
        <v>117039410</v>
      </c>
      <c r="Y69" s="1">
        <v>22968000</v>
      </c>
      <c r="Z69" s="1">
        <v>23928000</v>
      </c>
      <c r="AA6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19890610</v>
      </c>
      <c r="AB6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15485410</v>
      </c>
      <c r="AC69" s="13">
        <f>IFERROR(Table2[[#This Row],[Delivery PV]]/(Table2[[#This Row],[Total Sharing % (Weekly)]]+Table2[[#This Row],[Rider Penalty (Denda to Riders)]]),0)</f>
        <v>0.13230936485411196</v>
      </c>
      <c r="AD69" s="28">
        <f>SUM(Table2[[#This Row],[Total Potongan Moils (Weekly) ]:[Total Subsidi Molis KSJ (Monthly)]])-Table2[[#This Row],[Total Cost Molis (Weekly)]]</f>
        <v>4405200</v>
      </c>
      <c r="AE69" s="27">
        <f>IFERROR(Table2[[#This Row],[EV Related PV]]/(Table2[[#This Row],[Total Potongan Moils (Weekly) ]]+Table2[[#This Row],[Total Subsidi Molis KSJ (Monthly)]]),-1)</f>
        <v>9.3935516888433976E-2</v>
      </c>
    </row>
    <row r="70" spans="2:31" hidden="1">
      <c r="B70">
        <v>2024</v>
      </c>
      <c r="C70" t="s">
        <v>23</v>
      </c>
      <c r="D70" t="s">
        <v>23</v>
      </c>
      <c r="E70" t="s">
        <v>168</v>
      </c>
      <c r="F70" t="s">
        <v>24</v>
      </c>
      <c r="G70" t="s">
        <v>24</v>
      </c>
      <c r="H70"/>
      <c r="I70" t="s">
        <v>164</v>
      </c>
      <c r="J70" t="s">
        <v>279</v>
      </c>
      <c r="K70" t="s">
        <v>323</v>
      </c>
      <c r="L70" s="1">
        <v>23</v>
      </c>
      <c r="M70" s="1">
        <v>6005</v>
      </c>
      <c r="N70" s="1">
        <v>54370000</v>
      </c>
      <c r="O70" s="1">
        <v>3573600</v>
      </c>
      <c r="P70" s="1">
        <v>20600000</v>
      </c>
      <c r="Q70" s="1">
        <v>1971155</v>
      </c>
      <c r="R70" s="1">
        <v>600000</v>
      </c>
      <c r="T70" s="1">
        <v>13719600</v>
      </c>
      <c r="U70" s="1">
        <f>SUM(Table2[[#This Row],[Total Selling Comission/Sales (Weekly)]:[Manpower (Korlap)]])</f>
        <v>26744755</v>
      </c>
      <c r="W70" s="1">
        <f>Table2[[#This Row],[Total Selling]]*23%</f>
        <v>12505100</v>
      </c>
      <c r="Y70" s="1">
        <v>7416000</v>
      </c>
      <c r="Z70" s="1">
        <v>7142400</v>
      </c>
      <c r="AA7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-13400855</v>
      </c>
      <c r="AB70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-14239655</v>
      </c>
      <c r="AC70" s="29">
        <f>IFERROR(Table2[[#This Row],[Delivery PV]]/(Table2[[#This Row],[Total Sharing % (Weekly)]]+Table2[[#This Row],[Rider Penalty (Denda to Riders)]]),0)</f>
        <v>-1.1387078072146564</v>
      </c>
      <c r="AD70" s="28">
        <f>SUM(Table2[[#This Row],[Total Potongan Moils (Weekly) ]:[Total Subsidi Molis KSJ (Monthly)]])-Table2[[#This Row],[Total Cost Molis (Weekly)]]</f>
        <v>838800</v>
      </c>
      <c r="AE70" s="27">
        <f>IFERROR(Table2[[#This Row],[EV Related PV]]/(Table2[[#This Row],[Total Potongan Moils (Weekly) ]]+Table2[[#This Row],[Total Subsidi Molis KSJ (Monthly)]]),-1)</f>
        <v>5.76162215628091E-2</v>
      </c>
    </row>
    <row r="71" spans="2:31" hidden="1">
      <c r="B71">
        <v>2024</v>
      </c>
      <c r="C71" t="s">
        <v>23</v>
      </c>
      <c r="D71" t="s">
        <v>23</v>
      </c>
      <c r="E71" t="s">
        <v>168</v>
      </c>
      <c r="F71" t="s">
        <v>28</v>
      </c>
      <c r="G71" t="s">
        <v>25</v>
      </c>
      <c r="H71"/>
      <c r="I71" t="s">
        <v>164</v>
      </c>
      <c r="J71" t="s">
        <v>279</v>
      </c>
      <c r="K71" t="s">
        <v>324</v>
      </c>
      <c r="L71" s="1">
        <v>180</v>
      </c>
      <c r="M71" s="1">
        <v>47491</v>
      </c>
      <c r="N71" s="1">
        <v>418715000</v>
      </c>
      <c r="O71" s="1">
        <v>47491000</v>
      </c>
      <c r="P71" s="1">
        <v>38200000</v>
      </c>
      <c r="Q71" s="1">
        <v>23250000</v>
      </c>
      <c r="R71" s="1">
        <v>4100000</v>
      </c>
      <c r="T71" s="1">
        <v>36563400</v>
      </c>
      <c r="U71" s="1">
        <f>SUM(Table2[[#This Row],[Total Selling Comission/Sales (Weekly)]:[Manpower (Korlap)]])</f>
        <v>113041000</v>
      </c>
      <c r="W71" s="1">
        <v>96304450</v>
      </c>
      <c r="Y71" s="1">
        <v>20898000</v>
      </c>
      <c r="Z71" s="1">
        <v>16176000</v>
      </c>
      <c r="AA7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-16225950</v>
      </c>
      <c r="AB7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-16736550</v>
      </c>
      <c r="AC71" s="13">
        <f>IFERROR(Table2[[#This Row],[Delivery PV]]/(Table2[[#This Row],[Total Sharing % (Weekly)]]+Table2[[#This Row],[Rider Penalty (Denda to Riders)]]),0)</f>
        <v>-0.1737879194575121</v>
      </c>
      <c r="AD71" s="28">
        <f>SUM(Table2[[#This Row],[Total Potongan Moils (Weekly) ]:[Total Subsidi Molis KSJ (Monthly)]])-Table2[[#This Row],[Total Cost Molis (Weekly)]]</f>
        <v>510600</v>
      </c>
      <c r="AE71" s="27">
        <f>IFERROR(Table2[[#This Row],[EV Related PV]]/(Table2[[#This Row],[Total Potongan Moils (Weekly) ]]+Table2[[#This Row],[Total Subsidi Molis KSJ (Monthly)]]),-1)</f>
        <v>1.3772455089820359E-2</v>
      </c>
    </row>
    <row r="72" spans="2:31" hidden="1">
      <c r="B72">
        <v>2024</v>
      </c>
      <c r="C72" t="s">
        <v>23</v>
      </c>
      <c r="D72" t="s">
        <v>23</v>
      </c>
      <c r="E72" t="s">
        <v>168</v>
      </c>
      <c r="F72" t="s">
        <v>24</v>
      </c>
      <c r="G72" t="s">
        <v>24</v>
      </c>
      <c r="H72"/>
      <c r="I72" t="s">
        <v>164</v>
      </c>
      <c r="J72" t="s">
        <v>278</v>
      </c>
      <c r="K72" t="s">
        <v>326</v>
      </c>
      <c r="L72" s="1">
        <v>22</v>
      </c>
      <c r="M72" s="1">
        <v>5401</v>
      </c>
      <c r="N72" s="1">
        <v>49098000</v>
      </c>
      <c r="O72" s="1">
        <v>2212000</v>
      </c>
      <c r="P72" s="1">
        <v>0</v>
      </c>
      <c r="Q72" s="1">
        <v>0</v>
      </c>
      <c r="R72" s="1">
        <v>0</v>
      </c>
      <c r="T72" s="1">
        <v>0</v>
      </c>
      <c r="U72" s="1">
        <f>SUM(Table2[[#This Row],[Total Selling Comission/Sales (Weekly)]:[Manpower (Korlap)]])</f>
        <v>2212000</v>
      </c>
      <c r="W72" s="1">
        <f>Table2[[#This Row],[Total Selling]]*23%</f>
        <v>11292540</v>
      </c>
      <c r="Y72" s="1">
        <v>0</v>
      </c>
      <c r="Z72" s="1">
        <v>0</v>
      </c>
      <c r="AA7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9080540</v>
      </c>
      <c r="AB72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9080540</v>
      </c>
      <c r="AC72" s="29">
        <f>IFERROR(Table2[[#This Row],[Delivery PV]]/(Table2[[#This Row],[Total Sharing % (Weekly)]]+Table2[[#This Row],[Rider Penalty (Denda to Riders)]]),0)</f>
        <v>0.80411847113226964</v>
      </c>
      <c r="AD72" s="28">
        <f>SUM(Table2[[#This Row],[Total Potongan Moils (Weekly) ]:[Total Subsidi Molis KSJ (Monthly)]])-Table2[[#This Row],[Total Cost Molis (Weekly)]]</f>
        <v>0</v>
      </c>
      <c r="AE72" s="27">
        <f>IFERROR(Table2[[#This Row],[EV Related PV]]/(Table2[[#This Row],[Total Potongan Moils (Weekly) ]]+Table2[[#This Row],[Total Subsidi Molis KSJ (Monthly)]]),-1)</f>
        <v>-1</v>
      </c>
    </row>
    <row r="73" spans="2:31" hidden="1">
      <c r="B73">
        <v>2024</v>
      </c>
      <c r="C73" t="s">
        <v>23</v>
      </c>
      <c r="D73" t="s">
        <v>23</v>
      </c>
      <c r="E73" t="s">
        <v>168</v>
      </c>
      <c r="F73" t="s">
        <v>28</v>
      </c>
      <c r="G73" t="s">
        <v>25</v>
      </c>
      <c r="H73"/>
      <c r="I73" t="s">
        <v>164</v>
      </c>
      <c r="J73" t="s">
        <v>278</v>
      </c>
      <c r="K73" t="s">
        <v>327</v>
      </c>
      <c r="L73" s="1">
        <v>166</v>
      </c>
      <c r="M73" s="1">
        <v>48461</v>
      </c>
      <c r="N73" s="1">
        <v>430340000</v>
      </c>
      <c r="O73" s="1">
        <v>48461000</v>
      </c>
      <c r="P73" s="1">
        <v>37800000</v>
      </c>
      <c r="Q73" s="1">
        <v>0</v>
      </c>
      <c r="R73" s="1">
        <v>0</v>
      </c>
      <c r="T73" s="1">
        <v>39160800</v>
      </c>
      <c r="U73" s="1">
        <f>SUM(Table2[[#This Row],[Total Selling Comission/Sales (Weekly)]:[Manpower (Korlap)]])</f>
        <v>86261000</v>
      </c>
      <c r="W73" s="1">
        <v>98978200</v>
      </c>
      <c r="Y73" s="1">
        <v>18900000</v>
      </c>
      <c r="Z73" s="1">
        <v>25200000</v>
      </c>
      <c r="AA7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17656400</v>
      </c>
      <c r="AB7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12717200</v>
      </c>
      <c r="AC73" s="13">
        <f>IFERROR(Table2[[#This Row],[Delivery PV]]/(Table2[[#This Row],[Total Sharing % (Weekly)]]+Table2[[#This Row],[Rider Penalty (Denda to Riders)]]),0)</f>
        <v>0.12848485828192471</v>
      </c>
      <c r="AD73" s="28">
        <f>SUM(Table2[[#This Row],[Total Potongan Moils (Weekly) ]:[Total Subsidi Molis KSJ (Monthly)]])-Table2[[#This Row],[Total Cost Molis (Weekly)]]</f>
        <v>4939200</v>
      </c>
      <c r="AE73" s="27">
        <f>IFERROR(Table2[[#This Row],[EV Related PV]]/(Table2[[#This Row],[Total Potongan Moils (Weekly) ]]+Table2[[#This Row],[Total Subsidi Molis KSJ (Monthly)]]),-1)</f>
        <v>0.112</v>
      </c>
    </row>
    <row r="74" spans="2:31" hidden="1">
      <c r="B74">
        <v>2024</v>
      </c>
      <c r="C74" t="s">
        <v>23</v>
      </c>
      <c r="D74" t="s">
        <v>23</v>
      </c>
      <c r="E74" t="s">
        <v>168</v>
      </c>
      <c r="F74" t="s">
        <v>24</v>
      </c>
      <c r="G74" t="s">
        <v>24</v>
      </c>
      <c r="H74"/>
      <c r="I74" t="s">
        <v>164</v>
      </c>
      <c r="J74" t="s">
        <v>256</v>
      </c>
      <c r="K74" t="s">
        <v>322</v>
      </c>
      <c r="L74" s="1">
        <v>21</v>
      </c>
      <c r="M74" s="1">
        <v>5613</v>
      </c>
      <c r="N74" s="1">
        <v>51126000</v>
      </c>
      <c r="O74" s="1">
        <v>2327100</v>
      </c>
      <c r="P74" s="1">
        <v>0</v>
      </c>
      <c r="Q74" s="1">
        <v>0</v>
      </c>
      <c r="R74" s="1">
        <v>0</v>
      </c>
      <c r="T74" s="1">
        <v>0</v>
      </c>
      <c r="U74" s="1">
        <f>SUM(Table2[[#This Row],[Total Selling Comission/Sales (Weekly)]:[Manpower (Korlap)]])</f>
        <v>2327100</v>
      </c>
      <c r="W74" s="1">
        <f>Table2[[#This Row],[Total Selling]]*23%</f>
        <v>11758980</v>
      </c>
      <c r="Y74" s="1">
        <v>0</v>
      </c>
      <c r="Z74" s="1">
        <v>0</v>
      </c>
      <c r="AA7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9431880</v>
      </c>
      <c r="AB74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9431880</v>
      </c>
      <c r="AC74" s="29">
        <f>IFERROR(Table2[[#This Row],[Delivery PV]]/(Table2[[#This Row],[Total Sharing % (Weekly)]]+Table2[[#This Row],[Rider Penalty (Denda to Riders)]]),0)</f>
        <v>0.80210018215865664</v>
      </c>
      <c r="AD74" s="28">
        <f>SUM(Table2[[#This Row],[Total Potongan Moils (Weekly) ]:[Total Subsidi Molis KSJ (Monthly)]])-Table2[[#This Row],[Total Cost Molis (Weekly)]]</f>
        <v>0</v>
      </c>
      <c r="AE74" s="27">
        <f>IFERROR(Table2[[#This Row],[EV Related PV]]/(Table2[[#This Row],[Total Potongan Moils (Weekly) ]]+Table2[[#This Row],[Total Subsidi Molis KSJ (Monthly)]]),-1)</f>
        <v>-1</v>
      </c>
    </row>
    <row r="75" spans="2:31" hidden="1">
      <c r="B75">
        <v>2024</v>
      </c>
      <c r="C75" t="s">
        <v>23</v>
      </c>
      <c r="D75" t="s">
        <v>23</v>
      </c>
      <c r="E75" t="s">
        <v>168</v>
      </c>
      <c r="F75" t="s">
        <v>28</v>
      </c>
      <c r="G75" t="s">
        <v>25</v>
      </c>
      <c r="H75"/>
      <c r="I75" t="s">
        <v>164</v>
      </c>
      <c r="J75" t="s">
        <v>256</v>
      </c>
      <c r="K75" t="s">
        <v>328</v>
      </c>
      <c r="L75" s="1">
        <v>139</v>
      </c>
      <c r="M75" s="1">
        <v>41766</v>
      </c>
      <c r="N75" s="1">
        <v>370126000</v>
      </c>
      <c r="O75" s="1">
        <v>41766000</v>
      </c>
      <c r="P75" s="1">
        <v>32775000</v>
      </c>
      <c r="Q75" s="1">
        <v>0</v>
      </c>
      <c r="R75" s="1">
        <v>0</v>
      </c>
      <c r="T75" s="1">
        <v>31235400</v>
      </c>
      <c r="U75" s="1">
        <f>SUM(Table2[[#This Row],[Total Selling Comission/Sales (Weekly)]:[Manpower (Korlap)]])</f>
        <v>74541000</v>
      </c>
      <c r="W75" s="1">
        <v>85128980</v>
      </c>
      <c r="Y75" s="1">
        <v>16884000</v>
      </c>
      <c r="Z75" s="1">
        <v>22512000</v>
      </c>
      <c r="AA7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18748580</v>
      </c>
      <c r="AB7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10587980</v>
      </c>
      <c r="AC75" s="29">
        <f>IFERROR(Table2[[#This Row],[Delivery PV]]/(Table2[[#This Row],[Total Sharing % (Weekly)]]+Table2[[#This Row],[Rider Penalty (Denda to Riders)]]),0)</f>
        <v>0.12437574137502881</v>
      </c>
      <c r="AD75" s="28">
        <f>SUM(Table2[[#This Row],[Total Potongan Moils (Weekly) ]:[Total Subsidi Molis KSJ (Monthly)]])-Table2[[#This Row],[Total Cost Molis (Weekly)]]</f>
        <v>8160600</v>
      </c>
      <c r="AE75" s="27">
        <f>IFERROR(Table2[[#This Row],[EV Related PV]]/(Table2[[#This Row],[Total Potongan Moils (Weekly) ]]+Table2[[#This Row],[Total Subsidi Molis KSJ (Monthly)]]),-1)</f>
        <v>0.20714285714285716</v>
      </c>
    </row>
    <row r="76" spans="2:31" hidden="1">
      <c r="B76">
        <v>2024</v>
      </c>
      <c r="C76" t="s">
        <v>23</v>
      </c>
      <c r="D76" t="s">
        <v>23</v>
      </c>
      <c r="E76" t="s">
        <v>168</v>
      </c>
      <c r="F76" t="s">
        <v>24</v>
      </c>
      <c r="G76" t="s">
        <v>24</v>
      </c>
      <c r="H76"/>
      <c r="I76" t="s">
        <v>164</v>
      </c>
      <c r="J76" t="s">
        <v>275</v>
      </c>
      <c r="K76" t="s">
        <v>321</v>
      </c>
      <c r="L76" s="1">
        <v>18</v>
      </c>
      <c r="M76" s="1">
        <v>5036</v>
      </c>
      <c r="N76" s="1">
        <v>46020000</v>
      </c>
      <c r="O76" s="1">
        <v>2125000</v>
      </c>
      <c r="P76" s="1">
        <v>0</v>
      </c>
      <c r="Q76" s="1">
        <v>0</v>
      </c>
      <c r="R76" s="1">
        <v>0</v>
      </c>
      <c r="T76" s="1">
        <v>2376000</v>
      </c>
      <c r="U76" s="1">
        <f>SUM(Table2[[#This Row],[Total Selling Comission/Sales (Weekly)]:[Manpower (Korlap)]])</f>
        <v>2125000</v>
      </c>
      <c r="W76" s="1">
        <f>Table2[[#This Row],[Total Selling]]*23%</f>
        <v>10584600</v>
      </c>
      <c r="Y76" s="1">
        <v>0</v>
      </c>
      <c r="Z76" s="1">
        <v>0</v>
      </c>
      <c r="AA7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6083600</v>
      </c>
      <c r="AB76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8459600</v>
      </c>
      <c r="AC76" s="29">
        <f>IFERROR(Table2[[#This Row],[Delivery PV]]/(Table2[[#This Row],[Total Sharing % (Weekly)]]+Table2[[#This Row],[Rider Penalty (Denda to Riders)]]),0)</f>
        <v>0.79923662679742269</v>
      </c>
      <c r="AD76" s="28">
        <f>SUM(Table2[[#This Row],[Total Potongan Moils (Weekly) ]:[Total Subsidi Molis KSJ (Monthly)]])-Table2[[#This Row],[Total Cost Molis (Weekly)]]</f>
        <v>-2376000</v>
      </c>
      <c r="AE76" s="27">
        <f>IFERROR(Table2[[#This Row],[EV Related PV]]/(Table2[[#This Row],[Total Potongan Moils (Weekly) ]]+Table2[[#This Row],[Total Subsidi Molis KSJ (Monthly)]]),-1)</f>
        <v>-1</v>
      </c>
    </row>
    <row r="77" spans="2:31" hidden="1">
      <c r="B77">
        <v>2024</v>
      </c>
      <c r="C77" t="s">
        <v>23</v>
      </c>
      <c r="D77" t="s">
        <v>23</v>
      </c>
      <c r="E77" t="s">
        <v>168</v>
      </c>
      <c r="F77" t="s">
        <v>28</v>
      </c>
      <c r="G77" t="s">
        <v>25</v>
      </c>
      <c r="H77"/>
      <c r="I77" t="s">
        <v>164</v>
      </c>
      <c r="J77" t="s">
        <v>275</v>
      </c>
      <c r="K77" t="s">
        <v>422</v>
      </c>
      <c r="L77" s="1">
        <v>139</v>
      </c>
      <c r="M77" s="1">
        <v>44918</v>
      </c>
      <c r="N77" s="1">
        <v>397842000</v>
      </c>
      <c r="O77" s="1">
        <v>44918000</v>
      </c>
      <c r="P77" s="1">
        <v>32525000</v>
      </c>
      <c r="Q77" s="1">
        <v>0</v>
      </c>
      <c r="R77" s="1">
        <v>0</v>
      </c>
      <c r="T77" s="1">
        <v>24408900</v>
      </c>
      <c r="U77" s="1">
        <f>SUM(Table2[[#This Row],[Total Selling Comission/Sales (Weekly)]:[Manpower (Korlap)]])</f>
        <v>77443000</v>
      </c>
      <c r="W77" s="1">
        <v>91503660</v>
      </c>
      <c r="Y77" s="1">
        <v>15930000</v>
      </c>
      <c r="Z77" s="1">
        <v>17592000</v>
      </c>
      <c r="AA7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23173760</v>
      </c>
      <c r="AB7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14060660</v>
      </c>
      <c r="AC77" s="29">
        <f>IFERROR(Table2[[#This Row],[Delivery PV]]/(Table2[[#This Row],[Total Sharing % (Weekly)]]+Table2[[#This Row],[Rider Penalty (Denda to Riders)]]),0)</f>
        <v>0.15366226880979406</v>
      </c>
      <c r="AD77" s="28">
        <f>SUM(Table2[[#This Row],[Total Potongan Moils (Weekly) ]:[Total Subsidi Molis KSJ (Monthly)]])-Table2[[#This Row],[Total Cost Molis (Weekly)]]</f>
        <v>9113100</v>
      </c>
      <c r="AE77" s="27">
        <f>IFERROR(Table2[[#This Row],[EV Related PV]]/(Table2[[#This Row],[Total Potongan Moils (Weekly) ]]+Table2[[#This Row],[Total Subsidi Molis KSJ (Monthly)]]),-1)</f>
        <v>0.2718543046357616</v>
      </c>
    </row>
    <row r="78" spans="2:31" hidden="1">
      <c r="B78">
        <v>2024</v>
      </c>
      <c r="C78" t="s">
        <v>23</v>
      </c>
      <c r="D78" t="s">
        <v>23</v>
      </c>
      <c r="E78" t="s">
        <v>168</v>
      </c>
      <c r="F78" t="s">
        <v>24</v>
      </c>
      <c r="G78" t="s">
        <v>24</v>
      </c>
      <c r="H78"/>
      <c r="I78" t="s">
        <v>163</v>
      </c>
      <c r="J78" t="s">
        <v>280</v>
      </c>
      <c r="K78" t="s">
        <v>329</v>
      </c>
      <c r="L78" s="1">
        <v>15</v>
      </c>
      <c r="M78" s="1">
        <v>3136</v>
      </c>
      <c r="N78" s="1">
        <v>34818000</v>
      </c>
      <c r="O78" s="1">
        <v>1254400</v>
      </c>
      <c r="P78" s="1">
        <v>0</v>
      </c>
      <c r="Q78" s="1">
        <v>0</v>
      </c>
      <c r="R78" s="1">
        <v>0</v>
      </c>
      <c r="T78" s="1">
        <v>2530800</v>
      </c>
      <c r="U78" s="1">
        <f>SUM(Table2[[#This Row],[Total Selling Comission/Sales (Weekly)]:[Manpower (Korlap)]])</f>
        <v>1254400</v>
      </c>
      <c r="W78" s="1">
        <f>Table2[[#This Row],[Total Selling]]*23%</f>
        <v>8008140</v>
      </c>
      <c r="Y78" s="1">
        <v>1674000</v>
      </c>
      <c r="Z78" s="1">
        <v>1824000</v>
      </c>
      <c r="AA7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7720940</v>
      </c>
      <c r="AB78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6753740</v>
      </c>
      <c r="AC78" s="29">
        <f>IFERROR(Table2[[#This Row],[Delivery PV]]/(Table2[[#This Row],[Total Sharing % (Weekly)]]+Table2[[#This Row],[Rider Penalty (Denda to Riders)]]),0)</f>
        <v>0.84335938182898895</v>
      </c>
      <c r="AD78" s="28">
        <f>SUM(Table2[[#This Row],[Total Potongan Moils (Weekly) ]:[Total Subsidi Molis KSJ (Monthly)]])-Table2[[#This Row],[Total Cost Molis (Weekly)]]</f>
        <v>967200</v>
      </c>
      <c r="AE78" s="27">
        <f>IFERROR(Table2[[#This Row],[EV Related PV]]/(Table2[[#This Row],[Total Potongan Moils (Weekly) ]]+Table2[[#This Row],[Total Subsidi Molis KSJ (Monthly)]]),-1)</f>
        <v>0.27650085763293308</v>
      </c>
    </row>
    <row r="79" spans="2:31" hidden="1">
      <c r="B79">
        <v>2024</v>
      </c>
      <c r="C79" t="s">
        <v>23</v>
      </c>
      <c r="D79" t="s">
        <v>23</v>
      </c>
      <c r="E79" t="s">
        <v>168</v>
      </c>
      <c r="F79" t="s">
        <v>24</v>
      </c>
      <c r="G79" t="s">
        <v>24</v>
      </c>
      <c r="H79"/>
      <c r="I79" t="s">
        <v>163</v>
      </c>
      <c r="J79" t="s">
        <v>279</v>
      </c>
      <c r="K79" t="s">
        <v>330</v>
      </c>
      <c r="L79" s="1">
        <v>13</v>
      </c>
      <c r="M79" s="1">
        <v>2686</v>
      </c>
      <c r="N79" s="1">
        <v>24508000</v>
      </c>
      <c r="O79" s="1">
        <v>2148800</v>
      </c>
      <c r="P79" s="1">
        <v>2275000</v>
      </c>
      <c r="Q79" s="1">
        <v>0</v>
      </c>
      <c r="R79" s="1">
        <v>0</v>
      </c>
      <c r="T79" s="1">
        <v>2031300</v>
      </c>
      <c r="U79" s="1">
        <f>SUM(Table2[[#This Row],[Total Selling Comission/Sales (Weekly)]:[Manpower (Korlap)]])</f>
        <v>4423800</v>
      </c>
      <c r="W79" s="1">
        <f>Table2[[#This Row],[Total Selling]]*23%</f>
        <v>5636840</v>
      </c>
      <c r="Y79" s="1">
        <v>520000</v>
      </c>
      <c r="Z79" s="1">
        <v>805200</v>
      </c>
      <c r="AA7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506940</v>
      </c>
      <c r="AB79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1213040</v>
      </c>
      <c r="AC79" s="29">
        <f>IFERROR(Table2[[#This Row],[Delivery PV]]/(Table2[[#This Row],[Total Sharing % (Weekly)]]+Table2[[#This Row],[Rider Penalty (Denda to Riders)]]),0)</f>
        <v>0.21519858644204909</v>
      </c>
      <c r="AD79" s="28">
        <f>SUM(Table2[[#This Row],[Total Potongan Moils (Weekly) ]:[Total Subsidi Molis KSJ (Monthly)]])-Table2[[#This Row],[Total Cost Molis (Weekly)]]</f>
        <v>-706100</v>
      </c>
      <c r="AE79" s="27">
        <f>IFERROR(Table2[[#This Row],[EV Related PV]]/(Table2[[#This Row],[Total Potongan Moils (Weekly) ]]+Table2[[#This Row],[Total Subsidi Molis KSJ (Monthly)]]),-1)</f>
        <v>-0.53282523392695447</v>
      </c>
    </row>
    <row r="80" spans="2:31" hidden="1">
      <c r="B80">
        <v>2024</v>
      </c>
      <c r="C80" t="s">
        <v>23</v>
      </c>
      <c r="D80" t="s">
        <v>23</v>
      </c>
      <c r="E80" t="s">
        <v>168</v>
      </c>
      <c r="F80" t="s">
        <v>28</v>
      </c>
      <c r="G80" t="s">
        <v>25</v>
      </c>
      <c r="H80"/>
      <c r="I80" t="s">
        <v>163</v>
      </c>
      <c r="J80" t="s">
        <v>279</v>
      </c>
      <c r="K80" t="s">
        <v>330</v>
      </c>
      <c r="L80" s="1">
        <v>129</v>
      </c>
      <c r="M80" s="1">
        <v>41485</v>
      </c>
      <c r="N80" s="1">
        <v>369048000</v>
      </c>
      <c r="O80" s="1">
        <v>41485000</v>
      </c>
      <c r="P80" s="1">
        <v>30975000</v>
      </c>
      <c r="Q80" s="1">
        <v>350000</v>
      </c>
      <c r="R80" s="1">
        <v>0</v>
      </c>
      <c r="T80" s="1">
        <v>28671300</v>
      </c>
      <c r="U80" s="1">
        <f>SUM(Table2[[#This Row],[Total Selling Comission/Sales (Weekly)]:[Manpower (Korlap)]])</f>
        <v>72810000</v>
      </c>
      <c r="W80" s="1">
        <v>84881040</v>
      </c>
      <c r="Y80" s="1">
        <v>15534000</v>
      </c>
      <c r="Z80" s="1">
        <v>9216000</v>
      </c>
      <c r="AA8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8149740</v>
      </c>
      <c r="AB8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12071040</v>
      </c>
      <c r="AC80" s="29">
        <f>IFERROR(Table2[[#This Row],[Delivery PV]]/(Table2[[#This Row],[Total Sharing % (Weekly)]]+Table2[[#This Row],[Rider Penalty (Denda to Riders)]]),0)</f>
        <v>0.14221126414096716</v>
      </c>
      <c r="AD80" s="28">
        <f>SUM(Table2[[#This Row],[Total Potongan Moils (Weekly) ]:[Total Subsidi Molis KSJ (Monthly)]])-Table2[[#This Row],[Total Cost Molis (Weekly)]]</f>
        <v>-3921300</v>
      </c>
      <c r="AE80" s="27">
        <f>IFERROR(Table2[[#This Row],[EV Related PV]]/(Table2[[#This Row],[Total Potongan Moils (Weekly) ]]+Table2[[#This Row],[Total Subsidi Molis KSJ (Monthly)]]),-1)</f>
        <v>-0.15843636363636363</v>
      </c>
    </row>
    <row r="81" spans="2:31" hidden="1">
      <c r="B81">
        <v>2024</v>
      </c>
      <c r="C81" t="s">
        <v>23</v>
      </c>
      <c r="D81" t="s">
        <v>23</v>
      </c>
      <c r="E81" t="s">
        <v>168</v>
      </c>
      <c r="F81" t="s">
        <v>28</v>
      </c>
      <c r="G81" t="s">
        <v>25</v>
      </c>
      <c r="H81"/>
      <c r="I81" t="s">
        <v>163</v>
      </c>
      <c r="J81" t="s">
        <v>279</v>
      </c>
      <c r="K81" t="s">
        <v>331</v>
      </c>
      <c r="L81" s="1">
        <v>126</v>
      </c>
      <c r="M81" s="1">
        <v>39758</v>
      </c>
      <c r="N81" s="1">
        <v>352342000</v>
      </c>
      <c r="O81" s="1">
        <v>39758000</v>
      </c>
      <c r="P81" s="1">
        <v>28975000</v>
      </c>
      <c r="Q81" s="1">
        <v>26250000</v>
      </c>
      <c r="R81" s="1">
        <v>3700000</v>
      </c>
      <c r="U81" s="1">
        <f>SUM(Table2[[#This Row],[Total Selling Comission/Sales (Weekly)]:[Manpower (Korlap)]])</f>
        <v>98683000</v>
      </c>
      <c r="W81" s="1">
        <v>81038660</v>
      </c>
      <c r="Y81" s="1">
        <v>14238000</v>
      </c>
      <c r="Z81" s="1">
        <v>15936000</v>
      </c>
      <c r="AA8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12529660</v>
      </c>
      <c r="AB8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-17644340</v>
      </c>
      <c r="AC81" s="29">
        <f>IFERROR(Table2[[#This Row],[Delivery PV]]/(Table2[[#This Row],[Total Sharing % (Weekly)]]+Table2[[#This Row],[Rider Penalty (Denda to Riders)]]),0)</f>
        <v>-0.21772744021186924</v>
      </c>
      <c r="AD81" s="28">
        <f>SUM(Table2[[#This Row],[Total Potongan Moils (Weekly) ]:[Total Subsidi Molis KSJ (Monthly)]])-Table2[[#This Row],[Total Cost Molis (Weekly)]]</f>
        <v>30174000</v>
      </c>
      <c r="AE81" s="27">
        <f>IFERROR(Table2[[#This Row],[EV Related PV]]/(Table2[[#This Row],[Total Potongan Moils (Weekly) ]]+Table2[[#This Row],[Total Subsidi Molis KSJ (Monthly)]]),-1)</f>
        <v>1</v>
      </c>
    </row>
    <row r="82" spans="2:31" hidden="1">
      <c r="B82">
        <v>2024</v>
      </c>
      <c r="C82" t="s">
        <v>23</v>
      </c>
      <c r="D82" t="s">
        <v>23</v>
      </c>
      <c r="E82" t="s">
        <v>168</v>
      </c>
      <c r="F82" t="s">
        <v>24</v>
      </c>
      <c r="G82" t="s">
        <v>24</v>
      </c>
      <c r="H82"/>
      <c r="I82" t="s">
        <v>163</v>
      </c>
      <c r="J82" t="s">
        <v>278</v>
      </c>
      <c r="K82" t="s">
        <v>332</v>
      </c>
      <c r="L82" s="1">
        <v>13</v>
      </c>
      <c r="M82" s="1">
        <v>2107</v>
      </c>
      <c r="N82" s="1">
        <v>19250000</v>
      </c>
      <c r="O82" s="1">
        <v>1365600</v>
      </c>
      <c r="P82" s="1">
        <v>1645200</v>
      </c>
      <c r="Q82" s="1">
        <v>0</v>
      </c>
      <c r="R82" s="1">
        <v>0</v>
      </c>
      <c r="T82" s="1">
        <v>1498500</v>
      </c>
      <c r="U82" s="1">
        <f>SUM(Table2[[#This Row],[Total Selling Comission/Sales (Weekly)]:[Manpower (Korlap)]])</f>
        <v>3010800</v>
      </c>
      <c r="W82" s="1">
        <f>Table2[[#This Row],[Total Selling]]*23%</f>
        <v>4427500</v>
      </c>
      <c r="Y82" s="1">
        <v>360000</v>
      </c>
      <c r="Z82" s="1">
        <v>540000</v>
      </c>
      <c r="AA8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818200</v>
      </c>
      <c r="AB82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1416700</v>
      </c>
      <c r="AC82" s="29">
        <f>IFERROR(Table2[[#This Row],[Delivery PV]]/(Table2[[#This Row],[Total Sharing % (Weekly)]]+Table2[[#This Row],[Rider Penalty (Denda to Riders)]]),0)</f>
        <v>0.31997741389045736</v>
      </c>
      <c r="AD82" s="28">
        <f>SUM(Table2[[#This Row],[Total Potongan Moils (Weekly) ]:[Total Subsidi Molis KSJ (Monthly)]])-Table2[[#This Row],[Total Cost Molis (Weekly)]]</f>
        <v>-598500</v>
      </c>
      <c r="AE82" s="27">
        <f>IFERROR(Table2[[#This Row],[EV Related PV]]/(Table2[[#This Row],[Total Potongan Moils (Weekly) ]]+Table2[[#This Row],[Total Subsidi Molis KSJ (Monthly)]]),-1)</f>
        <v>-0.66500000000000004</v>
      </c>
    </row>
    <row r="83" spans="2:31" hidden="1">
      <c r="B83">
        <v>2024</v>
      </c>
      <c r="C83" t="s">
        <v>23</v>
      </c>
      <c r="D83" t="s">
        <v>23</v>
      </c>
      <c r="E83" t="s">
        <v>168</v>
      </c>
      <c r="F83" t="s">
        <v>28</v>
      </c>
      <c r="G83" t="s">
        <v>25</v>
      </c>
      <c r="H83"/>
      <c r="I83" t="s">
        <v>163</v>
      </c>
      <c r="J83" t="s">
        <v>278</v>
      </c>
      <c r="K83" t="s">
        <v>332</v>
      </c>
      <c r="L83" s="1">
        <v>126</v>
      </c>
      <c r="M83" s="1">
        <v>41759</v>
      </c>
      <c r="N83" s="1">
        <v>367992000</v>
      </c>
      <c r="O83" s="1">
        <v>42292000</v>
      </c>
      <c r="P83" s="1">
        <v>31350000</v>
      </c>
      <c r="Q83" s="1">
        <v>0</v>
      </c>
      <c r="R83" s="1">
        <v>0</v>
      </c>
      <c r="T83" s="1">
        <v>27472500</v>
      </c>
      <c r="U83" s="1">
        <f>SUM(Table2[[#This Row],[Total Selling Comission/Sales (Weekly)]:[Manpower (Korlap)]])</f>
        <v>73642000</v>
      </c>
      <c r="W83" s="1">
        <v>84638160</v>
      </c>
      <c r="Y83" s="1">
        <v>14850000</v>
      </c>
      <c r="Z83" s="1">
        <v>19800000</v>
      </c>
      <c r="AA8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18173660</v>
      </c>
      <c r="AB8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10996160</v>
      </c>
      <c r="AC83" s="29">
        <f>IFERROR(Table2[[#This Row],[Delivery PV]]/(Table2[[#This Row],[Total Sharing % (Weekly)]]+Table2[[#This Row],[Rider Penalty (Denda to Riders)]]),0)</f>
        <v>0.12991964853678292</v>
      </c>
      <c r="AD83" s="28">
        <f>SUM(Table2[[#This Row],[Total Potongan Moils (Weekly) ]:[Total Subsidi Molis KSJ (Monthly)]])-Table2[[#This Row],[Total Cost Molis (Weekly)]]</f>
        <v>7177500</v>
      </c>
      <c r="AE83" s="27">
        <f>IFERROR(Table2[[#This Row],[EV Related PV]]/(Table2[[#This Row],[Total Potongan Moils (Weekly) ]]+Table2[[#This Row],[Total Subsidi Molis KSJ (Monthly)]]),-1)</f>
        <v>0.20714285714285716</v>
      </c>
    </row>
    <row r="84" spans="2:31" hidden="1">
      <c r="B84">
        <v>2024</v>
      </c>
      <c r="C84" t="s">
        <v>23</v>
      </c>
      <c r="D84" t="s">
        <v>23</v>
      </c>
      <c r="E84" t="s">
        <v>168</v>
      </c>
      <c r="F84" t="s">
        <v>24</v>
      </c>
      <c r="G84" t="s">
        <v>24</v>
      </c>
      <c r="H84"/>
      <c r="I84" t="s">
        <v>163</v>
      </c>
      <c r="J84" t="s">
        <v>256</v>
      </c>
      <c r="K84" t="s">
        <v>333</v>
      </c>
      <c r="L84" s="1">
        <v>9</v>
      </c>
      <c r="M84" s="1">
        <v>1054</v>
      </c>
      <c r="N84" s="1">
        <v>9014000</v>
      </c>
      <c r="O84" s="1">
        <v>739200</v>
      </c>
      <c r="P84" s="1">
        <v>840000</v>
      </c>
      <c r="Q84" s="1">
        <v>0</v>
      </c>
      <c r="R84" s="1">
        <v>0</v>
      </c>
      <c r="T84" s="1">
        <v>600000</v>
      </c>
      <c r="U84" s="1">
        <f>SUM(Table2[[#This Row],[Total Selling Comission/Sales (Weekly)]:[Manpower (Korlap)]])</f>
        <v>1579200</v>
      </c>
      <c r="W84" s="1">
        <f>Table2[[#This Row],[Total Selling]]*23%</f>
        <v>2073220</v>
      </c>
      <c r="Y84" s="1">
        <v>192000</v>
      </c>
      <c r="Z84" s="1">
        <v>120000</v>
      </c>
      <c r="AA8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206020</v>
      </c>
      <c r="AB84" s="1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494020</v>
      </c>
      <c r="AC84" s="29">
        <f>IFERROR(Table2[[#This Row],[Delivery PV]]/(Table2[[#This Row],[Total Sharing % (Weekly)]]+Table2[[#This Row],[Rider Penalty (Denda to Riders)]]),0)</f>
        <v>0.23828633719528078</v>
      </c>
      <c r="AD84" s="28">
        <f>SUM(Table2[[#This Row],[Total Potongan Moils (Weekly) ]:[Total Subsidi Molis KSJ (Monthly)]])-Table2[[#This Row],[Total Cost Molis (Weekly)]]</f>
        <v>-288000</v>
      </c>
      <c r="AE84" s="27">
        <f>IFERROR(Table2[[#This Row],[EV Related PV]]/(Table2[[#This Row],[Total Potongan Moils (Weekly) ]]+Table2[[#This Row],[Total Subsidi Molis KSJ (Monthly)]]),-1)</f>
        <v>-0.92307692307692313</v>
      </c>
    </row>
    <row r="85" spans="2:31">
      <c r="B85">
        <v>2025</v>
      </c>
      <c r="C85" t="s">
        <v>27</v>
      </c>
      <c r="D85" t="s">
        <v>27</v>
      </c>
      <c r="E85" t="s">
        <v>169</v>
      </c>
      <c r="F85" t="s">
        <v>28</v>
      </c>
      <c r="G85" t="s">
        <v>28</v>
      </c>
      <c r="H85">
        <v>6</v>
      </c>
      <c r="I85" t="s">
        <v>158</v>
      </c>
      <c r="J85" t="s">
        <v>256</v>
      </c>
      <c r="K85" t="s">
        <v>291</v>
      </c>
      <c r="L85" s="1">
        <v>4</v>
      </c>
      <c r="M85" s="1">
        <v>756</v>
      </c>
      <c r="N85" s="1">
        <v>7756000</v>
      </c>
      <c r="O85" s="1">
        <v>775600</v>
      </c>
      <c r="P85" s="1">
        <v>500000</v>
      </c>
      <c r="Q85" s="1">
        <v>0</v>
      </c>
      <c r="R85" s="1">
        <v>0</v>
      </c>
      <c r="S85" s="1">
        <v>0</v>
      </c>
      <c r="T85" s="1">
        <v>490000</v>
      </c>
      <c r="U85" s="1">
        <f>SUM(Table2[[#This Row],[Total Selling Comission/Sales (Weekly)]:[Manpower (Korlap)]])</f>
        <v>1275600</v>
      </c>
      <c r="W85" s="1">
        <f>Table2[[#This Row],[Total Selling]]*30%</f>
        <v>2326800</v>
      </c>
      <c r="Y85" s="1">
        <f>4*60000</f>
        <v>240000</v>
      </c>
      <c r="Z85" s="1">
        <v>0</v>
      </c>
      <c r="AA8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801200</v>
      </c>
      <c r="AB8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1051200</v>
      </c>
      <c r="AC85" s="13">
        <f>IFERROR(Table2[[#This Row],[Delivery PV]]/(Table2[[#This Row],[Total Sharing % (Weekly)]]+Table2[[#This Row],[Rider Penalty (Denda to Riders)]]),0)</f>
        <v>0.45177926766374421</v>
      </c>
      <c r="AD85" s="28">
        <f>SUM(Table2[[#This Row],[Total Potongan Moils (Weekly) ]:[Total Subsidi Molis KSJ (Monthly)]])-Table2[[#This Row],[Total Cost Molis (Weekly)]]</f>
        <v>-250000</v>
      </c>
      <c r="AE85" s="27">
        <f>IFERROR(Table2[[#This Row],[EV Related PV]]/(Table2[[#This Row],[Total Potongan Moils (Weekly) ]]+Table2[[#This Row],[Total Subsidi Molis KSJ (Monthly)]]),-1)</f>
        <v>-1.0416666666666667</v>
      </c>
    </row>
    <row r="86" spans="2:31">
      <c r="B86">
        <v>2025</v>
      </c>
      <c r="C86" t="s">
        <v>29</v>
      </c>
      <c r="D86" t="s">
        <v>29</v>
      </c>
      <c r="E86" t="s">
        <v>169</v>
      </c>
      <c r="F86" t="s">
        <v>28</v>
      </c>
      <c r="G86" t="s">
        <v>28</v>
      </c>
      <c r="H86">
        <v>6</v>
      </c>
      <c r="I86" t="s">
        <v>158</v>
      </c>
      <c r="J86" t="s">
        <v>256</v>
      </c>
      <c r="K86" t="s">
        <v>291</v>
      </c>
      <c r="L86" s="1">
        <v>6</v>
      </c>
      <c r="M86" s="1">
        <v>264</v>
      </c>
      <c r="N86" s="1">
        <v>2604000</v>
      </c>
      <c r="O86" s="1">
        <v>264000</v>
      </c>
      <c r="P86" s="1">
        <v>700000</v>
      </c>
      <c r="Q86" s="1">
        <v>0</v>
      </c>
      <c r="R86" s="1">
        <v>0</v>
      </c>
      <c r="S86" s="1">
        <v>0</v>
      </c>
      <c r="T86" s="1">
        <v>1260000</v>
      </c>
      <c r="U86" s="1">
        <f>SUM(Table2[[#This Row],[Total Selling Comission/Sales (Weekly)]:[Manpower (Korlap)]])</f>
        <v>964000</v>
      </c>
      <c r="W86" s="1">
        <f>Table2[[#This Row],[Total Selling]]*30%</f>
        <v>781200</v>
      </c>
      <c r="Y86" s="1">
        <f>6*60000</f>
        <v>360000</v>
      </c>
      <c r="Z86" s="1">
        <v>0</v>
      </c>
      <c r="AA8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-1082800</v>
      </c>
      <c r="AB8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-182800</v>
      </c>
      <c r="AC86" s="13">
        <f>IFERROR(Table2[[#This Row],[Delivery PV]]/(Table2[[#This Row],[Total Sharing % (Weekly)]]+Table2[[#This Row],[Rider Penalty (Denda to Riders)]]),0)</f>
        <v>-0.23399897593445981</v>
      </c>
      <c r="AD86" s="28">
        <f>SUM(Table2[[#This Row],[Total Potongan Moils (Weekly) ]:[Total Subsidi Molis KSJ (Monthly)]])-Table2[[#This Row],[Total Cost Molis (Weekly)]]</f>
        <v>-900000</v>
      </c>
      <c r="AE86" s="27">
        <f>IFERROR(Table2[[#This Row],[EV Related PV]]/(Table2[[#This Row],[Total Potongan Moils (Weekly) ]]+Table2[[#This Row],[Total Subsidi Molis KSJ (Monthly)]]),-1)</f>
        <v>-2.5</v>
      </c>
    </row>
    <row r="87" spans="2:31">
      <c r="B87">
        <v>2025</v>
      </c>
      <c r="C87" t="s">
        <v>34</v>
      </c>
      <c r="D87" t="s">
        <v>34</v>
      </c>
      <c r="E87" t="s">
        <v>169</v>
      </c>
      <c r="F87" t="s">
        <v>28</v>
      </c>
      <c r="G87" t="s">
        <v>28</v>
      </c>
      <c r="H87">
        <v>6</v>
      </c>
      <c r="I87" t="s">
        <v>158</v>
      </c>
      <c r="J87" t="s">
        <v>256</v>
      </c>
      <c r="K87" t="s">
        <v>291</v>
      </c>
      <c r="L87" s="1">
        <v>4</v>
      </c>
      <c r="M87" s="1">
        <v>159</v>
      </c>
      <c r="N87" s="1">
        <v>1217000</v>
      </c>
      <c r="O87" s="1">
        <v>159000</v>
      </c>
      <c r="P87" s="1">
        <v>225000</v>
      </c>
      <c r="Q87" s="1">
        <v>0</v>
      </c>
      <c r="R87" s="1">
        <v>0</v>
      </c>
      <c r="S87" s="1">
        <v>0</v>
      </c>
      <c r="T87" s="1">
        <v>840000</v>
      </c>
      <c r="U87" s="1">
        <f>SUM(Table2[[#This Row],[Total Selling Comission/Sales (Weekly)]:[Manpower (Korlap)]])</f>
        <v>384000</v>
      </c>
      <c r="W87" s="1">
        <f>Table2[[#This Row],[Total Selling]]*35%</f>
        <v>425950</v>
      </c>
      <c r="Y87" s="1">
        <f>3*60000</f>
        <v>180000</v>
      </c>
      <c r="Z87" s="1">
        <v>0</v>
      </c>
      <c r="AA8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-618050</v>
      </c>
      <c r="AB8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41950</v>
      </c>
      <c r="AC87" s="13">
        <f>IFERROR(Table2[[#This Row],[Delivery PV]]/(Table2[[#This Row],[Total Sharing % (Weekly)]]+Table2[[#This Row],[Rider Penalty (Denda to Riders)]]),0)</f>
        <v>9.8485737762648198E-2</v>
      </c>
      <c r="AD87" s="28">
        <f>SUM(Table2[[#This Row],[Total Potongan Moils (Weekly) ]:[Total Subsidi Molis KSJ (Monthly)]])-Table2[[#This Row],[Total Cost Molis (Weekly)]]</f>
        <v>-660000</v>
      </c>
      <c r="AE87" s="27">
        <f>IFERROR(Table2[[#This Row],[EV Related PV]]/(Table2[[#This Row],[Total Potongan Moils (Weekly) ]]+Table2[[#This Row],[Total Subsidi Molis KSJ (Monthly)]]),-1)</f>
        <v>-3.6666666666666665</v>
      </c>
    </row>
    <row r="88" spans="2:31">
      <c r="B88" s="23">
        <v>2025</v>
      </c>
      <c r="C88" s="41" t="s">
        <v>201</v>
      </c>
      <c r="D88" t="s">
        <v>201</v>
      </c>
      <c r="E88" t="s">
        <v>169</v>
      </c>
      <c r="F88" t="s">
        <v>28</v>
      </c>
      <c r="G88" t="s">
        <v>28</v>
      </c>
      <c r="H88">
        <v>6</v>
      </c>
      <c r="I88" s="41" t="s">
        <v>158</v>
      </c>
      <c r="J88" t="s">
        <v>256</v>
      </c>
      <c r="K88" s="41" t="s">
        <v>291</v>
      </c>
      <c r="L88" s="1">
        <v>5</v>
      </c>
      <c r="M88" s="1">
        <v>226</v>
      </c>
      <c r="N88" s="1">
        <v>991000</v>
      </c>
      <c r="O88" s="1">
        <v>226000</v>
      </c>
      <c r="P88" s="1">
        <v>475000</v>
      </c>
      <c r="Q88" s="1">
        <v>0</v>
      </c>
      <c r="R88" s="1">
        <v>0</v>
      </c>
      <c r="S88" s="1">
        <v>0</v>
      </c>
      <c r="T88" s="1">
        <v>1050000</v>
      </c>
      <c r="U88" s="1">
        <f>SUM(Table2[[#This Row],[Total Selling Comission/Sales (Weekly)]:[Manpower (Korlap)]])</f>
        <v>701000</v>
      </c>
      <c r="W88" s="1">
        <f>Table2[[#This Row],[Total Selling]]*30%</f>
        <v>297300</v>
      </c>
      <c r="Y88" s="1">
        <f>5*60000</f>
        <v>300000</v>
      </c>
      <c r="Z88" s="1">
        <v>0</v>
      </c>
      <c r="AA8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-1153700</v>
      </c>
      <c r="AB8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-403700</v>
      </c>
      <c r="AC88" s="13">
        <f>IFERROR(Table2[[#This Row],[Delivery PV]]/(Table2[[#This Row],[Total Sharing % (Weekly)]]+Table2[[#This Row],[Rider Penalty (Denda to Riders)]]),0)</f>
        <v>-1.3578876555667676</v>
      </c>
      <c r="AD88" s="28">
        <f>SUM(Table2[[#This Row],[Total Potongan Moils (Weekly) ]:[Total Subsidi Molis KSJ (Monthly)]])-Table2[[#This Row],[Total Cost Molis (Weekly)]]</f>
        <v>-750000</v>
      </c>
      <c r="AE88" s="27">
        <f>IFERROR(Table2[[#This Row],[EV Related PV]]/(Table2[[#This Row],[Total Potongan Moils (Weekly) ]]+Table2[[#This Row],[Total Subsidi Molis KSJ (Monthly)]]),-1)</f>
        <v>-2.5</v>
      </c>
    </row>
    <row r="89" spans="2:31">
      <c r="B89">
        <v>2025</v>
      </c>
      <c r="C89" t="s">
        <v>200</v>
      </c>
      <c r="D89" t="s">
        <v>200</v>
      </c>
      <c r="E89" t="s">
        <v>169</v>
      </c>
      <c r="F89" t="s">
        <v>28</v>
      </c>
      <c r="G89" t="s">
        <v>28</v>
      </c>
      <c r="H89">
        <v>6</v>
      </c>
      <c r="I89" t="s">
        <v>158</v>
      </c>
      <c r="J89" t="s">
        <v>256</v>
      </c>
      <c r="K89" t="s">
        <v>291</v>
      </c>
      <c r="L89" s="1">
        <v>1</v>
      </c>
      <c r="M89" s="1">
        <v>101</v>
      </c>
      <c r="N89" s="1">
        <v>1066000</v>
      </c>
      <c r="O89" s="1">
        <v>101000</v>
      </c>
      <c r="P89" s="1">
        <v>150000</v>
      </c>
      <c r="T89" s="1">
        <v>210000</v>
      </c>
      <c r="U89" s="1">
        <f>SUM(Table2[[#This Row],[Total Selling Comission/Sales (Weekly)]:[Manpower (Korlap)]])</f>
        <v>251000</v>
      </c>
      <c r="W89" s="1">
        <f>Table2[[#This Row],[Total Selling]]*35%</f>
        <v>373100</v>
      </c>
      <c r="Y89" s="1">
        <v>60000</v>
      </c>
      <c r="Z89" s="1">
        <v>0</v>
      </c>
      <c r="AA8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-27900</v>
      </c>
      <c r="AB8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122100</v>
      </c>
      <c r="AC89" s="13">
        <f>IFERROR(Table2[[#This Row],[Delivery PV]]/(Table2[[#This Row],[Total Sharing % (Weekly)]]+Table2[[#This Row],[Rider Penalty (Denda to Riders)]]),0)</f>
        <v>0.32725810774591263</v>
      </c>
      <c r="AD89" s="28">
        <f>SUM(Table2[[#This Row],[Total Potongan Moils (Weekly) ]:[Total Subsidi Molis KSJ (Monthly)]])-Table2[[#This Row],[Total Cost Molis (Weekly)]]</f>
        <v>-150000</v>
      </c>
      <c r="AE89" s="27">
        <f>IFERROR(Table2[[#This Row],[EV Related PV]]/(Table2[[#This Row],[Total Potongan Moils (Weekly) ]]+Table2[[#This Row],[Total Subsidi Molis KSJ (Monthly)]]),-1)</f>
        <v>-2.5</v>
      </c>
    </row>
    <row r="90" spans="2:31">
      <c r="B90">
        <v>2025</v>
      </c>
      <c r="C90" t="s">
        <v>171</v>
      </c>
      <c r="D90" t="s">
        <v>171</v>
      </c>
      <c r="E90" t="s">
        <v>168</v>
      </c>
      <c r="F90" t="s">
        <v>28</v>
      </c>
      <c r="G90" t="s">
        <v>28</v>
      </c>
      <c r="H90">
        <v>6</v>
      </c>
      <c r="I90" t="s">
        <v>158</v>
      </c>
      <c r="J90" t="s">
        <v>256</v>
      </c>
      <c r="K90" t="s">
        <v>291</v>
      </c>
      <c r="L90" s="1">
        <v>1</v>
      </c>
      <c r="M90" s="1">
        <v>140</v>
      </c>
      <c r="N90" s="156">
        <v>504000</v>
      </c>
      <c r="O90" s="1">
        <v>140000</v>
      </c>
      <c r="P90" s="1">
        <v>150000</v>
      </c>
      <c r="Q90" s="1">
        <v>0</v>
      </c>
      <c r="R90" s="1">
        <v>0</v>
      </c>
      <c r="S90" s="1">
        <v>0</v>
      </c>
      <c r="T90" s="1">
        <v>210000</v>
      </c>
      <c r="U90" s="1">
        <f>SUM(Table2[[#This Row],[Total Selling Comission/Sales (Weekly)]:[Manpower (Korlap)]])</f>
        <v>290000</v>
      </c>
      <c r="W90" s="1">
        <f>Table2[[#This Row],[Total Selling]]*30%</f>
        <v>151200</v>
      </c>
      <c r="Y90" s="1">
        <v>60000</v>
      </c>
      <c r="Z90" s="1">
        <v>0</v>
      </c>
      <c r="AA9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-288800</v>
      </c>
      <c r="AB9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-138800</v>
      </c>
      <c r="AC90" s="13">
        <f>IFERROR(Table2[[#This Row],[Delivery PV]]/(Table2[[#This Row],[Total Sharing % (Weekly)]]+Table2[[#This Row],[Rider Penalty (Denda to Riders)]]),0)</f>
        <v>-0.91798941798941802</v>
      </c>
      <c r="AD90" s="28">
        <f>SUM(Table2[[#This Row],[Total Potongan Moils (Weekly) ]:[Total Subsidi Molis KSJ (Monthly)]])-Table2[[#This Row],[Total Cost Molis (Weekly)]]</f>
        <v>-150000</v>
      </c>
      <c r="AE90" s="27">
        <f>IFERROR(Table2[[#This Row],[EV Related PV]]/(Table2[[#This Row],[Total Potongan Moils (Weekly) ]]+Table2[[#This Row],[Total Subsidi Molis KSJ (Monthly)]]),-1)</f>
        <v>-2.5</v>
      </c>
    </row>
    <row r="91" spans="2:31">
      <c r="B91">
        <v>2025</v>
      </c>
      <c r="C91" t="s">
        <v>33</v>
      </c>
      <c r="D91" t="s">
        <v>33</v>
      </c>
      <c r="E91" t="s">
        <v>169</v>
      </c>
      <c r="F91" t="s">
        <v>28</v>
      </c>
      <c r="G91" t="s">
        <v>28</v>
      </c>
      <c r="H91">
        <v>6</v>
      </c>
      <c r="I91" t="s">
        <v>158</v>
      </c>
      <c r="J91" t="s">
        <v>256</v>
      </c>
      <c r="K91" t="s">
        <v>291</v>
      </c>
      <c r="L91" s="1">
        <v>1</v>
      </c>
      <c r="M91" s="1">
        <v>23</v>
      </c>
      <c r="N91" s="1">
        <v>490000</v>
      </c>
      <c r="O91" s="1">
        <v>23000</v>
      </c>
      <c r="P91" s="1">
        <v>50000</v>
      </c>
      <c r="Q91" s="1">
        <v>0</v>
      </c>
      <c r="R91" s="1">
        <v>0</v>
      </c>
      <c r="S91" s="1">
        <v>0</v>
      </c>
      <c r="T91" s="1">
        <v>210000</v>
      </c>
      <c r="U91" s="1">
        <f>SUM(Table2[[#This Row],[Total Selling Comission/Sales (Weekly)]:[Manpower (Korlap)]])</f>
        <v>73000</v>
      </c>
      <c r="W91" s="1">
        <f>Table2[[#This Row],[Total Selling]]*25%</f>
        <v>122500</v>
      </c>
      <c r="Y91" s="1">
        <v>60000</v>
      </c>
      <c r="Z91" s="1">
        <v>0</v>
      </c>
      <c r="AA9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-100500</v>
      </c>
      <c r="AB9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49500</v>
      </c>
      <c r="AC91" s="13">
        <f>IFERROR(Table2[[#This Row],[Delivery PV]]/(Table2[[#This Row],[Total Sharing % (Weekly)]]+Table2[[#This Row],[Rider Penalty (Denda to Riders)]]),0)</f>
        <v>0.40408163265306124</v>
      </c>
      <c r="AD91" s="28">
        <f>SUM(Table2[[#This Row],[Total Potongan Moils (Weekly) ]:[Total Subsidi Molis KSJ (Monthly)]])-Table2[[#This Row],[Total Cost Molis (Weekly)]]</f>
        <v>-150000</v>
      </c>
      <c r="AE91" s="27">
        <f>IFERROR(Table2[[#This Row],[EV Related PV]]/(Table2[[#This Row],[Total Potongan Moils (Weekly) ]]+Table2[[#This Row],[Total Subsidi Molis KSJ (Monthly)]]),-1)</f>
        <v>-2.5</v>
      </c>
    </row>
    <row r="92" spans="2:31">
      <c r="B92">
        <v>2025</v>
      </c>
      <c r="C92" t="s">
        <v>23</v>
      </c>
      <c r="D92" t="s">
        <v>23</v>
      </c>
      <c r="E92" t="s">
        <v>168</v>
      </c>
      <c r="F92" t="s">
        <v>28</v>
      </c>
      <c r="G92" t="s">
        <v>25</v>
      </c>
      <c r="H92">
        <v>7</v>
      </c>
      <c r="I92" t="s">
        <v>158</v>
      </c>
      <c r="J92" t="s">
        <v>278</v>
      </c>
      <c r="K92" s="18" t="s">
        <v>287</v>
      </c>
      <c r="L92" s="1">
        <v>269</v>
      </c>
      <c r="M92" s="1">
        <v>79236</v>
      </c>
      <c r="N92" s="1">
        <v>695119000</v>
      </c>
      <c r="O92" s="1">
        <v>79147500</v>
      </c>
      <c r="P92" s="1">
        <v>58075000</v>
      </c>
      <c r="Q92" s="1">
        <v>0</v>
      </c>
      <c r="R92" s="1">
        <v>0</v>
      </c>
      <c r="S92" s="1">
        <v>0</v>
      </c>
      <c r="T92" s="1">
        <v>60073200</v>
      </c>
      <c r="U92" s="1">
        <f>SUM(Table2[[#This Row],[Total Selling Comission/Sales (Weekly)]:[Manpower (Korlap)]])</f>
        <v>137222500</v>
      </c>
      <c r="V92" s="1">
        <v>2620000</v>
      </c>
      <c r="W92" s="1">
        <f>Table2[[#This Row],[Total Selling]]*23%</f>
        <v>159877370</v>
      </c>
      <c r="Y92" s="1">
        <v>32472000</v>
      </c>
      <c r="Z92" s="1">
        <v>34992000</v>
      </c>
      <c r="AA9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27425670</v>
      </c>
      <c r="AB9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22654870</v>
      </c>
      <c r="AC92" s="13">
        <f>IFERROR(Table2[[#This Row],[Delivery PV]]/(Table2[[#This Row],[Total Sharing % (Weekly)]]+Table2[[#This Row],[Rider Penalty (Denda to Riders)]]),0)</f>
        <v>0.14170154287626824</v>
      </c>
      <c r="AD92" s="28">
        <f>SUM(Table2[[#This Row],[Total Potongan Moils (Weekly) ]:[Total Subsidi Molis KSJ (Monthly)]])-Table2[[#This Row],[Total Cost Molis (Weekly)]]</f>
        <v>7390800</v>
      </c>
      <c r="AE92" s="27">
        <f>IFERROR(Table2[[#This Row],[EV Related PV]]/(Table2[[#This Row],[Total Potongan Moils (Weekly) ]]+Table2[[#This Row],[Total Subsidi Molis KSJ (Monthly)]]),-1)</f>
        <v>0.10955176093916756</v>
      </c>
    </row>
    <row r="93" spans="2:31">
      <c r="B93" s="23">
        <v>2025</v>
      </c>
      <c r="C93" s="41" t="s">
        <v>23</v>
      </c>
      <c r="D93" s="41" t="s">
        <v>23</v>
      </c>
      <c r="E93" t="s">
        <v>168</v>
      </c>
      <c r="F93" t="s">
        <v>28</v>
      </c>
      <c r="G93" t="s">
        <v>31</v>
      </c>
      <c r="H93">
        <v>7</v>
      </c>
      <c r="I93" s="41" t="s">
        <v>158</v>
      </c>
      <c r="J93" t="s">
        <v>278</v>
      </c>
      <c r="K93" s="47" t="s">
        <v>287</v>
      </c>
      <c r="L93" s="1">
        <v>31</v>
      </c>
      <c r="M93" s="1">
        <v>10578</v>
      </c>
      <c r="N93" s="1">
        <v>93263000</v>
      </c>
      <c r="O93" s="1">
        <v>10563500</v>
      </c>
      <c r="P93" s="1">
        <v>8175000</v>
      </c>
      <c r="Q93" s="48">
        <v>0</v>
      </c>
      <c r="R93" s="48">
        <v>0</v>
      </c>
      <c r="S93" s="48">
        <v>0</v>
      </c>
      <c r="T93" s="1">
        <v>7126200</v>
      </c>
      <c r="U93" s="1">
        <f>SUM(Table2[[#This Row],[Total Selling Comission/Sales (Weekly)]:[Manpower (Korlap)]])</f>
        <v>18738500</v>
      </c>
      <c r="V93" s="1">
        <v>456000</v>
      </c>
      <c r="W93" s="1">
        <f>Table2[[#This Row],[Total Selling]]*23%</f>
        <v>21450490</v>
      </c>
      <c r="Y93" s="1">
        <v>3852000</v>
      </c>
      <c r="Z93" s="1">
        <v>4368000</v>
      </c>
      <c r="AA9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3349790</v>
      </c>
      <c r="AB9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2711990</v>
      </c>
      <c r="AC93" s="13">
        <f>IFERROR(Table2[[#This Row],[Delivery PV]]/(Table2[[#This Row],[Total Sharing % (Weekly)]]+Table2[[#This Row],[Rider Penalty (Denda to Riders)]]),0)</f>
        <v>0.12643021208373328</v>
      </c>
      <c r="AD93" s="28">
        <f>SUM(Table2[[#This Row],[Total Potongan Moils (Weekly) ]:[Total Subsidi Molis KSJ (Monthly)]])-Table2[[#This Row],[Total Cost Molis (Weekly)]]</f>
        <v>1093800</v>
      </c>
      <c r="AE93" s="27">
        <f>IFERROR(Table2[[#This Row],[EV Related PV]]/(Table2[[#This Row],[Total Potongan Moils (Weekly) ]]+Table2[[#This Row],[Total Subsidi Molis KSJ (Monthly)]]),-1)</f>
        <v>0.13306569343065694</v>
      </c>
    </row>
    <row r="94" spans="2:31">
      <c r="B94" s="23">
        <v>2025</v>
      </c>
      <c r="C94" s="41" t="s">
        <v>34</v>
      </c>
      <c r="D94" t="s">
        <v>34</v>
      </c>
      <c r="E94" t="s">
        <v>169</v>
      </c>
      <c r="F94" t="s">
        <v>28</v>
      </c>
      <c r="G94" t="s">
        <v>28</v>
      </c>
      <c r="H94">
        <v>7</v>
      </c>
      <c r="I94" s="41" t="s">
        <v>158</v>
      </c>
      <c r="J94" t="s">
        <v>278</v>
      </c>
      <c r="K94" s="47" t="s">
        <v>287</v>
      </c>
      <c r="L94" s="1">
        <v>3</v>
      </c>
      <c r="M94" s="1">
        <v>142</v>
      </c>
      <c r="N94" s="1">
        <v>1162000</v>
      </c>
      <c r="O94" s="1">
        <v>142000</v>
      </c>
      <c r="P94" s="1">
        <v>200000</v>
      </c>
      <c r="Q94" s="1">
        <v>0</v>
      </c>
      <c r="R94" s="1">
        <v>0</v>
      </c>
      <c r="S94" s="1">
        <v>0</v>
      </c>
      <c r="T94" s="1">
        <v>735000</v>
      </c>
      <c r="U94" s="1">
        <f>SUM(Table2[[#This Row],[Total Selling Comission/Sales (Weekly)]:[Manpower (Korlap)]])</f>
        <v>342000</v>
      </c>
      <c r="W94" s="48">
        <f>Table2[[#This Row],[Total Selling]]*35%</f>
        <v>406700</v>
      </c>
      <c r="Y94" s="1">
        <v>210000</v>
      </c>
      <c r="Z94" s="1">
        <v>0</v>
      </c>
      <c r="AA9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-460300</v>
      </c>
      <c r="AB9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64700</v>
      </c>
      <c r="AC94" s="13">
        <f>IFERROR(Table2[[#This Row],[Delivery PV]]/(Table2[[#This Row],[Total Sharing % (Weekly)]]+Table2[[#This Row],[Rider Penalty (Denda to Riders)]]),0)</f>
        <v>0.15908532087533808</v>
      </c>
      <c r="AD94" s="28">
        <f>SUM(Table2[[#This Row],[Total Potongan Moils (Weekly) ]:[Total Subsidi Molis KSJ (Monthly)]])-Table2[[#This Row],[Total Cost Molis (Weekly)]]</f>
        <v>-525000</v>
      </c>
      <c r="AE94" s="27">
        <f>IFERROR(Table2[[#This Row],[EV Related PV]]/(Table2[[#This Row],[Total Potongan Moils (Weekly) ]]+Table2[[#This Row],[Total Subsidi Molis KSJ (Monthly)]]),-1)</f>
        <v>-2.5</v>
      </c>
    </row>
    <row r="95" spans="2:31">
      <c r="B95" s="23">
        <v>2025</v>
      </c>
      <c r="C95" s="41" t="s">
        <v>27</v>
      </c>
      <c r="D95" t="s">
        <v>27</v>
      </c>
      <c r="E95" t="s">
        <v>169</v>
      </c>
      <c r="F95" t="s">
        <v>28</v>
      </c>
      <c r="G95" t="s">
        <v>28</v>
      </c>
      <c r="H95">
        <v>7</v>
      </c>
      <c r="I95" s="41" t="s">
        <v>158</v>
      </c>
      <c r="J95" t="s">
        <v>278</v>
      </c>
      <c r="K95" s="47" t="s">
        <v>287</v>
      </c>
      <c r="L95" s="1">
        <v>5</v>
      </c>
      <c r="M95" s="1">
        <v>823</v>
      </c>
      <c r="N95" s="1">
        <v>7902000</v>
      </c>
      <c r="O95" s="1">
        <v>823000</v>
      </c>
      <c r="P95" s="1">
        <v>575000</v>
      </c>
      <c r="Q95" s="1">
        <v>0</v>
      </c>
      <c r="R95" s="1">
        <v>0</v>
      </c>
      <c r="S95" s="1">
        <v>0</v>
      </c>
      <c r="T95" s="1">
        <v>1225000</v>
      </c>
      <c r="U95" s="1">
        <f>SUM(Table2[[#This Row],[Total Selling Comission/Sales (Weekly)]:[Manpower (Korlap)]])</f>
        <v>1398000</v>
      </c>
      <c r="W95" s="48">
        <f>Table2[[#This Row],[Total Selling]]*30%</f>
        <v>2370600</v>
      </c>
      <c r="Y95" s="1">
        <v>300000</v>
      </c>
      <c r="Z95" s="1">
        <v>0</v>
      </c>
      <c r="AA9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47600</v>
      </c>
      <c r="AB9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972600</v>
      </c>
      <c r="AC95" s="13">
        <f>IFERROR(Table2[[#This Row],[Delivery PV]]/(Table2[[#This Row],[Total Sharing % (Weekly)]]+Table2[[#This Row],[Rider Penalty (Denda to Riders)]]),0)</f>
        <v>0.41027587952417111</v>
      </c>
      <c r="AD95" s="28">
        <f>SUM(Table2[[#This Row],[Total Potongan Moils (Weekly) ]:[Total Subsidi Molis KSJ (Monthly)]])-Table2[[#This Row],[Total Cost Molis (Weekly)]]</f>
        <v>-925000</v>
      </c>
      <c r="AE95" s="27">
        <f>IFERROR(Table2[[#This Row],[EV Related PV]]/(Table2[[#This Row],[Total Potongan Moils (Weekly) ]]+Table2[[#This Row],[Total Subsidi Molis KSJ (Monthly)]]),-1)</f>
        <v>-3.0833333333333335</v>
      </c>
    </row>
    <row r="96" spans="2:31">
      <c r="B96" s="23">
        <v>2025</v>
      </c>
      <c r="C96" s="41" t="s">
        <v>201</v>
      </c>
      <c r="D96" t="s">
        <v>201</v>
      </c>
      <c r="E96" t="s">
        <v>169</v>
      </c>
      <c r="F96" t="s">
        <v>28</v>
      </c>
      <c r="G96" t="s">
        <v>28</v>
      </c>
      <c r="H96">
        <v>7</v>
      </c>
      <c r="I96" s="41" t="s">
        <v>158</v>
      </c>
      <c r="J96" t="s">
        <v>278</v>
      </c>
      <c r="K96" s="47" t="s">
        <v>287</v>
      </c>
      <c r="L96" s="1">
        <v>4</v>
      </c>
      <c r="M96" s="1">
        <v>228</v>
      </c>
      <c r="N96" s="1">
        <v>2659000</v>
      </c>
      <c r="O96" s="156">
        <v>228000</v>
      </c>
      <c r="P96" s="1">
        <v>450000</v>
      </c>
      <c r="Q96" s="1">
        <v>0</v>
      </c>
      <c r="R96" s="1">
        <v>0</v>
      </c>
      <c r="S96" s="1">
        <v>0</v>
      </c>
      <c r="T96" s="1">
        <v>980000</v>
      </c>
      <c r="U96" s="1">
        <f>SUM(Table2[[#This Row],[Total Selling Comission/Sales (Weekly)]:[Manpower (Korlap)]])</f>
        <v>678000</v>
      </c>
      <c r="W96" s="48">
        <f>Table2[[#This Row],[Total Selling]]*30%</f>
        <v>797700</v>
      </c>
      <c r="Y96" s="1">
        <v>280000</v>
      </c>
      <c r="Z96" s="1">
        <v>0</v>
      </c>
      <c r="AA9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-580300</v>
      </c>
      <c r="AB9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119700</v>
      </c>
      <c r="AC96" s="13">
        <f>IFERROR(Table2[[#This Row],[Delivery PV]]/(Table2[[#This Row],[Total Sharing % (Weekly)]]+Table2[[#This Row],[Rider Penalty (Denda to Riders)]]),0)</f>
        <v>0.15005641218503196</v>
      </c>
      <c r="AD96" s="28">
        <f>SUM(Table2[[#This Row],[Total Potongan Moils (Weekly) ]:[Total Subsidi Molis KSJ (Monthly)]])-Table2[[#This Row],[Total Cost Molis (Weekly)]]</f>
        <v>-700000</v>
      </c>
      <c r="AE96" s="27">
        <f>IFERROR(Table2[[#This Row],[EV Related PV]]/(Table2[[#This Row],[Total Potongan Moils (Weekly) ]]+Table2[[#This Row],[Total Subsidi Molis KSJ (Monthly)]]),-1)</f>
        <v>-2.5</v>
      </c>
    </row>
    <row r="97" spans="2:32">
      <c r="B97" s="23">
        <v>2025</v>
      </c>
      <c r="C97" s="41" t="s">
        <v>171</v>
      </c>
      <c r="D97" t="s">
        <v>171</v>
      </c>
      <c r="E97" t="s">
        <v>168</v>
      </c>
      <c r="F97" t="s">
        <v>28</v>
      </c>
      <c r="G97" t="s">
        <v>28</v>
      </c>
      <c r="H97">
        <v>7</v>
      </c>
      <c r="I97" s="41" t="s">
        <v>158</v>
      </c>
      <c r="J97" t="s">
        <v>278</v>
      </c>
      <c r="K97" s="47" t="s">
        <v>287</v>
      </c>
      <c r="L97" s="1">
        <v>3</v>
      </c>
      <c r="M97" s="1">
        <v>358</v>
      </c>
      <c r="N97" s="1">
        <v>1128000</v>
      </c>
      <c r="O97" s="1">
        <v>86300</v>
      </c>
      <c r="P97" s="1">
        <v>225000</v>
      </c>
      <c r="Q97" s="1">
        <v>0</v>
      </c>
      <c r="R97" s="1">
        <v>0</v>
      </c>
      <c r="S97" s="1">
        <v>0</v>
      </c>
      <c r="T97" s="1">
        <f>245000*3</f>
        <v>735000</v>
      </c>
      <c r="U97" s="1">
        <f>SUM(Table2[[#This Row],[Total Selling Comission/Sales (Weekly)]:[Manpower (Korlap)]])</f>
        <v>311300</v>
      </c>
      <c r="W97" s="48">
        <f>Table2[[#This Row],[Total Selling]]*30%</f>
        <v>338400</v>
      </c>
      <c r="Y97" s="1">
        <v>210000</v>
      </c>
      <c r="Z97" s="1">
        <v>0</v>
      </c>
      <c r="AA9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-497900</v>
      </c>
      <c r="AB9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27100</v>
      </c>
      <c r="AC97" s="13">
        <f>IFERROR(Table2[[#This Row],[Delivery PV]]/(Table2[[#This Row],[Total Sharing % (Weekly)]]+Table2[[#This Row],[Rider Penalty (Denda to Riders)]]),0)</f>
        <v>8.0082742316784875E-2</v>
      </c>
      <c r="AD97" s="28">
        <f>SUM(Table2[[#This Row],[Total Potongan Moils (Weekly) ]:[Total Subsidi Molis KSJ (Monthly)]])-Table2[[#This Row],[Total Cost Molis (Weekly)]]</f>
        <v>-525000</v>
      </c>
      <c r="AE97" s="27">
        <f>IFERROR(Table2[[#This Row],[EV Related PV]]/(Table2[[#This Row],[Total Potongan Moils (Weekly) ]]+Table2[[#This Row],[Total Subsidi Molis KSJ (Monthly)]]),-1)</f>
        <v>-2.5</v>
      </c>
    </row>
    <row r="98" spans="2:32">
      <c r="B98" s="23">
        <v>2025</v>
      </c>
      <c r="C98" s="41" t="s">
        <v>200</v>
      </c>
      <c r="D98" t="s">
        <v>200</v>
      </c>
      <c r="E98" t="s">
        <v>169</v>
      </c>
      <c r="F98" t="s">
        <v>28</v>
      </c>
      <c r="G98" t="s">
        <v>28</v>
      </c>
      <c r="H98">
        <v>7</v>
      </c>
      <c r="I98" s="41" t="s">
        <v>158</v>
      </c>
      <c r="J98" t="s">
        <v>278</v>
      </c>
      <c r="K98" s="47" t="s">
        <v>287</v>
      </c>
      <c r="L98" s="1">
        <v>1</v>
      </c>
      <c r="M98" s="1">
        <v>40</v>
      </c>
      <c r="N98" s="1">
        <v>334000</v>
      </c>
      <c r="O98" s="1">
        <v>40000</v>
      </c>
      <c r="P98" s="1">
        <v>100000</v>
      </c>
      <c r="Q98" s="1">
        <v>0</v>
      </c>
      <c r="R98" s="1">
        <v>0</v>
      </c>
      <c r="S98" s="1">
        <v>0</v>
      </c>
      <c r="T98" s="1">
        <f>35000*7</f>
        <v>245000</v>
      </c>
      <c r="U98" s="1">
        <f>SUM(Table2[[#This Row],[Total Selling Comission/Sales (Weekly)]:[Manpower (Korlap)]])</f>
        <v>140000</v>
      </c>
      <c r="W98" s="48">
        <f>Table2[[#This Row],[Total Selling]]*35%</f>
        <v>116899.99999999999</v>
      </c>
      <c r="Y98" s="1">
        <v>70000</v>
      </c>
      <c r="Z98" s="1">
        <v>0</v>
      </c>
      <c r="AA9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-198100</v>
      </c>
      <c r="AB9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-23100.000000000015</v>
      </c>
      <c r="AC98" s="13">
        <f>IFERROR(Table2[[#This Row],[Delivery PV]]/(Table2[[#This Row],[Total Sharing % (Weekly)]]+Table2[[#This Row],[Rider Penalty (Denda to Riders)]]),0)</f>
        <v>-0.19760479041916182</v>
      </c>
      <c r="AD98" s="28">
        <f>SUM(Table2[[#This Row],[Total Potongan Moils (Weekly) ]:[Total Subsidi Molis KSJ (Monthly)]])-Table2[[#This Row],[Total Cost Molis (Weekly)]]</f>
        <v>-175000</v>
      </c>
      <c r="AE98" s="27">
        <f>IFERROR(Table2[[#This Row],[EV Related PV]]/(Table2[[#This Row],[Total Potongan Moils (Weekly) ]]+Table2[[#This Row],[Total Subsidi Molis KSJ (Monthly)]]),-1)</f>
        <v>-2.5</v>
      </c>
    </row>
    <row r="99" spans="2:32">
      <c r="B99" s="23">
        <v>2025</v>
      </c>
      <c r="C99" s="41" t="s">
        <v>29</v>
      </c>
      <c r="D99" t="s">
        <v>29</v>
      </c>
      <c r="E99" t="s">
        <v>169</v>
      </c>
      <c r="F99" t="s">
        <v>28</v>
      </c>
      <c r="G99" t="s">
        <v>28</v>
      </c>
      <c r="H99">
        <v>7</v>
      </c>
      <c r="I99" s="41" t="s">
        <v>158</v>
      </c>
      <c r="J99" t="s">
        <v>278</v>
      </c>
      <c r="K99" s="47" t="s">
        <v>287</v>
      </c>
      <c r="L99" s="1">
        <v>3</v>
      </c>
      <c r="M99" s="1">
        <v>203</v>
      </c>
      <c r="N99" s="1">
        <v>1874000</v>
      </c>
      <c r="O99" s="1">
        <v>203000</v>
      </c>
      <c r="P99" s="1">
        <v>375000</v>
      </c>
      <c r="Q99" s="1">
        <v>0</v>
      </c>
      <c r="R99" s="1">
        <v>0</v>
      </c>
      <c r="S99" s="1">
        <v>0</v>
      </c>
      <c r="T99" s="1">
        <f>245000*3</f>
        <v>735000</v>
      </c>
      <c r="U99" s="1">
        <f>SUM(Table2[[#This Row],[Total Selling Comission/Sales (Weekly)]:[Manpower (Korlap)]])</f>
        <v>578000</v>
      </c>
      <c r="W99" s="48">
        <f>Table2[[#This Row],[Total Selling]]*30%</f>
        <v>562200</v>
      </c>
      <c r="Y99" s="1">
        <v>210000</v>
      </c>
      <c r="Z99" s="1">
        <v>0</v>
      </c>
      <c r="AA9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-540800</v>
      </c>
      <c r="AB9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-15800</v>
      </c>
      <c r="AC99" s="13">
        <f>IFERROR(Table2[[#This Row],[Delivery PV]]/(Table2[[#This Row],[Total Sharing % (Weekly)]]+Table2[[#This Row],[Rider Penalty (Denda to Riders)]]),0)</f>
        <v>-2.8103877623621487E-2</v>
      </c>
      <c r="AD99" s="28">
        <f>SUM(Table2[[#This Row],[Total Potongan Moils (Weekly) ]:[Total Subsidi Molis KSJ (Monthly)]])-Table2[[#This Row],[Total Cost Molis (Weekly)]]</f>
        <v>-525000</v>
      </c>
      <c r="AE99" s="27">
        <f>IFERROR(Table2[[#This Row],[EV Related PV]]/(Table2[[#This Row],[Total Potongan Moils (Weekly) ]]+Table2[[#This Row],[Total Subsidi Molis KSJ (Monthly)]]),-1)</f>
        <v>-2.5</v>
      </c>
    </row>
    <row r="100" spans="2:32">
      <c r="B100" s="23">
        <v>2025</v>
      </c>
      <c r="C100" s="41" t="s">
        <v>33</v>
      </c>
      <c r="D100" t="s">
        <v>33</v>
      </c>
      <c r="E100" t="s">
        <v>169</v>
      </c>
      <c r="F100" t="s">
        <v>28</v>
      </c>
      <c r="G100" t="s">
        <v>28</v>
      </c>
      <c r="H100">
        <v>7</v>
      </c>
      <c r="I100" s="41" t="s">
        <v>158</v>
      </c>
      <c r="J100" t="s">
        <v>278</v>
      </c>
      <c r="K100" s="47" t="s">
        <v>287</v>
      </c>
      <c r="L100" s="1">
        <v>1</v>
      </c>
      <c r="M100" s="1">
        <v>17</v>
      </c>
      <c r="N100" s="1">
        <v>164000</v>
      </c>
      <c r="O100" s="1">
        <v>17000</v>
      </c>
      <c r="P100" s="1">
        <v>125000</v>
      </c>
      <c r="Q100" s="1">
        <v>0</v>
      </c>
      <c r="R100" s="1">
        <v>0</v>
      </c>
      <c r="S100" s="1">
        <v>0</v>
      </c>
      <c r="T100" s="1">
        <f>35000*7</f>
        <v>245000</v>
      </c>
      <c r="U100" s="1">
        <f>SUM(Table2[[#This Row],[Total Selling Comission/Sales (Weekly)]:[Manpower (Korlap)]])</f>
        <v>142000</v>
      </c>
      <c r="W100" s="48">
        <f>Table2[[#This Row],[Total Selling]]*30%</f>
        <v>49200</v>
      </c>
      <c r="Y100" s="1">
        <v>70000</v>
      </c>
      <c r="Z100" s="1">
        <v>0</v>
      </c>
      <c r="AA10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-267800</v>
      </c>
      <c r="AB10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-92800</v>
      </c>
      <c r="AC100" s="13">
        <f>IFERROR(Table2[[#This Row],[Delivery PV]]/(Table2[[#This Row],[Total Sharing % (Weekly)]]+Table2[[#This Row],[Rider Penalty (Denda to Riders)]]),0)</f>
        <v>-1.8861788617886179</v>
      </c>
      <c r="AD100" s="28">
        <f>SUM(Table2[[#This Row],[Total Potongan Moils (Weekly) ]:[Total Subsidi Molis KSJ (Monthly)]])-Table2[[#This Row],[Total Cost Molis (Weekly)]]</f>
        <v>-175000</v>
      </c>
      <c r="AE100" s="27">
        <f>IFERROR(Table2[[#This Row],[EV Related PV]]/(Table2[[#This Row],[Total Potongan Moils (Weekly) ]]+Table2[[#This Row],[Total Subsidi Molis KSJ (Monthly)]]),-1)</f>
        <v>-2.5</v>
      </c>
    </row>
    <row r="101" spans="2:32">
      <c r="B101">
        <v>2025</v>
      </c>
      <c r="C101" t="s">
        <v>23</v>
      </c>
      <c r="D101" s="41" t="s">
        <v>23</v>
      </c>
      <c r="E101" t="s">
        <v>168</v>
      </c>
      <c r="F101" t="s">
        <v>24</v>
      </c>
      <c r="G101" t="s">
        <v>24</v>
      </c>
      <c r="H101">
        <v>7</v>
      </c>
      <c r="I101" t="s">
        <v>158</v>
      </c>
      <c r="J101" t="s">
        <v>278</v>
      </c>
      <c r="K101" s="47" t="s">
        <v>287</v>
      </c>
      <c r="L101" s="1">
        <v>63</v>
      </c>
      <c r="M101" s="1">
        <v>11585</v>
      </c>
      <c r="N101" s="1">
        <v>104357000</v>
      </c>
      <c r="O101" s="1">
        <v>9245500</v>
      </c>
      <c r="P101" s="1">
        <v>17200000</v>
      </c>
      <c r="Q101" s="1">
        <v>0</v>
      </c>
      <c r="R101" s="1">
        <v>0</v>
      </c>
      <c r="S101" s="1">
        <v>840000</v>
      </c>
      <c r="T101" s="1">
        <f>344*35000</f>
        <v>12040000</v>
      </c>
      <c r="U101" s="1">
        <f>SUM(Table2[[#This Row],[Total Selling Comission/Sales (Weekly)]:[Manpower (Korlap)]])</f>
        <v>27285500</v>
      </c>
      <c r="W101" s="1">
        <f>Table2[[#This Row],[Total Selling]]*23%</f>
        <v>24002110</v>
      </c>
      <c r="X101" s="1">
        <v>950000</v>
      </c>
      <c r="Y101" s="1">
        <v>8600000</v>
      </c>
      <c r="Z101" s="1">
        <f>344*14400</f>
        <v>4953600</v>
      </c>
      <c r="AA10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-819790</v>
      </c>
      <c r="AB10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-1493390</v>
      </c>
      <c r="AC101" s="13">
        <f>IFERROR(Table2[[#This Row],[Delivery PV]]/(Table2[[#This Row],[Total Sharing % (Weekly)]]+Table2[[#This Row],[Rider Penalty (Denda to Riders)]]),0)</f>
        <v>-5.9850249137247312E-2</v>
      </c>
      <c r="AD101" s="28">
        <f>SUM(Table2[[#This Row],[Total Potongan Moils (Weekly) ]:[Total Subsidi Molis KSJ (Monthly)]])-Table2[[#This Row],[Total Cost Molis (Weekly)]]</f>
        <v>1513600</v>
      </c>
      <c r="AE101" s="27">
        <f>IFERROR(Table2[[#This Row],[EV Related PV]]/(Table2[[#This Row],[Total Potongan Moils (Weekly) ]]+Table2[[#This Row],[Total Subsidi Molis KSJ (Monthly)]]),-1)</f>
        <v>0.1116751269035533</v>
      </c>
    </row>
    <row r="102" spans="2:32">
      <c r="B102">
        <v>2025</v>
      </c>
      <c r="C102" t="s">
        <v>23</v>
      </c>
      <c r="D102" s="41" t="s">
        <v>23</v>
      </c>
      <c r="E102" t="s">
        <v>168</v>
      </c>
      <c r="F102" t="s">
        <v>24</v>
      </c>
      <c r="G102" t="s">
        <v>282</v>
      </c>
      <c r="H102">
        <v>7</v>
      </c>
      <c r="I102" t="s">
        <v>158</v>
      </c>
      <c r="J102" t="s">
        <v>278</v>
      </c>
      <c r="K102" s="47" t="s">
        <v>287</v>
      </c>
      <c r="L102" s="1">
        <v>15</v>
      </c>
      <c r="M102" s="1">
        <v>5060</v>
      </c>
      <c r="N102" s="1">
        <v>45596000</v>
      </c>
      <c r="O102" s="1">
        <v>4048000</v>
      </c>
      <c r="P102" s="1">
        <v>4500000</v>
      </c>
      <c r="Q102" s="1">
        <v>0</v>
      </c>
      <c r="R102" s="1">
        <v>0</v>
      </c>
      <c r="S102" s="1">
        <v>0</v>
      </c>
      <c r="T102" s="1">
        <f>90*35000</f>
        <v>3150000</v>
      </c>
      <c r="U102" s="1">
        <f>SUM(Table2[[#This Row],[Total Selling Comission/Sales (Weekly)]:[Manpower (Korlap)]])</f>
        <v>8548000</v>
      </c>
      <c r="W102" s="1">
        <f>Table2[[#This Row],[Total Selling]]*23%</f>
        <v>10487080</v>
      </c>
      <c r="X102" s="1">
        <v>50000</v>
      </c>
      <c r="Y102" s="1">
        <v>2250000</v>
      </c>
      <c r="Z102" s="1">
        <f>90*14400</f>
        <v>1296000</v>
      </c>
      <c r="AA10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2385080</v>
      </c>
      <c r="AB10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1989080</v>
      </c>
      <c r="AC102" s="13">
        <f>IFERROR(Table2[[#This Row],[Delivery PV]]/(Table2[[#This Row],[Total Sharing % (Weekly)]]+Table2[[#This Row],[Rider Penalty (Denda to Riders)]]),0)</f>
        <v>0.1887695642436045</v>
      </c>
      <c r="AD102" s="28">
        <f>SUM(Table2[[#This Row],[Total Potongan Moils (Weekly) ]:[Total Subsidi Molis KSJ (Monthly)]])-Table2[[#This Row],[Total Cost Molis (Weekly)]]</f>
        <v>396000</v>
      </c>
      <c r="AE102" s="27">
        <f>IFERROR(Table2[[#This Row],[EV Related PV]]/(Table2[[#This Row],[Total Potongan Moils (Weekly) ]]+Table2[[#This Row],[Total Subsidi Molis KSJ (Monthly)]]),-1)</f>
        <v>0.1116751269035533</v>
      </c>
    </row>
    <row r="103" spans="2:32" hidden="1">
      <c r="B103">
        <v>2024</v>
      </c>
      <c r="C103" t="s">
        <v>23</v>
      </c>
      <c r="D103" t="s">
        <v>23</v>
      </c>
      <c r="E103" t="s">
        <v>168</v>
      </c>
      <c r="F103" t="s">
        <v>28</v>
      </c>
      <c r="G103" t="s">
        <v>25</v>
      </c>
      <c r="H103"/>
      <c r="I103" t="s">
        <v>163</v>
      </c>
      <c r="J103" t="s">
        <v>256</v>
      </c>
      <c r="K103" t="s">
        <v>333</v>
      </c>
      <c r="L103" s="1">
        <v>120</v>
      </c>
      <c r="M103" s="1">
        <v>39961</v>
      </c>
      <c r="N103" s="1">
        <v>347666000</v>
      </c>
      <c r="O103" s="1">
        <v>39961000</v>
      </c>
      <c r="P103" s="1">
        <v>29525000</v>
      </c>
      <c r="Q103" s="1">
        <v>0</v>
      </c>
      <c r="R103" s="1">
        <v>0</v>
      </c>
      <c r="S103" s="1">
        <v>0</v>
      </c>
      <c r="T103" s="1">
        <v>26540100</v>
      </c>
      <c r="U103" s="1">
        <f>SUM(Table2[[#This Row],[Total Selling Comission/Sales (Weekly)]:[Manpower (Korlap)]])</f>
        <v>69486000</v>
      </c>
      <c r="W103" s="1">
        <v>79963180</v>
      </c>
      <c r="Y103" s="1">
        <v>14346000</v>
      </c>
      <c r="Z103" s="1">
        <v>19128000</v>
      </c>
      <c r="AA10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17411080</v>
      </c>
      <c r="AB10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10477180</v>
      </c>
      <c r="AC103" s="29">
        <f>IFERROR(Table2[[#This Row],[Delivery PV]]/(Table2[[#This Row],[Total Sharing % (Weekly)]]+Table2[[#This Row],[Rider Penalty (Denda to Riders)]]),0)</f>
        <v>0.13102505428123293</v>
      </c>
      <c r="AD103" s="28">
        <f>SUM(Table2[[#This Row],[Total Potongan Moils (Weekly) ]:[Total Subsidi Molis KSJ (Monthly)]])-Table2[[#This Row],[Total Cost Molis (Weekly)]]</f>
        <v>6933900</v>
      </c>
      <c r="AE103" s="27">
        <f>IFERROR(Table2[[#This Row],[EV Related PV]]/(Table2[[#This Row],[Total Potongan Moils (Weekly) ]]+Table2[[#This Row],[Total Subsidi Molis KSJ (Monthly)]]),-1)</f>
        <v>0.20714285714285716</v>
      </c>
    </row>
    <row r="104" spans="2:32">
      <c r="B104">
        <v>2025</v>
      </c>
      <c r="C104" t="s">
        <v>23</v>
      </c>
      <c r="D104" t="s">
        <v>23</v>
      </c>
      <c r="E104" t="s">
        <v>168</v>
      </c>
      <c r="F104" t="s">
        <v>24</v>
      </c>
      <c r="G104" s="1" t="s">
        <v>282</v>
      </c>
      <c r="H104">
        <v>6</v>
      </c>
      <c r="I104" t="s">
        <v>158</v>
      </c>
      <c r="J104" t="s">
        <v>256</v>
      </c>
      <c r="K104" t="s">
        <v>289</v>
      </c>
      <c r="L104" s="1">
        <v>15</v>
      </c>
      <c r="M104" s="1">
        <v>4227</v>
      </c>
      <c r="N104" s="1">
        <v>38662000</v>
      </c>
      <c r="O104" s="1">
        <v>3381600</v>
      </c>
      <c r="P104" s="1">
        <v>4200000</v>
      </c>
      <c r="Q104" s="1">
        <v>0</v>
      </c>
      <c r="R104" s="1">
        <v>0</v>
      </c>
      <c r="S104" s="1">
        <v>0</v>
      </c>
      <c r="T104" s="1">
        <f>84*35000</f>
        <v>2940000</v>
      </c>
      <c r="U104" s="1">
        <f>Table2[[#This Row],[Total Selling Comission/Sales (Weekly)]]+Table2[[#This Row],[Total Daily Incentive (Weekly)]]</f>
        <v>7581600</v>
      </c>
      <c r="W104" s="1">
        <f>Table2[[#This Row],[Total Selling]]*23%</f>
        <v>8892260</v>
      </c>
      <c r="X104" s="1">
        <v>50000</v>
      </c>
      <c r="Y104" s="1">
        <v>2100000</v>
      </c>
      <c r="Z104" s="1">
        <f>84*14400</f>
        <v>1209600</v>
      </c>
      <c r="AA104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1730260</v>
      </c>
      <c r="AB10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1360660</v>
      </c>
      <c r="AC104" s="29">
        <f>IFERROR(Table2[[#This Row],[Delivery PV]]/(Table2[[#This Row],[Total Sharing % (Weekly)]]+Table2[[#This Row],[Rider Penalty (Denda to Riders)]]),0)</f>
        <v>0.15216063948039982</v>
      </c>
      <c r="AD104" s="28">
        <f>SUM(Table2[[#This Row],[Total Potongan Moils (Weekly) ]:[Total Subsidi Molis KSJ (Monthly)]])-Table2[[#This Row],[Total Cost Molis (Weekly)]]</f>
        <v>369600</v>
      </c>
      <c r="AE104" s="27">
        <f>IFERROR(Table2[[#This Row],[EV Related PV]]/(Table2[[#This Row],[Total Potongan Moils (Weekly) ]]+Table2[[#This Row],[Total Subsidi Molis KSJ (Monthly)]]),-1)</f>
        <v>0.1116751269035533</v>
      </c>
    </row>
    <row r="105" spans="2:32">
      <c r="B105">
        <v>2025</v>
      </c>
      <c r="C105" s="41" t="s">
        <v>201</v>
      </c>
      <c r="D105" s="41" t="s">
        <v>201</v>
      </c>
      <c r="E105" t="s">
        <v>168</v>
      </c>
      <c r="F105" t="s">
        <v>28</v>
      </c>
      <c r="G105" s="1" t="s">
        <v>28</v>
      </c>
      <c r="H105"/>
      <c r="I105" t="s">
        <v>21</v>
      </c>
      <c r="J105" t="s">
        <v>278</v>
      </c>
      <c r="K105" s="47" t="s">
        <v>299</v>
      </c>
      <c r="L105" s="1">
        <v>3</v>
      </c>
      <c r="M105" s="1">
        <v>122</v>
      </c>
      <c r="O105" s="1">
        <v>122000</v>
      </c>
      <c r="P105" s="1">
        <v>400000</v>
      </c>
      <c r="Q105" s="1">
        <v>0</v>
      </c>
      <c r="R105" s="1">
        <v>0</v>
      </c>
      <c r="S105" s="1">
        <v>0</v>
      </c>
      <c r="T105" s="1">
        <v>699300</v>
      </c>
      <c r="U105" s="1">
        <f>Table2[[#This Row],[Total Selling Comission/Sales (Weekly)]]+Table2[[#This Row],[Total Daily Incentive (Weekly)]]</f>
        <v>522000</v>
      </c>
      <c r="W105" s="1">
        <f>Table2[[#This Row],[Total Selling]]*30%</f>
        <v>0</v>
      </c>
      <c r="AA105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-1221300</v>
      </c>
      <c r="AB10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-522000</v>
      </c>
      <c r="AC105" s="29">
        <f>IFERROR(Table2[[#This Row],[Delivery PV]]/(Table2[[#This Row],[Total Sharing % (Weekly)]]+Table2[[#This Row],[Rider Penalty (Denda to Riders)]]),0)</f>
        <v>0</v>
      </c>
      <c r="AD105" s="28">
        <f>SUM(Table2[[#This Row],[Total Potongan Moils (Weekly) ]:[Total Subsidi Molis KSJ (Monthly)]])-Table2[[#This Row],[Total Cost Molis (Weekly)]]</f>
        <v>-699300</v>
      </c>
      <c r="AE105" s="27">
        <f>IFERROR(Table2[[#This Row],[EV Related PV]]/(Table2[[#This Row],[Total Potongan Moils (Weekly) ]]+Table2[[#This Row],[Total Subsidi Molis KSJ (Monthly)]]),-1)</f>
        <v>-1</v>
      </c>
    </row>
    <row r="106" spans="2:32">
      <c r="B106">
        <v>2025</v>
      </c>
      <c r="C106" t="s">
        <v>23</v>
      </c>
      <c r="D106" t="s">
        <v>23</v>
      </c>
      <c r="E106" t="s">
        <v>168</v>
      </c>
      <c r="F106" t="s">
        <v>28</v>
      </c>
      <c r="G106" t="s">
        <v>25</v>
      </c>
      <c r="H106">
        <v>8</v>
      </c>
      <c r="I106" t="s">
        <v>158</v>
      </c>
      <c r="J106" t="s">
        <v>279</v>
      </c>
      <c r="K106" s="18" t="s">
        <v>334</v>
      </c>
      <c r="L106" s="1">
        <v>275</v>
      </c>
      <c r="M106" s="1">
        <v>77850</v>
      </c>
      <c r="N106" s="1">
        <v>682147000</v>
      </c>
      <c r="O106" s="1">
        <v>77764500</v>
      </c>
      <c r="P106" s="1">
        <v>60350000</v>
      </c>
      <c r="Q106" s="1">
        <v>0</v>
      </c>
      <c r="R106" s="1">
        <v>0</v>
      </c>
      <c r="S106" s="1">
        <v>0</v>
      </c>
      <c r="T106" s="1">
        <v>65485000</v>
      </c>
      <c r="U106" s="1">
        <f>SUM(Table2[[#This Row],[Total Selling Comission/Sales (Weekly)]:[Manpower (Korlap)]])</f>
        <v>138114500</v>
      </c>
      <c r="W106" s="1">
        <f>Table2[[#This Row],[Total Selling]]*23%</f>
        <v>156893810</v>
      </c>
      <c r="X106" s="1">
        <v>0</v>
      </c>
      <c r="Y106" s="1">
        <v>33678000</v>
      </c>
      <c r="Z106" s="1">
        <v>37344000</v>
      </c>
      <c r="AA106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24316310</v>
      </c>
      <c r="AB10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18779310</v>
      </c>
      <c r="AC106" s="29">
        <f>IFERROR(Table2[[#This Row],[Delivery PV]]/(Table2[[#This Row],[Total Sharing % (Weekly)]]+Table2[[#This Row],[Rider Penalty (Denda to Riders)]]),0)</f>
        <v>0.11969439712121212</v>
      </c>
      <c r="AD106" s="28">
        <f>SUM(Table2[[#This Row],[Total Potongan Moils (Weekly) ]:[Total Subsidi Molis KSJ (Monthly)]])-Table2[[#This Row],[Total Cost Molis (Weekly)]]</f>
        <v>5537000</v>
      </c>
      <c r="AE106" s="27">
        <f>IFERROR(Table2[[#This Row],[EV Related PV]]/(Table2[[#This Row],[Total Potongan Moils (Weekly) ]]+Table2[[#This Row],[Total Subsidi Molis KSJ (Monthly)]]),-1)</f>
        <v>7.7961758328405281E-2</v>
      </c>
      <c r="AF106" s="88" t="s">
        <v>335</v>
      </c>
    </row>
    <row r="107" spans="2:32">
      <c r="B107">
        <v>2025</v>
      </c>
      <c r="C107" t="s">
        <v>23</v>
      </c>
      <c r="D107" t="s">
        <v>23</v>
      </c>
      <c r="E107" t="s">
        <v>168</v>
      </c>
      <c r="F107" t="s">
        <v>31</v>
      </c>
      <c r="G107" t="s">
        <v>31</v>
      </c>
      <c r="H107">
        <v>8</v>
      </c>
      <c r="I107" t="s">
        <v>158</v>
      </c>
      <c r="J107" t="s">
        <v>279</v>
      </c>
      <c r="K107" s="18" t="s">
        <v>334</v>
      </c>
      <c r="L107" s="1">
        <v>34</v>
      </c>
      <c r="M107" s="1">
        <v>9954</v>
      </c>
      <c r="N107" s="1">
        <v>87608000</v>
      </c>
      <c r="O107" s="1">
        <v>9952000</v>
      </c>
      <c r="P107" s="1">
        <v>7575000</v>
      </c>
      <c r="T107" s="1">
        <v>7805000</v>
      </c>
      <c r="U107" s="1">
        <f>SUM(Table2[[#This Row],[Total Selling Comission/Sales (Weekly)]:[Manpower (Korlap)]])</f>
        <v>17527000</v>
      </c>
      <c r="W107" s="1">
        <f>Table2[[#This Row],[Total Selling]]*23%</f>
        <v>20149840</v>
      </c>
      <c r="Y107" s="1">
        <v>4014000</v>
      </c>
      <c r="Z107" s="1">
        <v>4584000</v>
      </c>
      <c r="AA107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3415840</v>
      </c>
      <c r="AB10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2622840</v>
      </c>
      <c r="AC107" s="29">
        <f>IFERROR(Table2[[#This Row],[Delivery PV]]/(Table2[[#This Row],[Total Sharing % (Weekly)]]+Table2[[#This Row],[Rider Penalty (Denda to Riders)]]),0)</f>
        <v>0.13016679040627618</v>
      </c>
      <c r="AD107" s="28">
        <f>SUM(Table2[[#This Row],[Total Potongan Moils (Weekly) ]:[Total Subsidi Molis KSJ (Monthly)]])-Table2[[#This Row],[Total Cost Molis (Weekly)]]</f>
        <v>793000</v>
      </c>
      <c r="AE107" s="27">
        <f>IFERROR(Table2[[#This Row],[EV Related PV]]/(Table2[[#This Row],[Total Potongan Moils (Weekly) ]]+Table2[[#This Row],[Total Subsidi Molis KSJ (Monthly)]]),-1)</f>
        <v>9.2230751337520359E-2</v>
      </c>
      <c r="AF107" s="88" t="s">
        <v>335</v>
      </c>
    </row>
    <row r="108" spans="2:32">
      <c r="B108">
        <v>2025</v>
      </c>
      <c r="C108" s="41" t="s">
        <v>27</v>
      </c>
      <c r="D108" s="41" t="s">
        <v>27</v>
      </c>
      <c r="E108" t="s">
        <v>169</v>
      </c>
      <c r="F108" t="s">
        <v>28</v>
      </c>
      <c r="G108" t="s">
        <v>28</v>
      </c>
      <c r="H108">
        <v>8</v>
      </c>
      <c r="I108" t="s">
        <v>158</v>
      </c>
      <c r="J108" t="s">
        <v>279</v>
      </c>
      <c r="K108" s="18" t="s">
        <v>334</v>
      </c>
      <c r="L108" s="1">
        <v>5</v>
      </c>
      <c r="M108" s="1">
        <v>686</v>
      </c>
      <c r="N108" s="1">
        <v>6473000</v>
      </c>
      <c r="O108" s="1">
        <v>686000</v>
      </c>
      <c r="P108" s="1">
        <v>675000</v>
      </c>
      <c r="Q108" s="1">
        <v>0</v>
      </c>
      <c r="R108" s="1">
        <v>0</v>
      </c>
      <c r="S108" s="1">
        <v>0</v>
      </c>
      <c r="T108" s="1">
        <v>1225000</v>
      </c>
      <c r="U108" s="1">
        <f>SUM(Table2[[#This Row],[Total Selling Comission/Sales (Weekly)]:[Manpower (Korlap)]])</f>
        <v>1361000</v>
      </c>
      <c r="W108" s="1">
        <f>Table2[[#This Row],[Total Selling]]*30%</f>
        <v>1941900</v>
      </c>
      <c r="Y108" s="1">
        <v>350000</v>
      </c>
      <c r="Z108" s="1">
        <v>0</v>
      </c>
      <c r="AA108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-294100</v>
      </c>
      <c r="AB10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580900</v>
      </c>
      <c r="AC108" s="29">
        <f>IFERROR(Table2[[#This Row],[Delivery PV]]/(Table2[[#This Row],[Total Sharing % (Weekly)]]+Table2[[#This Row],[Rider Penalty (Denda to Riders)]]),0)</f>
        <v>0.29914001750862557</v>
      </c>
      <c r="AD108" s="28">
        <f>SUM(Table2[[#This Row],[Total Potongan Moils (Weekly) ]:[Total Subsidi Molis KSJ (Monthly)]])-Table2[[#This Row],[Total Cost Molis (Weekly)]]</f>
        <v>-875000</v>
      </c>
      <c r="AE108" s="27">
        <f>IFERROR(Table2[[#This Row],[EV Related PV]]/(Table2[[#This Row],[Total Potongan Moils (Weekly) ]]+Table2[[#This Row],[Total Subsidi Molis KSJ (Monthly)]]),-1)</f>
        <v>-2.5</v>
      </c>
      <c r="AF108" s="88" t="s">
        <v>335</v>
      </c>
    </row>
    <row r="109" spans="2:32">
      <c r="B109">
        <v>2025</v>
      </c>
      <c r="C109" s="41" t="s">
        <v>29</v>
      </c>
      <c r="D109" t="s">
        <v>29</v>
      </c>
      <c r="E109" t="s">
        <v>169</v>
      </c>
      <c r="F109" t="s">
        <v>28</v>
      </c>
      <c r="G109" t="s">
        <v>28</v>
      </c>
      <c r="H109">
        <v>8</v>
      </c>
      <c r="I109" t="s">
        <v>158</v>
      </c>
      <c r="J109" t="s">
        <v>279</v>
      </c>
      <c r="K109" s="18" t="s">
        <v>334</v>
      </c>
      <c r="L109" s="1">
        <v>4</v>
      </c>
      <c r="M109" s="1">
        <v>344</v>
      </c>
      <c r="N109" s="1">
        <v>3742000</v>
      </c>
      <c r="O109" s="1">
        <v>344000</v>
      </c>
      <c r="P109" s="1">
        <v>500000</v>
      </c>
      <c r="Q109" s="1">
        <v>0</v>
      </c>
      <c r="R109" s="1">
        <v>0</v>
      </c>
      <c r="S109" s="1">
        <v>0</v>
      </c>
      <c r="T109" s="1">
        <v>945000</v>
      </c>
      <c r="U109" s="1">
        <f>SUM(Table2[[#This Row],[Total Selling Comission/Sales (Weekly)]:[Manpower (Korlap)]])</f>
        <v>844000</v>
      </c>
      <c r="W109" s="1">
        <f>Table2[[#This Row],[Total Selling]]*30%</f>
        <v>1122600</v>
      </c>
      <c r="Y109" s="1">
        <v>240000</v>
      </c>
      <c r="Z109" s="1">
        <v>0</v>
      </c>
      <c r="AA109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-426400</v>
      </c>
      <c r="AB10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278600</v>
      </c>
      <c r="AC109" s="29">
        <f>IFERROR(Table2[[#This Row],[Delivery PV]]/(Table2[[#This Row],[Total Sharing % (Weekly)]]+Table2[[#This Row],[Rider Penalty (Denda to Riders)]]),0)</f>
        <v>0.24817388205950472</v>
      </c>
      <c r="AD109" s="28">
        <f>SUM(Table2[[#This Row],[Total Potongan Moils (Weekly) ]:[Total Subsidi Molis KSJ (Monthly)]])-Table2[[#This Row],[Total Cost Molis (Weekly)]]</f>
        <v>-705000</v>
      </c>
      <c r="AE109" s="27">
        <f>IFERROR(Table2[[#This Row],[EV Related PV]]/(Table2[[#This Row],[Total Potongan Moils (Weekly) ]]+Table2[[#This Row],[Total Subsidi Molis KSJ (Monthly)]]),-1)</f>
        <v>-2.9375</v>
      </c>
      <c r="AF109" s="88" t="s">
        <v>335</v>
      </c>
    </row>
    <row r="110" spans="2:32">
      <c r="B110">
        <v>2025</v>
      </c>
      <c r="C110" s="41" t="s">
        <v>34</v>
      </c>
      <c r="D110" t="s">
        <v>34</v>
      </c>
      <c r="E110" t="s">
        <v>169</v>
      </c>
      <c r="F110" t="s">
        <v>28</v>
      </c>
      <c r="G110" t="s">
        <v>28</v>
      </c>
      <c r="H110">
        <v>8</v>
      </c>
      <c r="I110" t="s">
        <v>158</v>
      </c>
      <c r="J110" t="s">
        <v>279</v>
      </c>
      <c r="K110" s="18" t="s">
        <v>334</v>
      </c>
      <c r="L110" s="1">
        <v>2</v>
      </c>
      <c r="M110" s="1">
        <v>52</v>
      </c>
      <c r="N110" s="1">
        <v>352000</v>
      </c>
      <c r="O110" s="1">
        <v>52000</v>
      </c>
      <c r="P110" s="1">
        <v>125000</v>
      </c>
      <c r="Q110" s="1">
        <v>0</v>
      </c>
      <c r="R110" s="1">
        <v>0</v>
      </c>
      <c r="S110" s="1">
        <v>0</v>
      </c>
      <c r="T110" s="1">
        <v>490000</v>
      </c>
      <c r="U110" s="1">
        <f>SUM(Table2[[#This Row],[Total Selling Comission/Sales (Weekly)]:[Manpower (Korlap)]])</f>
        <v>177000</v>
      </c>
      <c r="W110" s="1">
        <f>Table2[[#This Row],[Total Selling]]*35%</f>
        <v>123199.99999999999</v>
      </c>
      <c r="X110" s="1">
        <v>0</v>
      </c>
      <c r="Y110" s="1">
        <v>90000</v>
      </c>
      <c r="Z110" s="1">
        <v>0</v>
      </c>
      <c r="AA110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-453800</v>
      </c>
      <c r="AB11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-53800.000000000015</v>
      </c>
      <c r="AC110" s="29">
        <f>IFERROR(Table2[[#This Row],[Delivery PV]]/(Table2[[#This Row],[Total Sharing % (Weekly)]]+Table2[[#This Row],[Rider Penalty (Denda to Riders)]]),0)</f>
        <v>-0.43668831168831185</v>
      </c>
      <c r="AD110" s="28">
        <f>SUM(Table2[[#This Row],[Total Potongan Moils (Weekly) ]:[Total Subsidi Molis KSJ (Monthly)]])-Table2[[#This Row],[Total Cost Molis (Weekly)]]</f>
        <v>-400000</v>
      </c>
      <c r="AE110" s="27">
        <f>IFERROR(Table2[[#This Row],[EV Related PV]]/(Table2[[#This Row],[Total Potongan Moils (Weekly) ]]+Table2[[#This Row],[Total Subsidi Molis KSJ (Monthly)]]),-1)</f>
        <v>-4.4444444444444446</v>
      </c>
      <c r="AF110" s="88" t="s">
        <v>335</v>
      </c>
    </row>
    <row r="111" spans="2:32">
      <c r="B111">
        <v>2025</v>
      </c>
      <c r="C111" s="41" t="s">
        <v>201</v>
      </c>
      <c r="D111" t="s">
        <v>201</v>
      </c>
      <c r="E111" t="s">
        <v>169</v>
      </c>
      <c r="F111" t="s">
        <v>28</v>
      </c>
      <c r="G111" t="s">
        <v>28</v>
      </c>
      <c r="H111">
        <v>8</v>
      </c>
      <c r="I111" t="s">
        <v>158</v>
      </c>
      <c r="J111" t="s">
        <v>279</v>
      </c>
      <c r="K111" s="18" t="s">
        <v>334</v>
      </c>
      <c r="L111" s="1">
        <v>4</v>
      </c>
      <c r="M111" s="1">
        <v>389</v>
      </c>
      <c r="N111" s="1">
        <v>4370000</v>
      </c>
      <c r="O111" s="1">
        <v>389000</v>
      </c>
      <c r="P111" s="1">
        <v>525000</v>
      </c>
      <c r="Q111" s="1">
        <v>0</v>
      </c>
      <c r="R111" s="1">
        <v>0</v>
      </c>
      <c r="S111" s="1">
        <v>0</v>
      </c>
      <c r="T111" s="1">
        <v>980000</v>
      </c>
      <c r="U111" s="1">
        <f>SUM(Table2[[#This Row],[Total Selling Comission/Sales (Weekly)]:[Manpower (Korlap)]])</f>
        <v>914000</v>
      </c>
      <c r="W111" s="1">
        <f>Table2[[#This Row],[Total Selling]]*30%</f>
        <v>1311000</v>
      </c>
      <c r="Y111" s="1">
        <v>280000</v>
      </c>
      <c r="Z111" s="1">
        <v>0</v>
      </c>
      <c r="AA111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-303000</v>
      </c>
      <c r="AB111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397000</v>
      </c>
      <c r="AC111" s="29">
        <f>IFERROR(Table2[[#This Row],[Delivery PV]]/(Table2[[#This Row],[Total Sharing % (Weekly)]]+Table2[[#This Row],[Rider Penalty (Denda to Riders)]]),0)</f>
        <v>0.30282227307398935</v>
      </c>
      <c r="AD111" s="28">
        <f>SUM(Table2[[#This Row],[Total Potongan Moils (Weekly) ]:[Total Subsidi Molis KSJ (Monthly)]])-Table2[[#This Row],[Total Cost Molis (Weekly)]]</f>
        <v>-700000</v>
      </c>
      <c r="AE111" s="27">
        <f>IFERROR(Table2[[#This Row],[EV Related PV]]/(Table2[[#This Row],[Total Potongan Moils (Weekly) ]]+Table2[[#This Row],[Total Subsidi Molis KSJ (Monthly)]]),-1)</f>
        <v>-2.5</v>
      </c>
      <c r="AF111" s="88" t="s">
        <v>335</v>
      </c>
    </row>
    <row r="112" spans="2:32">
      <c r="B112">
        <v>2025</v>
      </c>
      <c r="C112" s="41" t="s">
        <v>171</v>
      </c>
      <c r="D112" t="s">
        <v>171</v>
      </c>
      <c r="E112" t="s">
        <v>169</v>
      </c>
      <c r="F112" t="s">
        <v>28</v>
      </c>
      <c r="G112" t="s">
        <v>28</v>
      </c>
      <c r="H112">
        <v>8</v>
      </c>
      <c r="I112" t="s">
        <v>158</v>
      </c>
      <c r="J112" t="s">
        <v>279</v>
      </c>
      <c r="K112" s="18" t="s">
        <v>334</v>
      </c>
      <c r="L112" s="1">
        <v>5</v>
      </c>
      <c r="M112" s="1">
        <v>640</v>
      </c>
      <c r="N112" s="1">
        <v>1806000</v>
      </c>
      <c r="O112" s="1">
        <v>138500</v>
      </c>
      <c r="P112" s="1">
        <v>575000</v>
      </c>
      <c r="Q112" s="1">
        <v>0</v>
      </c>
      <c r="R112" s="1">
        <v>0</v>
      </c>
      <c r="S112" s="1">
        <v>0</v>
      </c>
      <c r="T112" s="1">
        <v>805000</v>
      </c>
      <c r="U112" s="1">
        <f>SUM(Table2[[#This Row],[Total Selling Comission/Sales (Weekly)]:[Manpower (Korlap)]])</f>
        <v>713500</v>
      </c>
      <c r="W112" s="1">
        <f>Table2[[#This Row],[Total Selling]]*30%</f>
        <v>541800</v>
      </c>
      <c r="Y112" s="1">
        <v>230000</v>
      </c>
      <c r="Z112" s="1">
        <v>0</v>
      </c>
      <c r="AA112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-746700</v>
      </c>
      <c r="AB112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-171700</v>
      </c>
      <c r="AC112" s="29">
        <f>IFERROR(Table2[[#This Row],[Delivery PV]]/(Table2[[#This Row],[Total Sharing % (Weekly)]]+Table2[[#This Row],[Rider Penalty (Denda to Riders)]]),0)</f>
        <v>-0.31690660760428202</v>
      </c>
      <c r="AD112" s="28">
        <f>SUM(Table2[[#This Row],[Total Potongan Moils (Weekly) ]:[Total Subsidi Molis KSJ (Monthly)]])-Table2[[#This Row],[Total Cost Molis (Weekly)]]</f>
        <v>-575000</v>
      </c>
      <c r="AE112" s="27">
        <f>IFERROR(Table2[[#This Row],[EV Related PV]]/(Table2[[#This Row],[Total Potongan Moils (Weekly) ]]+Table2[[#This Row],[Total Subsidi Molis KSJ (Monthly)]]),-1)</f>
        <v>-2.5</v>
      </c>
      <c r="AF112" s="88" t="s">
        <v>335</v>
      </c>
    </row>
    <row r="113" spans="2:32">
      <c r="B113">
        <v>2025</v>
      </c>
      <c r="C113" s="41" t="s">
        <v>33</v>
      </c>
      <c r="D113" t="s">
        <v>33</v>
      </c>
      <c r="E113" t="s">
        <v>169</v>
      </c>
      <c r="F113" t="s">
        <v>28</v>
      </c>
      <c r="G113" t="s">
        <v>28</v>
      </c>
      <c r="H113">
        <v>8</v>
      </c>
      <c r="I113" t="s">
        <v>158</v>
      </c>
      <c r="J113" t="s">
        <v>279</v>
      </c>
      <c r="K113" s="18" t="s">
        <v>334</v>
      </c>
      <c r="L113" s="1">
        <v>1</v>
      </c>
      <c r="M113" s="1">
        <v>27</v>
      </c>
      <c r="N113" s="1">
        <v>258000</v>
      </c>
      <c r="O113" s="1">
        <v>27000</v>
      </c>
      <c r="P113" s="1">
        <v>100000</v>
      </c>
      <c r="Q113" s="1">
        <v>0</v>
      </c>
      <c r="R113" s="1">
        <v>0</v>
      </c>
      <c r="S113" s="1">
        <v>0</v>
      </c>
      <c r="T113" s="1">
        <v>245000</v>
      </c>
      <c r="U113" s="1">
        <f>SUM(Table2[[#This Row],[Total Selling Comission/Sales (Weekly)]:[Manpower (Korlap)]])</f>
        <v>127000</v>
      </c>
      <c r="W113" s="1">
        <f>Table2[[#This Row],[Total Selling]]*25%</f>
        <v>64500</v>
      </c>
      <c r="Y113" s="1">
        <v>60000</v>
      </c>
      <c r="Z113" s="1">
        <v>0</v>
      </c>
      <c r="AA113" s="1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-247500</v>
      </c>
      <c r="AB113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-62500</v>
      </c>
      <c r="AC113" s="29">
        <f>IFERROR(Table2[[#This Row],[Delivery PV]]/(Table2[[#This Row],[Total Sharing % (Weekly)]]+Table2[[#This Row],[Rider Penalty (Denda to Riders)]]),0)</f>
        <v>-0.96899224806201545</v>
      </c>
      <c r="AD113" s="28">
        <f>SUM(Table2[[#This Row],[Total Potongan Moils (Weekly) ]:[Total Subsidi Molis KSJ (Monthly)]])-Table2[[#This Row],[Total Cost Molis (Weekly)]]</f>
        <v>-185000</v>
      </c>
      <c r="AE113" s="27">
        <f>IFERROR(Table2[[#This Row],[EV Related PV]]/(Table2[[#This Row],[Total Potongan Moils (Weekly) ]]+Table2[[#This Row],[Total Subsidi Molis KSJ (Monthly)]]),-1)</f>
        <v>-3.0833333333333335</v>
      </c>
      <c r="AF113" s="88" t="s">
        <v>335</v>
      </c>
    </row>
    <row r="114" spans="2:32">
      <c r="B114" s="23">
        <v>2025</v>
      </c>
      <c r="C114" s="41" t="s">
        <v>200</v>
      </c>
      <c r="D114" t="s">
        <v>200</v>
      </c>
      <c r="E114" t="s">
        <v>169</v>
      </c>
      <c r="F114" t="s">
        <v>28</v>
      </c>
      <c r="G114" t="s">
        <v>28</v>
      </c>
      <c r="H114">
        <v>8</v>
      </c>
      <c r="I114" t="s">
        <v>158</v>
      </c>
      <c r="J114" t="s">
        <v>279</v>
      </c>
      <c r="K114" s="18" t="s">
        <v>334</v>
      </c>
      <c r="L114" s="1">
        <v>1</v>
      </c>
      <c r="M114" s="1">
        <v>46</v>
      </c>
      <c r="N114" s="1">
        <v>479000</v>
      </c>
      <c r="O114" s="1">
        <v>46000</v>
      </c>
      <c r="P114" s="1">
        <v>75000</v>
      </c>
      <c r="Q114" s="1">
        <v>0</v>
      </c>
      <c r="R114" s="1">
        <v>0</v>
      </c>
      <c r="S114" s="1">
        <v>0</v>
      </c>
      <c r="T114" s="1">
        <v>245000</v>
      </c>
      <c r="U114" s="1">
        <f>SUM(Table2[[#This Row],[Total Selling Comission/Sales (Weekly)]:[Manpower (Korlap)]])</f>
        <v>121000</v>
      </c>
      <c r="W114" s="1">
        <f>Table2[[#This Row],[Total Selling]]*35%</f>
        <v>167650</v>
      </c>
      <c r="Y114" s="1">
        <v>70000</v>
      </c>
      <c r="AA114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-128350</v>
      </c>
      <c r="AB114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46650</v>
      </c>
      <c r="AC114" s="27">
        <f>IFERROR(Table2[[#This Row],[Delivery PV]]/(Table2[[#This Row],[Total Sharing % (Weekly)]]+Table2[[#This Row],[Rider Penalty (Denda to Riders)]]),0)</f>
        <v>0.27825827617059351</v>
      </c>
      <c r="AD114" s="28">
        <f>SUM(Table2[[#This Row],[Total Potongan Moils (Weekly) ]:[Total Subsidi Molis KSJ (Monthly)]])-Table2[[#This Row],[Total Cost Molis (Weekly)]]</f>
        <v>-175000</v>
      </c>
      <c r="AE114" s="13">
        <f>IFERROR(Table2[[#This Row],[EV Related PV]]/(Table2[[#This Row],[Total Potongan Moils (Weekly) ]]+Table2[[#This Row],[Total Subsidi Molis KSJ (Monthly)]]),-1)</f>
        <v>-2.5</v>
      </c>
      <c r="AF114" s="88" t="s">
        <v>335</v>
      </c>
    </row>
    <row r="115" spans="2:32">
      <c r="G115" s="12"/>
      <c r="H115" s="12"/>
      <c r="K115" s="18"/>
      <c r="L115" s="12"/>
      <c r="M115" s="12"/>
      <c r="N115" s="12"/>
      <c r="O115" s="12"/>
      <c r="P115" s="12"/>
      <c r="Q115" s="1">
        <v>0</v>
      </c>
      <c r="R115" s="1">
        <v>0</v>
      </c>
      <c r="S115" s="1">
        <v>0</v>
      </c>
      <c r="T115" s="12"/>
      <c r="U115" s="1">
        <f>SUM(Table2[[#This Row],[Total Selling Comission/Sales (Weekly)]:[Manpower (Korlap)]])</f>
        <v>0</v>
      </c>
      <c r="V115" s="12"/>
      <c r="W115" s="12"/>
      <c r="X115" s="13"/>
      <c r="Y115" s="12"/>
      <c r="Z115" s="12"/>
      <c r="AA115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15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15" s="13">
        <f>IFERROR(Table2[[#This Row],[Delivery PV]]/(Table2[[#This Row],[Total Sharing % (Weekly)]]+Table2[[#This Row],[Rider Penalty (Denda to Riders)]]),0)</f>
        <v>0</v>
      </c>
      <c r="AD115" s="12">
        <f>SUM(Table2[[#This Row],[Total Potongan Moils (Weekly) ]:[Total Subsidi Molis KSJ (Monthly)]])-Table2[[#This Row],[Total Cost Molis (Weekly)]]</f>
        <v>0</v>
      </c>
      <c r="AE115" s="13">
        <f>IFERROR(Table2[[#This Row],[EV Related PV]]/(Table2[[#This Row],[Total Potongan Moils (Weekly) ]]+Table2[[#This Row],[Total Subsidi Molis KSJ (Monthly)]]),-1)</f>
        <v>-1</v>
      </c>
    </row>
    <row r="116" spans="2:32">
      <c r="G116" s="12"/>
      <c r="H116" s="12"/>
      <c r="K116" s="18"/>
      <c r="L116" s="12"/>
      <c r="M116" s="12"/>
      <c r="N116" s="12"/>
      <c r="O116" s="12"/>
      <c r="P116" s="12"/>
      <c r="Q116" s="1">
        <v>0</v>
      </c>
      <c r="R116" s="1">
        <v>0</v>
      </c>
      <c r="S116" s="1">
        <v>0</v>
      </c>
      <c r="T116" s="12"/>
      <c r="U116" s="1">
        <f>SUM(Table2[[#This Row],[Total Selling Comission/Sales (Weekly)]:[Manpower (Korlap)]])</f>
        <v>0</v>
      </c>
      <c r="V116" s="12"/>
      <c r="W116" s="12"/>
      <c r="X116" s="13"/>
      <c r="Y116" s="12"/>
      <c r="Z116" s="12"/>
      <c r="AA116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16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16" s="13">
        <f>IFERROR(Table2[[#This Row],[Delivery PV]]/(Table2[[#This Row],[Total Sharing % (Weekly)]]+Table2[[#This Row],[Rider Penalty (Denda to Riders)]]),0)</f>
        <v>0</v>
      </c>
      <c r="AD116" s="12">
        <f>SUM(Table2[[#This Row],[Total Potongan Moils (Weekly) ]:[Total Subsidi Molis KSJ (Monthly)]])-Table2[[#This Row],[Total Cost Molis (Weekly)]]</f>
        <v>0</v>
      </c>
      <c r="AE116" s="13">
        <f>IFERROR(Table2[[#This Row],[EV Related PV]]/(Table2[[#This Row],[Total Potongan Moils (Weekly) ]]+Table2[[#This Row],[Total Subsidi Molis KSJ (Monthly)]]),-1)</f>
        <v>-1</v>
      </c>
    </row>
    <row r="117" spans="2:32">
      <c r="G117" s="12"/>
      <c r="H117" s="12"/>
      <c r="K117" s="18"/>
      <c r="L117" s="12"/>
      <c r="M117" s="12"/>
      <c r="N117" s="12"/>
      <c r="O117" s="12"/>
      <c r="P117" s="12"/>
      <c r="Q117" s="1">
        <v>0</v>
      </c>
      <c r="R117" s="1">
        <v>0</v>
      </c>
      <c r="S117" s="1">
        <v>0</v>
      </c>
      <c r="T117" s="12"/>
      <c r="U117" s="1">
        <f>SUM(Table2[[#This Row],[Total Selling Comission/Sales (Weekly)]:[Manpower (Korlap)]])</f>
        <v>0</v>
      </c>
      <c r="V117" s="12"/>
      <c r="W117" s="12"/>
      <c r="X117" s="13"/>
      <c r="Y117" s="12"/>
      <c r="Z117" s="12"/>
      <c r="AA117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17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17" s="13">
        <f>IFERROR(Table2[[#This Row],[Delivery PV]]/(Table2[[#This Row],[Total Sharing % (Weekly)]]+Table2[[#This Row],[Rider Penalty (Denda to Riders)]]),0)</f>
        <v>0</v>
      </c>
      <c r="AD117" s="12">
        <f>SUM(Table2[[#This Row],[Total Potongan Moils (Weekly) ]:[Total Subsidi Molis KSJ (Monthly)]])-Table2[[#This Row],[Total Cost Molis (Weekly)]]</f>
        <v>0</v>
      </c>
      <c r="AE117" s="13">
        <f>IFERROR(Table2[[#This Row],[EV Related PV]]/(Table2[[#This Row],[Total Potongan Moils (Weekly) ]]+Table2[[#This Row],[Total Subsidi Molis KSJ (Monthly)]]),-1)</f>
        <v>-1</v>
      </c>
    </row>
    <row r="118" spans="2:32">
      <c r="G118" s="12"/>
      <c r="H118" s="12"/>
      <c r="K118" s="18"/>
      <c r="L118" s="12"/>
      <c r="M118" s="12"/>
      <c r="N118" s="12"/>
      <c r="O118" s="12"/>
      <c r="P118" s="12"/>
      <c r="Q118" s="1">
        <v>0</v>
      </c>
      <c r="R118" s="1">
        <v>0</v>
      </c>
      <c r="S118" s="1">
        <v>0</v>
      </c>
      <c r="T118" s="12"/>
      <c r="U118" s="12"/>
      <c r="V118" s="12"/>
      <c r="W118" s="12"/>
      <c r="X118" s="13"/>
      <c r="Y118" s="12"/>
      <c r="Z118" s="12"/>
      <c r="AA118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18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18" s="13">
        <f>IFERROR(Table2[[#This Row],[Delivery PV]]/(Table2[[#This Row],[Total Sharing % (Weekly)]]+Table2[[#This Row],[Rider Penalty (Denda to Riders)]]),0)</f>
        <v>0</v>
      </c>
      <c r="AD118" s="12">
        <f>SUM(Table2[[#This Row],[Total Potongan Moils (Weekly) ]:[Total Subsidi Molis KSJ (Monthly)]])-Table2[[#This Row],[Total Cost Molis (Weekly)]]</f>
        <v>0</v>
      </c>
      <c r="AE118" s="13">
        <f>IFERROR(Table2[[#This Row],[EV Related PV]]/(Table2[[#This Row],[Total Potongan Moils (Weekly) ]]+Table2[[#This Row],[Total Subsidi Molis KSJ (Monthly)]]),-1)</f>
        <v>-1</v>
      </c>
    </row>
    <row r="119" spans="2:32">
      <c r="G119" s="12"/>
      <c r="H119" s="12"/>
      <c r="K119" s="18"/>
      <c r="L119" s="12"/>
      <c r="M119" s="12"/>
      <c r="N119" s="12"/>
      <c r="O119" s="12"/>
      <c r="P119" s="12"/>
      <c r="Q119" s="1">
        <v>0</v>
      </c>
      <c r="R119" s="12"/>
      <c r="S119" s="12"/>
      <c r="T119" s="12"/>
      <c r="U119" s="12"/>
      <c r="V119" s="12"/>
      <c r="W119" s="12"/>
      <c r="X119" s="13"/>
      <c r="Y119" s="12"/>
      <c r="Z119" s="12"/>
      <c r="AA119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19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19" s="13">
        <f>IFERROR(Table2[[#This Row],[Delivery PV]]/(Table2[[#This Row],[Total Sharing % (Weekly)]]+Table2[[#This Row],[Rider Penalty (Denda to Riders)]]),0)</f>
        <v>0</v>
      </c>
      <c r="AD119" s="12">
        <f>SUM(Table2[[#This Row],[Total Potongan Moils (Weekly) ]:[Total Subsidi Molis KSJ (Monthly)]])-Table2[[#This Row],[Total Cost Molis (Weekly)]]</f>
        <v>0</v>
      </c>
      <c r="AE119" s="13">
        <f>IFERROR(Table2[[#This Row],[EV Related PV]]/(Table2[[#This Row],[Total Potongan Moils (Weekly) ]]+Table2[[#This Row],[Total Subsidi Molis KSJ (Monthly)]]),-1)</f>
        <v>-1</v>
      </c>
    </row>
    <row r="120" spans="2:32">
      <c r="G120" s="12"/>
      <c r="H120" s="12"/>
      <c r="K120" s="18"/>
      <c r="L120" s="12"/>
      <c r="M120" s="12"/>
      <c r="N120" s="12"/>
      <c r="O120" s="12"/>
      <c r="P120" s="12"/>
      <c r="Q120" s="1">
        <v>0</v>
      </c>
      <c r="R120" s="12"/>
      <c r="S120" s="12"/>
      <c r="T120" s="12"/>
      <c r="U120" s="12"/>
      <c r="V120" s="12"/>
      <c r="W120" s="12"/>
      <c r="X120" s="13"/>
      <c r="Y120" s="12"/>
      <c r="Z120" s="12"/>
      <c r="AA120" s="12">
        <f>Table2[[#This Row],[Total Sharing % (Weekly)]]+Table2[[#This Row],[Rider Penalty (Denda to Riders)]]+Table2[[#This Row],[Total Potongan Moils (Weekly) ]]+Table2[[#This Row],[Total Subsidi Molis KSJ (Monthly)]]-Table2[[#This Row],[Total Cost Molis (Weekly)]]-Table2[[#This Row],[Total Income Sales (Weekly)]]-Table2[[#This Row],[Storing Cost]]</f>
        <v>0</v>
      </c>
      <c r="AB120" s="12">
        <f>Table2[[#This Row],[Total Sharing % (Weekly)]]+Table2[[#This Row],[Rider Penalty (Denda to Riders)]]-Table2[[#This Row],[Total Selling Comission/Sales (Weekly)]]-Table2[[#This Row],[Total Daily Incentive (Weekly)]]-Table2[[#This Row],[Total 26 Days Attendance Bonus (Monthly)]]-Table2[[#This Row],[Total Selling 20Mio Bonus (Monthly)]]</f>
        <v>0</v>
      </c>
      <c r="AC120" s="13">
        <f>IFERROR(Table2[[#This Row],[Delivery PV]]/(Table2[[#This Row],[Total Sharing % (Weekly)]]+Table2[[#This Row],[Rider Penalty (Denda to Riders)]]),0)</f>
        <v>0</v>
      </c>
      <c r="AD120" s="12">
        <f>SUM(Table2[[#This Row],[Total Potongan Moils (Weekly) ]:[Total Subsidi Molis KSJ (Monthly)]])-Table2[[#This Row],[Total Cost Molis (Weekly)]]</f>
        <v>0</v>
      </c>
      <c r="AE120" s="13">
        <f>IFERROR(Table2[[#This Row],[EV Related PV]]/(Table2[[#This Row],[Total Potongan Moils (Weekly) ]]+Table2[[#This Row],[Total Subsidi Molis KSJ (Monthly)]]),-1)</f>
        <v>-1</v>
      </c>
    </row>
    <row r="121" spans="2:32">
      <c r="G121" s="12"/>
      <c r="H121" s="12"/>
      <c r="K121" s="18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3"/>
      <c r="Y121" s="12"/>
      <c r="Z121" s="12"/>
      <c r="AA121" s="12"/>
      <c r="AB121" s="12"/>
      <c r="AC121" s="13"/>
      <c r="AD121" s="12"/>
      <c r="AE121" s="13"/>
    </row>
    <row r="122" spans="2:32">
      <c r="G122" s="12"/>
      <c r="H122" s="12"/>
      <c r="K122" s="18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3"/>
      <c r="Y122" s="12"/>
      <c r="Z122" s="12"/>
      <c r="AA122" s="12"/>
      <c r="AB122" s="12"/>
      <c r="AC122" s="13"/>
      <c r="AD122" s="12"/>
      <c r="AE122" s="13"/>
    </row>
    <row r="124" spans="2:32">
      <c r="L124" s="1">
        <v>398</v>
      </c>
    </row>
    <row r="125" spans="2:32">
      <c r="L125" s="1">
        <v>406</v>
      </c>
      <c r="O125" s="29"/>
    </row>
    <row r="126" spans="2:32">
      <c r="L126" s="1">
        <v>56</v>
      </c>
      <c r="O126" s="29"/>
    </row>
    <row r="127" spans="2:32">
      <c r="L127" s="1">
        <f>SUM(L124:L126)</f>
        <v>860</v>
      </c>
    </row>
    <row r="129" spans="11:11">
      <c r="K129" s="12">
        <f>591-L124</f>
        <v>193</v>
      </c>
    </row>
    <row r="130" spans="11:11">
      <c r="K130" s="12">
        <f>200-L126</f>
        <v>144</v>
      </c>
    </row>
    <row r="131" spans="11:11">
      <c r="K131" s="12">
        <f>SUM(K129:K130)</f>
        <v>337</v>
      </c>
    </row>
  </sheetData>
  <phoneticPr fontId="4" type="noConversion"/>
  <dataValidations count="3">
    <dataValidation type="list" allowBlank="1" showInputMessage="1" showErrorMessage="1" sqref="G3:G104 G106:G114" xr:uid="{F3B7E59F-E314-2944-9B63-52471461CC53}">
      <formula1>$AJ$3:$AJ$13</formula1>
    </dataValidation>
    <dataValidation type="list" allowBlank="1" showInputMessage="1" showErrorMessage="1" sqref="D3:D104 G3:G104 G106:G114 D109:D114 D106:D107" xr:uid="{EAC7A8A8-43C6-ED4D-800D-091C26D469F3}">
      <formula1>$AI$3:$AI$13</formula1>
    </dataValidation>
    <dataValidation allowBlank="1" showInputMessage="1" showErrorMessage="1" sqref="G2:H2 E3:F120 H3:H120" xr:uid="{3B86D3A1-65C1-45F1-9D53-C36C092355E9}"/>
  </dataValidations>
  <hyperlinks>
    <hyperlink ref="AF106" r:id="rId1" xr:uid="{E9605622-1D7F-4103-B551-ADD659EA2A30}"/>
    <hyperlink ref="AF107" r:id="rId2" xr:uid="{1F7460CC-E68C-4241-9B8A-8975D22C5FED}"/>
    <hyperlink ref="AF108" r:id="rId3" xr:uid="{09BFE63E-BD76-4CFB-BBA1-00C1CD74115B}"/>
    <hyperlink ref="AF109" r:id="rId4" xr:uid="{24D80799-E3AE-4B5B-8AB0-3280B189B31C}"/>
    <hyperlink ref="AF110" r:id="rId5" xr:uid="{069A469D-E290-41F8-B840-03341A44D00C}"/>
    <hyperlink ref="AF111" r:id="rId6" xr:uid="{25CBE021-CA63-48C4-906D-06EB75512F9F}"/>
    <hyperlink ref="AF112" r:id="rId7" xr:uid="{5AC8E800-9A26-4F6B-8A54-0BF473F86F94}"/>
    <hyperlink ref="AF113" r:id="rId8" xr:uid="{3ECCA555-0E28-4A8E-BE23-6D32BDC28C23}"/>
    <hyperlink ref="AF114" r:id="rId9" xr:uid="{CDEC4060-9CC7-46F2-A845-B9A5FB8DACDB}"/>
  </hyperlinks>
  <pageMargins left="0.7" right="0.7" top="0.75" bottom="0.75" header="0.3" footer="0.3"/>
  <legacyDrawing r:id="rId10"/>
  <tableParts count="2">
    <tablePart r:id="rId11"/>
    <tablePart r:id="r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1CD2-2D69-453F-9DAA-8489ABB85F42}">
  <dimension ref="B2:D15"/>
  <sheetViews>
    <sheetView workbookViewId="0">
      <selection activeCell="I12" sqref="I12"/>
    </sheetView>
  </sheetViews>
  <sheetFormatPr defaultColWidth="11.42578125" defaultRowHeight="15"/>
  <cols>
    <col min="1" max="1" width="6.140625" customWidth="1"/>
    <col min="2" max="2" width="17.85546875" customWidth="1"/>
    <col min="3" max="3" width="18.7109375" customWidth="1"/>
  </cols>
  <sheetData>
    <row r="2" spans="2:4">
      <c r="B2" s="167" t="s">
        <v>102</v>
      </c>
      <c r="C2" s="167" t="s">
        <v>423</v>
      </c>
    </row>
    <row r="3" spans="2:4">
      <c r="B3" s="93" t="s">
        <v>23</v>
      </c>
      <c r="C3" s="94">
        <v>0.26</v>
      </c>
    </row>
    <row r="4" spans="2:4">
      <c r="B4" s="93" t="s">
        <v>424</v>
      </c>
      <c r="C4" s="94">
        <v>0.3</v>
      </c>
      <c r="D4">
        <v>20</v>
      </c>
    </row>
    <row r="5" spans="2:4">
      <c r="B5" s="93" t="s">
        <v>33</v>
      </c>
      <c r="C5" s="94">
        <v>0.25</v>
      </c>
    </row>
    <row r="6" spans="2:4">
      <c r="B6" s="93" t="s">
        <v>425</v>
      </c>
      <c r="C6" s="94">
        <v>0.3</v>
      </c>
    </row>
    <row r="7" spans="2:4">
      <c r="B7" s="93" t="s">
        <v>200</v>
      </c>
      <c r="C7" s="94">
        <v>0.35</v>
      </c>
    </row>
    <row r="8" spans="2:4">
      <c r="B8" s="93" t="s">
        <v>201</v>
      </c>
      <c r="C8" s="94">
        <v>0.3</v>
      </c>
    </row>
    <row r="9" spans="2:4">
      <c r="B9" s="93" t="s">
        <v>34</v>
      </c>
      <c r="C9" s="94">
        <v>0.35</v>
      </c>
    </row>
    <row r="10" spans="2:4">
      <c r="B10" s="132" t="s">
        <v>320</v>
      </c>
      <c r="C10" s="133">
        <v>0.3</v>
      </c>
    </row>
    <row r="11" spans="2:4">
      <c r="B11" s="93" t="s">
        <v>170</v>
      </c>
      <c r="C11" s="94">
        <v>0.3</v>
      </c>
    </row>
    <row r="12" spans="2:4">
      <c r="B12" s="93" t="s">
        <v>426</v>
      </c>
      <c r="C12" s="94">
        <v>0.35</v>
      </c>
    </row>
    <row r="13" spans="2:4">
      <c r="B13" s="93" t="s">
        <v>427</v>
      </c>
      <c r="C13" s="93"/>
    </row>
    <row r="14" spans="2:4">
      <c r="B14" s="93" t="s">
        <v>428</v>
      </c>
      <c r="C14" s="93"/>
    </row>
    <row r="15" spans="2:4">
      <c r="B15" s="93" t="s">
        <v>429</v>
      </c>
      <c r="C15" s="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D04D223EDF643883C73773120F572" ma:contentTypeVersion="13" ma:contentTypeDescription="Create a new document." ma:contentTypeScope="" ma:versionID="2b7d003978659ba9bef1b4fe4fd0f8b8">
  <xsd:schema xmlns:xsd="http://www.w3.org/2001/XMLSchema" xmlns:xs="http://www.w3.org/2001/XMLSchema" xmlns:p="http://schemas.microsoft.com/office/2006/metadata/properties" xmlns:ns2="5bd77b40-f051-4129-890d-cfa1a41b0cca" xmlns:ns3="1c6c5307-917e-462d-bb70-6b19ceb843e2" targetNamespace="http://schemas.microsoft.com/office/2006/metadata/properties" ma:root="true" ma:fieldsID="1e0d33b7080533a5a672b9376e929f31" ns2:_="" ns3:_="">
    <xsd:import namespace="5bd77b40-f051-4129-890d-cfa1a41b0cca"/>
    <xsd:import namespace="1c6c5307-917e-462d-bb70-6b19ceb84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77b40-f051-4129-890d-cfa1a41b0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fb73d6-8204-4de2-ae80-d7b8bcc77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5307-917e-462d-bb70-6b19ceb843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54c661-1054-43e8-8e9d-ed8a14e1fbd4}" ma:internalName="TaxCatchAll" ma:showField="CatchAllData" ma:web="1c6c5307-917e-462d-bb70-6b19ceb84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d77b40-f051-4129-890d-cfa1a41b0cca">
      <Terms xmlns="http://schemas.microsoft.com/office/infopath/2007/PartnerControls"/>
    </lcf76f155ced4ddcb4097134ff3c332f>
    <TaxCatchAll xmlns="1c6c5307-917e-462d-bb70-6b19ceb843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63C32-63BF-483E-B406-186D0E2D47EF}"/>
</file>

<file path=customXml/itemProps2.xml><?xml version="1.0" encoding="utf-8"?>
<ds:datastoreItem xmlns:ds="http://schemas.openxmlformats.org/officeDocument/2006/customXml" ds:itemID="{911A0EC8-4086-4273-9D38-C72B7FCDE799}"/>
</file>

<file path=customXml/itemProps3.xml><?xml version="1.0" encoding="utf-8"?>
<ds:datastoreItem xmlns:ds="http://schemas.openxmlformats.org/officeDocument/2006/customXml" ds:itemID="{D26EC045-BF7E-46F2-950D-A9F619C7F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Fado Ganinduto</dc:creator>
  <cp:keywords/>
  <dc:description/>
  <cp:lastModifiedBy/>
  <cp:revision/>
  <dcterms:created xsi:type="dcterms:W3CDTF">2025-01-22T03:53:22Z</dcterms:created>
  <dcterms:modified xsi:type="dcterms:W3CDTF">2026-04-23T06:37:58Z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0x01010051FD04D223EDF643883C73773120F572</vt:lpwstr>
  </property>
</Properties>
</file>