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" sheetId="1" r:id="rId4"/>
    <sheet state="visible" name="inaccuracies" sheetId="2" r:id="rId5"/>
  </sheets>
  <definedNames/>
  <calcPr/>
</workbook>
</file>

<file path=xl/sharedStrings.xml><?xml version="1.0" encoding="utf-8"?>
<sst xmlns="http://schemas.openxmlformats.org/spreadsheetml/2006/main" count="61" uniqueCount="60">
  <si>
    <t>Standart data</t>
  </si>
  <si>
    <t>Rm, Ohm</t>
  </si>
  <si>
    <t>T, del</t>
  </si>
  <si>
    <t>T, ms</t>
  </si>
  <si>
    <t>2Ui, del</t>
  </si>
  <si>
    <t>2Ui+n, del</t>
  </si>
  <si>
    <t>n</t>
  </si>
  <si>
    <t>lambda</t>
  </si>
  <si>
    <t>Q</t>
  </si>
  <si>
    <t>R, Ohm</t>
  </si>
  <si>
    <t>L, mH</t>
  </si>
  <si>
    <t>1 big -&gt; T(us), s</t>
  </si>
  <si>
    <t>big -&gt; small</t>
  </si>
  <si>
    <t>C1, F</t>
  </si>
  <si>
    <t>C2, F</t>
  </si>
  <si>
    <t>C3, F</t>
  </si>
  <si>
    <t>C4, F</t>
  </si>
  <si>
    <t>All data in small del</t>
  </si>
  <si>
    <t>from Lambda : Rm</t>
  </si>
  <si>
    <t>R0, Om</t>
  </si>
  <si>
    <t>C</t>
  </si>
  <si>
    <t>Texp, del</t>
  </si>
  <si>
    <t>Texp, ms</t>
  </si>
  <si>
    <t>Tth, ms</t>
  </si>
  <si>
    <t>бT, %</t>
  </si>
  <si>
    <t>Thompson, ms</t>
  </si>
  <si>
    <t>omega0, hz</t>
  </si>
  <si>
    <t>betta</t>
  </si>
  <si>
    <t>C1</t>
  </si>
  <si>
    <t>C2</t>
  </si>
  <si>
    <t>C3</t>
  </si>
  <si>
    <t>C4</t>
  </si>
  <si>
    <t>Calculations</t>
  </si>
  <si>
    <t>Lavg, mH</t>
  </si>
  <si>
    <t>Rcr, Ohm graph</t>
  </si>
  <si>
    <t>Rcr, Ohm</t>
  </si>
  <si>
    <t>T ms, R = R0 + Rm(0 Om)</t>
  </si>
  <si>
    <t>T ms, R = R0 + Rm(200 Om)</t>
  </si>
  <si>
    <t>T ms, R = R0 + Rm(400 Om)</t>
  </si>
  <si>
    <t>Q, R = R0 + Rm(0 Om)</t>
  </si>
  <si>
    <t>Q, R = R0 + Rm(10 Om)</t>
  </si>
  <si>
    <t>Ы</t>
  </si>
  <si>
    <t>C1, mF</t>
  </si>
  <si>
    <t>C2, mF</t>
  </si>
  <si>
    <t>C3, mF</t>
  </si>
  <si>
    <t>C4, mF</t>
  </si>
  <si>
    <t>Среднее отклонение</t>
  </si>
  <si>
    <t>Средняя разность</t>
  </si>
  <si>
    <t>СКО</t>
  </si>
  <si>
    <t>DELTA L</t>
  </si>
  <si>
    <t>&lt;L&gt;</t>
  </si>
  <si>
    <t>Стьюдент</t>
  </si>
  <si>
    <t>Lavg</t>
  </si>
  <si>
    <t>L</t>
  </si>
  <si>
    <t>|L - Lavg|</t>
  </si>
  <si>
    <t>(L-Lavg)^2</t>
  </si>
  <si>
    <t>L - Lavg</t>
  </si>
  <si>
    <t>rn</t>
  </si>
  <si>
    <t>sn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</si>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</sst>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5">
    <font>
      <sz val="10.0"/>
      <color rgb="FF000000"/>
      <name val="Arial"/>
    </font>
    <font>
      <sz val="9.0"/>
      <color theme="1"/>
      <name val="Comfortaa"/>
    </font>
    <font/>
    <font>
      <color theme="1"/>
      <name val="Comfortaa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2" fontId="1" numFmtId="0" xfId="0" applyAlignment="1" applyBorder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4" fontId="1" numFmtId="0" xfId="0" applyAlignment="1" applyBorder="1" applyFill="1" applyFont="1">
      <alignment horizontal="center" readingOrder="0" vertical="center"/>
    </xf>
    <xf borderId="3" fillId="5" fontId="1" numFmtId="0" xfId="0" applyAlignment="1" applyBorder="1" applyFill="1" applyFont="1">
      <alignment horizontal="center" readingOrder="0" vertical="center"/>
    </xf>
    <xf borderId="3" fillId="6" fontId="1" numFmtId="0" xfId="0" applyAlignment="1" applyBorder="1" applyFill="1" applyFont="1">
      <alignment horizontal="center" readingOrder="0" vertical="center"/>
    </xf>
    <xf borderId="3" fillId="7" fontId="1" numFmtId="164" xfId="0" applyAlignment="1" applyBorder="1" applyFill="1" applyFont="1" applyNumberFormat="1">
      <alignment horizontal="center" vertical="center"/>
    </xf>
    <xf borderId="3" fillId="7" fontId="1" numFmtId="164" xfId="0" applyAlignment="1" applyBorder="1" applyFont="1" applyNumberFormat="1">
      <alignment horizontal="center" readingOrder="0" vertical="center"/>
    </xf>
    <xf borderId="3" fillId="7" fontId="1" numFmtId="1" xfId="0" applyAlignment="1" applyBorder="1" applyFont="1" applyNumberFormat="1">
      <alignment horizontal="center" vertical="center"/>
    </xf>
    <xf borderId="3" fillId="4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readingOrder="0" vertical="center"/>
    </xf>
    <xf borderId="3" fillId="0" fontId="1" numFmtId="165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1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textRotation="0" vertical="center"/>
    </xf>
    <xf borderId="0" fillId="0" fontId="4" numFmtId="0" xfId="0" applyAlignment="1" applyFont="1">
      <alignment readingOrder="0"/>
    </xf>
    <xf borderId="3" fillId="0" fontId="4" numFmtId="0" xfId="0" applyAlignment="1" applyBorder="1" applyFont="1">
      <alignment horizontal="center" vertical="center"/>
    </xf>
    <xf borderId="3" fillId="0" fontId="4" numFmtId="165" xfId="0" applyAlignment="1" applyBorder="1" applyFont="1" applyNumberFormat="1">
      <alignment horizontal="center" readingOrder="0" vertical="center"/>
    </xf>
    <xf borderId="3" fillId="0" fontId="4" numFmtId="165" xfId="0" applyAlignment="1" applyBorder="1" applyFont="1" applyNumberFormat="1">
      <alignment horizontal="center" vertical="center"/>
    </xf>
    <xf borderId="0" fillId="0" fontId="4" numFmtId="165" xfId="0" applyAlignment="1" applyFont="1" applyNumberFormat="1">
      <alignment readingOrder="0"/>
    </xf>
    <xf borderId="0" fillId="6" fontId="4" numFmtId="0" xfId="0" applyAlignment="1" applyFont="1">
      <alignment horizontal="center" readingOrder="0" vertical="center"/>
    </xf>
    <xf borderId="0" fillId="6" fontId="4" numFmtId="0" xfId="0" applyAlignment="1" applyFont="1">
      <alignment horizontal="center" vertical="center"/>
    </xf>
    <xf borderId="0" fillId="6" fontId="4" numFmtId="0" xfId="0" applyAlignment="1" applyFont="1">
      <alignment horizontal="center" readingOrder="0" textRotation="0" vertical="center"/>
    </xf>
    <xf borderId="0" fillId="6" fontId="4" numFmtId="0" xfId="0" applyAlignment="1" applyFont="1">
      <alignment horizontal="center" readingOrder="0"/>
    </xf>
    <xf borderId="0" fillId="6" fontId="4" numFmtId="165" xfId="0" applyAlignment="1" applyFont="1" applyNumberFormat="1">
      <alignment horizontal="center" vertical="center"/>
    </xf>
    <xf borderId="0" fillId="6" fontId="4" numFmtId="165" xfId="0" applyAlignment="1" applyFont="1" applyNumberFormat="1">
      <alignment horizontal="center" readingOrder="0" vertical="center"/>
    </xf>
    <xf borderId="0" fillId="6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olu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логарифмического декремента от сопротивления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Линейная аппроксимация</c:name>
            <c:spPr>
              <a:ln w="19050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solution!$E$4:$E$16</c:f>
            </c:numRef>
          </c:xVal>
          <c:yVal>
            <c:numRef>
              <c:f>solution!$K$4:$K$16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0245"/>
        <c:axId val="1043104033"/>
      </c:scatterChart>
      <c:valAx>
        <c:axId val="429760245"/>
        <c:scaling>
          <c:orientation val="minMax"/>
          <c:max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Rm, 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104033"/>
        <c:majorUnit val="10.0"/>
      </c:valAx>
      <c:valAx>
        <c:axId val="104310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60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добротности от сопротивления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Степенная аппроксимация: 57,1x^-0,375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solution!$M$3:$M$16</c:f>
            </c:numRef>
          </c:xVal>
          <c:yVal>
            <c:numRef>
              <c:f>solution!$L$3:$L$16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0194"/>
        <c:axId val="441188959"/>
      </c:scatterChart>
      <c:valAx>
        <c:axId val="156130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R, Ом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188959"/>
      </c:valAx>
      <c:valAx>
        <c:axId val="44118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30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Зависимости теоретического и экспериментального периодов от ёмкости конденсатора</a:t>
            </a:r>
          </a:p>
        </c:rich>
      </c:tx>
      <c:overlay val="0"/>
    </c:title>
    <c:plotArea>
      <c:layout/>
      <c:lineChart>
        <c:ser>
          <c:idx val="0"/>
          <c:order val="0"/>
          <c:tx>
            <c:v>C : Texp</c:v>
          </c:tx>
          <c:spPr>
            <a:ln cmpd="sng">
              <a:solidFill>
                <a:srgbClr val="5891AD"/>
              </a:solidFill>
            </a:ln>
          </c:spPr>
          <c:marker>
            <c:symbol val="circle"/>
            <c:size val="5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solution!$J$49:$J$52</c:f>
            </c:strRef>
          </c:cat>
          <c:val>
            <c:numRef>
              <c:f>solution!$D$20:$D$23</c:f>
              <c:numCache/>
            </c:numRef>
          </c:val>
          <c:smooth val="0"/>
        </c:ser>
        <c:ser>
          <c:idx val="1"/>
          <c:order val="1"/>
          <c:tx>
            <c:v>C : Tth</c:v>
          </c:tx>
          <c:spPr>
            <a:ln cmpd="sng">
              <a:solidFill>
                <a:srgbClr val="004561"/>
              </a:solidFill>
            </a:ln>
          </c:spPr>
          <c:marker>
            <c:symbol val="circle"/>
            <c:size val="5"/>
            <c:spPr>
              <a:solidFill>
                <a:srgbClr val="004561"/>
              </a:solidFill>
              <a:ln cmpd="sng">
                <a:solidFill>
                  <a:srgbClr val="004561"/>
                </a:solidFill>
              </a:ln>
            </c:spPr>
          </c:marker>
          <c:cat>
            <c:strRef>
              <c:f>solution!$J$49:$J$52</c:f>
            </c:strRef>
          </c:cat>
          <c:val>
            <c:numRef>
              <c:f>solution!$E$20:$E$23</c:f>
              <c:numCache/>
            </c:numRef>
          </c:val>
          <c:smooth val="0"/>
        </c:ser>
        <c:axId val="1914235905"/>
        <c:axId val="155064761"/>
      </c:lineChart>
      <c:catAx>
        <c:axId val="19142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C, mF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64761"/>
      </c:catAx>
      <c:valAx>
        <c:axId val="155064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23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23</xdr:row>
      <xdr:rowOff>133350</xdr:rowOff>
    </xdr:from>
    <xdr:ext cx="6305550" cy="3895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133350</xdr:colOff>
      <xdr:row>19</xdr:row>
      <xdr:rowOff>114300</xdr:rowOff>
    </xdr:from>
    <xdr:ext cx="6305550" cy="3895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914400</xdr:colOff>
      <xdr:row>43</xdr:row>
      <xdr:rowOff>180975</xdr:rowOff>
    </xdr:from>
    <xdr:ext cx="6305550" cy="38957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2:N16" displayName="Table_1" id="1">
  <tableColumns count="10">
    <tableColumn name="Rm, Ohm" id="1"/>
    <tableColumn name="T, del" id="2"/>
    <tableColumn name="T, ms" id="3"/>
    <tableColumn name="2Ui, del" id="4"/>
    <tableColumn name="2Ui+n, del" id="5"/>
    <tableColumn name="n" id="6"/>
    <tableColumn name="lambda" id="7"/>
    <tableColumn name="Q" id="8"/>
    <tableColumn name="R, Ohm" id="9"/>
    <tableColumn name="L, mH" id="10"/>
  </tableColumns>
  <tableStyleInfo name="solu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  <col customWidth="1" min="3" max="3" width="14.43"/>
    <col customWidth="1" min="16" max="16" width="25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1"/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/>
      <c r="B3" s="6" t="s">
        <v>11</v>
      </c>
      <c r="C3" s="7">
        <f>100 * 10^-6</f>
        <v>0.0001</v>
      </c>
      <c r="D3" s="1"/>
      <c r="E3" s="8">
        <v>0.0</v>
      </c>
      <c r="F3" s="9">
        <v>27.6</v>
      </c>
      <c r="G3" s="10">
        <f t="shared" ref="G3:G16" si="1">F3 / $C$4 / J3 * $C$3 * 10^3</f>
        <v>0.092</v>
      </c>
      <c r="H3" s="9">
        <v>37.0</v>
      </c>
      <c r="I3" s="9">
        <v>5.0</v>
      </c>
      <c r="J3" s="9">
        <v>6.0</v>
      </c>
      <c r="K3" s="11">
        <f t="shared" ref="K3:K16" si="2">1/J3 * LN(H3/I3)</f>
        <v>0.33358</v>
      </c>
      <c r="L3" s="12">
        <f t="shared" ref="L3:L16" si="3">2*PI()/(1 - EXP(-2 * K3))</f>
        <v>12.90616134</v>
      </c>
      <c r="M3" s="13">
        <f t="shared" ref="M3:M16" si="4">E3 + $C$15</f>
        <v>67</v>
      </c>
      <c r="N3" s="12">
        <f t="shared" ref="N3:N16" si="5">(PI()^2 * M3^2 * $C$5) / K3^2 * 10^3</f>
        <v>8.759352882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/>
      <c r="B4" s="6" t="s">
        <v>12</v>
      </c>
      <c r="C4" s="7">
        <v>5.0</v>
      </c>
      <c r="D4" s="1"/>
      <c r="E4" s="8">
        <v>10.0</v>
      </c>
      <c r="F4" s="9">
        <v>27.6</v>
      </c>
      <c r="G4" s="10">
        <f t="shared" si="1"/>
        <v>0.092</v>
      </c>
      <c r="H4" s="9">
        <v>37.0</v>
      </c>
      <c r="I4" s="9">
        <v>4.0</v>
      </c>
      <c r="J4" s="9">
        <v>6.0</v>
      </c>
      <c r="K4" s="11">
        <f t="shared" si="2"/>
        <v>0.3707705919</v>
      </c>
      <c r="L4" s="12">
        <f t="shared" si="3"/>
        <v>11.99949438</v>
      </c>
      <c r="M4" s="13">
        <f t="shared" si="4"/>
        <v>77</v>
      </c>
      <c r="N4" s="12">
        <f t="shared" si="5"/>
        <v>9.36468807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13</v>
      </c>
      <c r="C5" s="8">
        <f>0.022 * 10^-6</f>
        <v>0.000000022</v>
      </c>
      <c r="D5" s="1"/>
      <c r="E5" s="8">
        <v>20.0</v>
      </c>
      <c r="F5" s="9">
        <v>27.6</v>
      </c>
      <c r="G5" s="10">
        <f t="shared" si="1"/>
        <v>0.092</v>
      </c>
      <c r="H5" s="9">
        <v>36.3</v>
      </c>
      <c r="I5" s="9">
        <v>3.0</v>
      </c>
      <c r="J5" s="9">
        <v>6.0</v>
      </c>
      <c r="K5" s="11">
        <f t="shared" si="2"/>
        <v>0.4155342421</v>
      </c>
      <c r="L5" s="12">
        <f t="shared" si="3"/>
        <v>11.13218108</v>
      </c>
      <c r="M5" s="13">
        <f t="shared" si="4"/>
        <v>87</v>
      </c>
      <c r="N5" s="12">
        <f t="shared" si="5"/>
        <v>9.518034972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14</v>
      </c>
      <c r="C6" s="14">
        <f>0.033 * 10^-6</f>
        <v>0.000000033</v>
      </c>
      <c r="D6" s="1"/>
      <c r="E6" s="8">
        <v>30.0</v>
      </c>
      <c r="F6" s="9">
        <v>23.0</v>
      </c>
      <c r="G6" s="10">
        <f t="shared" si="1"/>
        <v>0.092</v>
      </c>
      <c r="H6" s="9">
        <v>35.9</v>
      </c>
      <c r="I6" s="9">
        <v>3.5</v>
      </c>
      <c r="J6" s="9">
        <v>5.0</v>
      </c>
      <c r="K6" s="11">
        <f t="shared" si="2"/>
        <v>0.4655948654</v>
      </c>
      <c r="L6" s="12">
        <f t="shared" si="3"/>
        <v>10.36973985</v>
      </c>
      <c r="M6" s="13">
        <f t="shared" si="4"/>
        <v>97</v>
      </c>
      <c r="N6" s="12">
        <f t="shared" si="5"/>
        <v>9.424309285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15</v>
      </c>
      <c r="C7" s="14">
        <f>0.047 * 10^-6</f>
        <v>0.000000047</v>
      </c>
      <c r="D7" s="1"/>
      <c r="E7" s="8">
        <v>40.0</v>
      </c>
      <c r="F7" s="9">
        <v>23.0</v>
      </c>
      <c r="G7" s="10">
        <f t="shared" si="1"/>
        <v>0.092</v>
      </c>
      <c r="H7" s="9">
        <v>35.8</v>
      </c>
      <c r="I7" s="9">
        <v>2.8</v>
      </c>
      <c r="J7" s="9">
        <v>5.0</v>
      </c>
      <c r="K7" s="11">
        <f t="shared" si="2"/>
        <v>0.5096656952</v>
      </c>
      <c r="L7" s="12">
        <f t="shared" si="3"/>
        <v>9.83031971</v>
      </c>
      <c r="M7" s="13">
        <f t="shared" si="4"/>
        <v>107</v>
      </c>
      <c r="N7" s="12">
        <f t="shared" si="5"/>
        <v>9.570159495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16</v>
      </c>
      <c r="C8" s="14">
        <f>0.47 * 10^-6</f>
        <v>0.00000047</v>
      </c>
      <c r="D8" s="1"/>
      <c r="E8" s="8">
        <v>50.0</v>
      </c>
      <c r="F8" s="9">
        <v>18.4</v>
      </c>
      <c r="G8" s="10">
        <f t="shared" si="1"/>
        <v>0.092</v>
      </c>
      <c r="H8" s="9">
        <v>35.3</v>
      </c>
      <c r="I8" s="9">
        <v>4.0</v>
      </c>
      <c r="J8" s="9">
        <v>4.0</v>
      </c>
      <c r="K8" s="11">
        <f t="shared" si="2"/>
        <v>0.5443971507</v>
      </c>
      <c r="L8" s="12">
        <f t="shared" si="3"/>
        <v>9.471502501</v>
      </c>
      <c r="M8" s="13">
        <f t="shared" si="4"/>
        <v>117</v>
      </c>
      <c r="N8" s="12">
        <f t="shared" si="5"/>
        <v>10.02911157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10</v>
      </c>
      <c r="C9" s="8">
        <v>10.0</v>
      </c>
      <c r="D9" s="1"/>
      <c r="E9" s="8">
        <v>60.0</v>
      </c>
      <c r="F9" s="9">
        <v>18.4</v>
      </c>
      <c r="G9" s="10">
        <f t="shared" si="1"/>
        <v>0.092</v>
      </c>
      <c r="H9" s="9">
        <v>35.0</v>
      </c>
      <c r="I9" s="9">
        <v>3.0</v>
      </c>
      <c r="J9" s="9">
        <v>4.0</v>
      </c>
      <c r="K9" s="11">
        <f t="shared" si="2"/>
        <v>0.6141839432</v>
      </c>
      <c r="L9" s="12">
        <f t="shared" si="3"/>
        <v>8.884218008</v>
      </c>
      <c r="M9" s="13">
        <f t="shared" si="4"/>
        <v>127</v>
      </c>
      <c r="N9" s="12">
        <f t="shared" si="5"/>
        <v>9.283953389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8">
        <v>70.0</v>
      </c>
      <c r="F10" s="9">
        <v>13.8</v>
      </c>
      <c r="G10" s="10">
        <f t="shared" si="1"/>
        <v>0.092</v>
      </c>
      <c r="H10" s="9">
        <v>34.8</v>
      </c>
      <c r="I10" s="9">
        <v>4.7</v>
      </c>
      <c r="J10" s="9">
        <v>3.0</v>
      </c>
      <c r="K10" s="11">
        <f t="shared" si="2"/>
        <v>0.667351626</v>
      </c>
      <c r="L10" s="12">
        <f t="shared" si="3"/>
        <v>8.528087263</v>
      </c>
      <c r="M10" s="13">
        <f t="shared" si="4"/>
        <v>137</v>
      </c>
      <c r="N10" s="12">
        <f t="shared" si="5"/>
        <v>9.150695724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 t="s">
        <v>17</v>
      </c>
      <c r="C11" s="3"/>
      <c r="D11" s="1"/>
      <c r="E11" s="8">
        <v>80.0</v>
      </c>
      <c r="F11" s="9">
        <v>13.8</v>
      </c>
      <c r="G11" s="10">
        <f t="shared" si="1"/>
        <v>0.092</v>
      </c>
      <c r="H11" s="9">
        <v>34.2</v>
      </c>
      <c r="I11" s="9">
        <v>4.0</v>
      </c>
      <c r="J11" s="9">
        <v>3.0</v>
      </c>
      <c r="K11" s="11">
        <f t="shared" si="2"/>
        <v>0.7153104276</v>
      </c>
      <c r="L11" s="12">
        <f t="shared" si="3"/>
        <v>8.258225837</v>
      </c>
      <c r="M11" s="13">
        <f t="shared" si="4"/>
        <v>147</v>
      </c>
      <c r="N11" s="12">
        <f t="shared" si="5"/>
        <v>9.169971448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8">
        <v>90.0</v>
      </c>
      <c r="F12" s="9">
        <v>9.2</v>
      </c>
      <c r="G12" s="10">
        <f t="shared" si="1"/>
        <v>0.092</v>
      </c>
      <c r="H12" s="9">
        <v>33.9</v>
      </c>
      <c r="I12" s="9">
        <v>7.4</v>
      </c>
      <c r="J12" s="9">
        <v>2.0</v>
      </c>
      <c r="K12" s="11">
        <f t="shared" si="2"/>
        <v>0.7609675071</v>
      </c>
      <c r="L12" s="12">
        <f t="shared" si="3"/>
        <v>8.037735167</v>
      </c>
      <c r="M12" s="13">
        <f t="shared" si="4"/>
        <v>157</v>
      </c>
      <c r="N12" s="12">
        <f t="shared" si="5"/>
        <v>9.242500973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8">
        <v>100.0</v>
      </c>
      <c r="F13" s="9">
        <v>9.2</v>
      </c>
      <c r="G13" s="10">
        <f t="shared" si="1"/>
        <v>0.092</v>
      </c>
      <c r="H13" s="9">
        <v>33.5</v>
      </c>
      <c r="I13" s="9">
        <v>6.7</v>
      </c>
      <c r="J13" s="9">
        <v>2.0</v>
      </c>
      <c r="K13" s="11">
        <f t="shared" si="2"/>
        <v>0.8047189562</v>
      </c>
      <c r="L13" s="12">
        <f t="shared" si="3"/>
        <v>7.853981634</v>
      </c>
      <c r="M13" s="13">
        <f t="shared" si="4"/>
        <v>167</v>
      </c>
      <c r="N13" s="12">
        <f t="shared" si="5"/>
        <v>9.351190509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18</v>
      </c>
      <c r="C14" s="3"/>
      <c r="D14" s="1"/>
      <c r="E14" s="8">
        <v>200.0</v>
      </c>
      <c r="F14" s="9">
        <v>4.6</v>
      </c>
      <c r="G14" s="10">
        <f t="shared" si="1"/>
        <v>0.092</v>
      </c>
      <c r="H14" s="9">
        <v>30.8</v>
      </c>
      <c r="I14" s="9">
        <v>8.6</v>
      </c>
      <c r="J14" s="9">
        <v>1.0</v>
      </c>
      <c r="K14" s="11">
        <f t="shared" si="2"/>
        <v>1.275752487</v>
      </c>
      <c r="L14" s="12">
        <f t="shared" si="3"/>
        <v>6.814470332</v>
      </c>
      <c r="M14" s="13">
        <f t="shared" si="4"/>
        <v>267</v>
      </c>
      <c r="N14" s="12">
        <f t="shared" si="5"/>
        <v>9.510691659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 t="s">
        <v>19</v>
      </c>
      <c r="C15" s="10">
        <v>67.0</v>
      </c>
      <c r="D15" s="1"/>
      <c r="E15" s="8">
        <v>300.0</v>
      </c>
      <c r="F15" s="9">
        <v>4.6</v>
      </c>
      <c r="G15" s="10">
        <f t="shared" si="1"/>
        <v>0.092</v>
      </c>
      <c r="H15" s="9">
        <v>28.4</v>
      </c>
      <c r="I15" s="9">
        <v>4.8</v>
      </c>
      <c r="J15" s="9">
        <v>1.0</v>
      </c>
      <c r="K15" s="11">
        <f t="shared" si="2"/>
        <v>1.777773227</v>
      </c>
      <c r="L15" s="12">
        <f t="shared" si="3"/>
        <v>6.467947138</v>
      </c>
      <c r="M15" s="13">
        <f t="shared" si="4"/>
        <v>367</v>
      </c>
      <c r="N15" s="12">
        <f t="shared" si="5"/>
        <v>9.25341056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8">
        <v>400.0</v>
      </c>
      <c r="F16" s="9">
        <v>4.6</v>
      </c>
      <c r="G16" s="10">
        <f t="shared" si="1"/>
        <v>0.092</v>
      </c>
      <c r="H16" s="9">
        <v>26.2</v>
      </c>
      <c r="I16" s="9">
        <v>2.4</v>
      </c>
      <c r="J16" s="9">
        <v>1.0</v>
      </c>
      <c r="K16" s="11">
        <f t="shared" si="2"/>
        <v>2.390290673</v>
      </c>
      <c r="L16" s="12">
        <f t="shared" si="3"/>
        <v>6.336354414</v>
      </c>
      <c r="M16" s="13">
        <f t="shared" si="4"/>
        <v>467</v>
      </c>
      <c r="N16" s="12">
        <f t="shared" si="5"/>
        <v>8.288095631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6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 t="s">
        <v>20</v>
      </c>
      <c r="C19" s="6" t="s">
        <v>21</v>
      </c>
      <c r="D19" s="6" t="s">
        <v>22</v>
      </c>
      <c r="E19" s="17" t="s">
        <v>23</v>
      </c>
      <c r="F19" s="6" t="s">
        <v>24</v>
      </c>
      <c r="G19" s="6" t="s">
        <v>25</v>
      </c>
      <c r="H19" s="6" t="s">
        <v>26</v>
      </c>
      <c r="I19" s="6" t="s">
        <v>27</v>
      </c>
      <c r="J19" s="1"/>
      <c r="K19" s="1"/>
      <c r="L19" s="1"/>
      <c r="M19" s="1"/>
      <c r="N19" s="1"/>
      <c r="O19" s="1"/>
      <c r="P19" s="1"/>
      <c r="Q19" s="16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 t="s">
        <v>28</v>
      </c>
      <c r="C20" s="8">
        <v>4.8</v>
      </c>
      <c r="D20" s="18">
        <f t="shared" ref="D20:D23" si="6">C20 / $C$4 / 1 * $C$3 * 10^3</f>
        <v>0.096</v>
      </c>
      <c r="E20" s="12">
        <f t="shared" ref="E20:E23" si="7"> 2 * PI() / (SQRT(1 / ($C$27 * 10^3 * $C5) - $M$3^2 / (4 * ($C$27 * 10^3)^2)))</f>
        <v>0.09012110417</v>
      </c>
      <c r="F20" s="19">
        <f t="shared" ref="F20:F23" si="8">(D20-E20)/E20 * 100</f>
        <v>6.523328675</v>
      </c>
      <c r="G20" s="20">
        <f t="shared" ref="G20:G23" si="9">2 * PI() * SQRT(C5 * $C$27 * 10^(-3)) * 10^3</f>
        <v>0.09012110405</v>
      </c>
      <c r="H20" s="21">
        <f t="shared" ref="H20:H23" si="10">1/SQRT($C$9 * 10^(-3) * $C5)</f>
        <v>67419.98625</v>
      </c>
      <c r="I20" s="22">
        <f>M3/(2*C9*10^-3)</f>
        <v>3350</v>
      </c>
      <c r="J20" s="1"/>
      <c r="K20" s="1"/>
      <c r="L20" s="1"/>
      <c r="M20" s="1"/>
      <c r="N20" s="1"/>
      <c r="O20" s="23"/>
      <c r="P20" s="1"/>
      <c r="Q20" s="16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 t="s">
        <v>29</v>
      </c>
      <c r="C21" s="8">
        <v>5.8</v>
      </c>
      <c r="D21" s="18">
        <f t="shared" si="6"/>
        <v>0.116</v>
      </c>
      <c r="E21" s="12">
        <f t="shared" si="7"/>
        <v>0.1103753602</v>
      </c>
      <c r="F21" s="19">
        <f t="shared" si="8"/>
        <v>5.09591976</v>
      </c>
      <c r="G21" s="20">
        <f t="shared" si="9"/>
        <v>0.11037536</v>
      </c>
      <c r="H21" s="21">
        <f t="shared" si="10"/>
        <v>55048.18826</v>
      </c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 t="s">
        <v>30</v>
      </c>
      <c r="C22" s="8">
        <v>6.8</v>
      </c>
      <c r="D22" s="18">
        <f t="shared" si="6"/>
        <v>0.136</v>
      </c>
      <c r="E22" s="12">
        <f t="shared" si="7"/>
        <v>0.1317237522</v>
      </c>
      <c r="F22" s="19">
        <f t="shared" si="8"/>
        <v>3.246375627</v>
      </c>
      <c r="G22" s="20">
        <f t="shared" si="9"/>
        <v>0.1317237518</v>
      </c>
      <c r="H22" s="21">
        <f t="shared" si="10"/>
        <v>46126.5604</v>
      </c>
      <c r="I22" s="2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 t="s">
        <v>31</v>
      </c>
      <c r="C23" s="8">
        <v>22.0</v>
      </c>
      <c r="D23" s="18">
        <f t="shared" si="6"/>
        <v>0.44</v>
      </c>
      <c r="E23" s="12">
        <f t="shared" si="7"/>
        <v>0.4165470895</v>
      </c>
      <c r="F23" s="19">
        <f t="shared" si="8"/>
        <v>5.630314335</v>
      </c>
      <c r="G23" s="20">
        <f t="shared" si="9"/>
        <v>0.4165470778</v>
      </c>
      <c r="H23" s="21">
        <f t="shared" si="10"/>
        <v>14586.49915</v>
      </c>
      <c r="I23" s="2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">
        <v>32</v>
      </c>
      <c r="C26" s="3"/>
      <c r="D26" s="26"/>
      <c r="E26" s="27"/>
      <c r="F26" s="2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6" t="s">
        <v>33</v>
      </c>
      <c r="C27" s="21">
        <f> AVERAGE(N3:N13)</f>
        <v>9.351269847</v>
      </c>
      <c r="D27" s="1"/>
      <c r="E27" s="27"/>
      <c r="F27" s="2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6" t="s">
        <v>34</v>
      </c>
      <c r="C28" s="8">
        <v>1267.0</v>
      </c>
      <c r="D28" s="1"/>
      <c r="E28" s="27"/>
      <c r="F28" s="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6" t="s">
        <v>35</v>
      </c>
      <c r="C29" s="11">
        <f>2*SQRT(C9/1000/C5)</f>
        <v>1348.399725</v>
      </c>
      <c r="D29" s="1"/>
      <c r="E29" s="27"/>
      <c r="F29" s="2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6" t="s">
        <v>36</v>
      </c>
      <c r="C30" s="11">
        <f> 2 * PI() / (SQRT(1 / ($C$9 * 10^3 * $C$5) - $M$3^2 / (4 * ($C$9 * 10^3)^2)))</f>
        <v>0.09319469885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6" t="s">
        <v>37</v>
      </c>
      <c r="C31" s="11">
        <f> 2 * PI() / (SQRT(1 / ($C$9 * 10^3 * $C$5) - $M$14^2 / (4 * ($C$9 * 10^3)^2)))</f>
        <v>0.09319470057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6" t="s">
        <v>38</v>
      </c>
      <c r="C32" s="11">
        <f> 2 * PI() / (SQRT(1 / ($C$9 * 10^3 * $C$5) - $M$16^2 / (4 * ($C$9 * 10^3)^2)))</f>
        <v>0.09319470433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6" t="s">
        <v>39</v>
      </c>
      <c r="C33" s="12">
        <f t="shared" ref="C33:C34" si="11"> 1 / M3  * SQRT(((N3 * 10^(-3))/ $C$5))</f>
        <v>9.417808781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6" t="s">
        <v>40</v>
      </c>
      <c r="C34" s="12">
        <f t="shared" si="11"/>
        <v>8.473144101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"/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26" t="s">
        <v>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6" t="s">
        <v>42</v>
      </c>
      <c r="J49" s="8">
        <v>22.0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6" t="s">
        <v>43</v>
      </c>
      <c r="J50" s="8">
        <v>33.0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6" t="s">
        <v>44</v>
      </c>
      <c r="J51" s="8">
        <v>47.0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6" t="s">
        <v>45</v>
      </c>
      <c r="J52" s="8">
        <v>470.0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B2:C2"/>
    <mergeCell ref="B11:C11"/>
    <mergeCell ref="B14:C14"/>
    <mergeCell ref="I20:I23"/>
    <mergeCell ref="B26:C26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29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 t="s">
        <v>46</v>
      </c>
      <c r="S2" s="28"/>
      <c r="T2" s="28"/>
      <c r="U2" s="28"/>
      <c r="V2" s="28"/>
      <c r="W2" s="28"/>
      <c r="X2" s="28"/>
      <c r="Y2" s="28"/>
    </row>
    <row r="3">
      <c r="A3" s="28"/>
      <c r="B3" s="28"/>
      <c r="C3" s="28"/>
      <c r="D3" s="28"/>
      <c r="E3" s="28"/>
      <c r="F3" s="28"/>
      <c r="G3" s="28"/>
      <c r="H3" s="28"/>
      <c r="I3" s="29" t="s">
        <v>47</v>
      </c>
      <c r="J3" s="29" t="s">
        <v>48</v>
      </c>
      <c r="K3" s="28"/>
      <c r="L3" s="28"/>
      <c r="M3" s="28"/>
      <c r="N3" s="28"/>
      <c r="O3" s="28"/>
      <c r="P3" s="29" t="s">
        <v>49</v>
      </c>
      <c r="Q3" s="29"/>
      <c r="R3" s="29" t="s">
        <v>50</v>
      </c>
      <c r="S3" s="29" t="s">
        <v>51</v>
      </c>
      <c r="T3" s="28"/>
      <c r="U3" s="28"/>
      <c r="V3" s="28"/>
      <c r="W3" s="28"/>
      <c r="X3" s="28"/>
      <c r="Y3" s="28"/>
    </row>
    <row r="4">
      <c r="A4" s="28"/>
      <c r="B4" s="28"/>
      <c r="C4" s="30" t="s">
        <v>52</v>
      </c>
      <c r="D4" s="28"/>
      <c r="E4" s="31" t="s">
        <v>53</v>
      </c>
      <c r="F4" s="30" t="s">
        <v>54</v>
      </c>
      <c r="G4" s="30" t="s">
        <v>55</v>
      </c>
      <c r="H4" s="32" t="s">
        <v>56</v>
      </c>
      <c r="I4" s="30" t="s">
        <v>57</v>
      </c>
      <c r="J4" s="30" t="s">
        <v>58</v>
      </c>
      <c r="K4" s="29"/>
      <c r="L4" s="29" t="s">
        <v>59</v>
      </c>
      <c r="M4" s="28"/>
      <c r="N4" s="28"/>
      <c r="O4" s="29">
        <v>9.477</v>
      </c>
      <c r="P4" s="28">
        <f>AVERAGE(O4:O17)</f>
        <v>10.80528571</v>
      </c>
      <c r="Q4" s="29">
        <f t="shared" ref="Q4:Q17" si="1">ABS(O4 - $P$4)</f>
        <v>1.328285714</v>
      </c>
      <c r="R4" s="28">
        <f>AVERAGE(Q4:Q17)</f>
        <v>1.646979592</v>
      </c>
      <c r="S4" s="28">
        <f>AVERAGE(Q4:Q17) / SQRT(13) / 0.2217</f>
        <v>2.060396714</v>
      </c>
      <c r="T4" s="28"/>
      <c r="U4" s="28"/>
      <c r="V4" s="28"/>
      <c r="W4" s="28"/>
      <c r="X4" s="28"/>
      <c r="Y4" s="28"/>
    </row>
    <row r="5">
      <c r="A5" s="28"/>
      <c r="B5" s="28"/>
      <c r="C5" s="33">
        <v>10.805285714285713</v>
      </c>
      <c r="D5" s="28"/>
      <c r="E5" s="34">
        <v>9.477</v>
      </c>
      <c r="F5" s="35">
        <f t="shared" ref="F5:F18" si="2">ABS(E5-$C$5)</f>
        <v>1.328285714</v>
      </c>
      <c r="G5" s="35">
        <f t="shared" ref="G5:G18" si="3">F5^2</f>
        <v>1.764342939</v>
      </c>
      <c r="H5" s="36">
        <f t="shared" ref="H5:H18" si="4">E5 - $C$5</f>
        <v>-1.328285714</v>
      </c>
      <c r="I5" s="33">
        <f>SUM(F5:F18)/ COUNT(E5:E18)</f>
        <v>1.646979592</v>
      </c>
      <c r="J5" s="33">
        <f>SQRT(SUM(G5:G18) / COUNT(G5:G18))</f>
        <v>2.493068718</v>
      </c>
      <c r="K5" s="29"/>
      <c r="L5" s="28">
        <f> I5 / J5</f>
        <v>0.6606234236</v>
      </c>
      <c r="M5" s="28">
        <f> L5 * SQRT(COUNT($E$4:$E$18))</f>
        <v>2.471826513</v>
      </c>
      <c r="N5" s="28"/>
      <c r="O5" s="29">
        <v>9.86</v>
      </c>
      <c r="Q5" s="29">
        <f t="shared" si="1"/>
        <v>0.9452857143</v>
      </c>
      <c r="R5" s="28"/>
      <c r="S5" s="28"/>
      <c r="T5" s="28"/>
      <c r="U5" s="28"/>
      <c r="V5" s="28"/>
      <c r="W5" s="28"/>
      <c r="X5" s="28"/>
      <c r="Y5" s="28"/>
    </row>
    <row r="6">
      <c r="A6" s="28"/>
      <c r="B6" s="28"/>
      <c r="C6" s="28"/>
      <c r="D6" s="28"/>
      <c r="E6" s="34">
        <v>9.86</v>
      </c>
      <c r="F6" s="35">
        <f t="shared" si="2"/>
        <v>0.9452857143</v>
      </c>
      <c r="G6" s="35">
        <f t="shared" si="3"/>
        <v>0.8935650816</v>
      </c>
      <c r="H6" s="36">
        <f t="shared" si="4"/>
        <v>-0.9452857143</v>
      </c>
      <c r="I6" s="28"/>
      <c r="J6" s="28"/>
      <c r="K6" s="28"/>
      <c r="L6" s="28"/>
      <c r="M6" s="28"/>
      <c r="N6" s="28"/>
      <c r="O6" s="29">
        <v>10.232</v>
      </c>
      <c r="P6" s="28"/>
      <c r="Q6" s="29">
        <f t="shared" si="1"/>
        <v>0.5732857143</v>
      </c>
      <c r="R6" s="28"/>
      <c r="S6" s="28"/>
      <c r="T6" s="28"/>
      <c r="U6" s="28"/>
      <c r="V6" s="28"/>
      <c r="W6" s="28"/>
      <c r="X6" s="28"/>
      <c r="Y6" s="28"/>
    </row>
    <row r="7">
      <c r="A7" s="28"/>
      <c r="B7" s="28"/>
      <c r="C7" s="28"/>
      <c r="D7" s="28"/>
      <c r="E7" s="34">
        <v>10.232</v>
      </c>
      <c r="F7" s="35">
        <f t="shared" si="2"/>
        <v>0.5732857143</v>
      </c>
      <c r="G7" s="35">
        <f t="shared" si="3"/>
        <v>0.3286565102</v>
      </c>
      <c r="H7" s="36">
        <f t="shared" si="4"/>
        <v>-0.5732857143</v>
      </c>
      <c r="I7" s="28"/>
      <c r="J7" s="28"/>
      <c r="K7" s="28"/>
      <c r="L7" s="28"/>
      <c r="M7" s="28"/>
      <c r="N7" s="28"/>
      <c r="O7" s="29">
        <v>9.252</v>
      </c>
      <c r="P7" s="28"/>
      <c r="Q7" s="29">
        <f t="shared" si="1"/>
        <v>1.553285714</v>
      </c>
      <c r="R7" s="28"/>
      <c r="S7" s="28"/>
      <c r="T7" s="28"/>
      <c r="U7" s="28"/>
      <c r="V7" s="28"/>
      <c r="W7" s="28"/>
      <c r="X7" s="28"/>
      <c r="Y7" s="28"/>
    </row>
    <row r="8">
      <c r="A8" s="28"/>
      <c r="B8" s="28"/>
      <c r="C8" s="28"/>
      <c r="D8" s="28"/>
      <c r="E8" s="34">
        <v>9.252</v>
      </c>
      <c r="F8" s="35">
        <f t="shared" si="2"/>
        <v>1.553285714</v>
      </c>
      <c r="G8" s="35">
        <f t="shared" si="3"/>
        <v>2.41269651</v>
      </c>
      <c r="H8" s="36">
        <f t="shared" si="4"/>
        <v>-1.553285714</v>
      </c>
      <c r="I8" s="28"/>
      <c r="J8" s="28"/>
      <c r="K8" s="28"/>
      <c r="L8" s="28"/>
      <c r="M8" s="28"/>
      <c r="N8" s="28"/>
      <c r="O8" s="29">
        <v>10.254</v>
      </c>
      <c r="P8" s="28"/>
      <c r="Q8" s="29">
        <f t="shared" si="1"/>
        <v>0.5512857143</v>
      </c>
      <c r="R8" s="28"/>
      <c r="S8" s="28"/>
      <c r="T8" s="28"/>
      <c r="U8" s="28"/>
      <c r="V8" s="28"/>
      <c r="W8" s="28"/>
      <c r="X8" s="28"/>
      <c r="Y8" s="28"/>
    </row>
    <row r="9">
      <c r="A9" s="28"/>
      <c r="B9" s="28"/>
      <c r="C9" s="28"/>
      <c r="D9" s="28"/>
      <c r="E9" s="34">
        <v>10.254</v>
      </c>
      <c r="F9" s="35">
        <f t="shared" si="2"/>
        <v>0.5512857143</v>
      </c>
      <c r="G9" s="35">
        <f t="shared" si="3"/>
        <v>0.3039159388</v>
      </c>
      <c r="H9" s="36">
        <f t="shared" si="4"/>
        <v>-0.5512857143</v>
      </c>
      <c r="I9" s="28"/>
      <c r="J9" s="28"/>
      <c r="K9" s="28"/>
      <c r="L9" s="28"/>
      <c r="M9" s="28"/>
      <c r="N9" s="28"/>
      <c r="O9" s="29">
        <v>11.73</v>
      </c>
      <c r="P9" s="28"/>
      <c r="Q9" s="29">
        <f t="shared" si="1"/>
        <v>0.9247142857</v>
      </c>
      <c r="R9" s="28"/>
      <c r="S9" s="28"/>
      <c r="T9" s="28"/>
      <c r="U9" s="28"/>
      <c r="V9" s="28"/>
      <c r="W9" s="28"/>
      <c r="X9" s="28"/>
      <c r="Y9" s="28"/>
    </row>
    <row r="10">
      <c r="A10" s="28"/>
      <c r="B10" s="28"/>
      <c r="C10" s="28"/>
      <c r="D10" s="28"/>
      <c r="E10" s="34">
        <v>11.73</v>
      </c>
      <c r="F10" s="35">
        <f t="shared" si="2"/>
        <v>0.9247142857</v>
      </c>
      <c r="G10" s="35">
        <f t="shared" si="3"/>
        <v>0.8550965102</v>
      </c>
      <c r="H10" s="36">
        <f t="shared" si="4"/>
        <v>0.9247142857</v>
      </c>
      <c r="I10" s="28"/>
      <c r="J10" s="28"/>
      <c r="K10" s="28"/>
      <c r="L10" s="28"/>
      <c r="M10" s="28"/>
      <c r="N10" s="28"/>
      <c r="O10" s="29">
        <v>10.109</v>
      </c>
      <c r="P10" s="28"/>
      <c r="Q10" s="29">
        <f t="shared" si="1"/>
        <v>0.6962857143</v>
      </c>
      <c r="R10" s="28"/>
      <c r="S10" s="28"/>
      <c r="T10" s="28"/>
      <c r="U10" s="28"/>
      <c r="V10" s="28"/>
      <c r="W10" s="28"/>
      <c r="X10" s="28"/>
      <c r="Y10" s="28"/>
    </row>
    <row r="11">
      <c r="A11" s="28"/>
      <c r="B11" s="28"/>
      <c r="C11" s="28"/>
      <c r="D11" s="28"/>
      <c r="E11" s="34">
        <v>10.109</v>
      </c>
      <c r="F11" s="35">
        <f t="shared" si="2"/>
        <v>0.6962857143</v>
      </c>
      <c r="G11" s="35">
        <f t="shared" si="3"/>
        <v>0.4848137959</v>
      </c>
      <c r="H11" s="36">
        <f t="shared" si="4"/>
        <v>-0.6962857143</v>
      </c>
      <c r="I11" s="28"/>
      <c r="J11" s="28"/>
      <c r="K11" s="28"/>
      <c r="L11" s="28"/>
      <c r="M11" s="28"/>
      <c r="N11" s="28"/>
      <c r="O11" s="29">
        <v>10.005</v>
      </c>
      <c r="P11" s="28"/>
      <c r="Q11" s="29">
        <f t="shared" si="1"/>
        <v>0.8002857143</v>
      </c>
      <c r="R11" s="28"/>
      <c r="S11" s="28"/>
      <c r="T11" s="28"/>
      <c r="U11" s="28"/>
      <c r="V11" s="28"/>
      <c r="W11" s="28"/>
      <c r="X11" s="28"/>
      <c r="Y11" s="28"/>
    </row>
    <row r="12">
      <c r="A12" s="28"/>
      <c r="B12" s="28"/>
      <c r="C12" s="28"/>
      <c r="D12" s="28"/>
      <c r="E12" s="34">
        <v>10.005</v>
      </c>
      <c r="F12" s="35">
        <f t="shared" si="2"/>
        <v>0.8002857143</v>
      </c>
      <c r="G12" s="35">
        <f t="shared" si="3"/>
        <v>0.6404572245</v>
      </c>
      <c r="H12" s="36">
        <f t="shared" si="4"/>
        <v>-0.8002857143</v>
      </c>
      <c r="I12" s="28"/>
      <c r="J12" s="28"/>
      <c r="K12" s="28"/>
      <c r="L12" s="28"/>
      <c r="M12" s="28"/>
      <c r="N12" s="28"/>
      <c r="O12" s="29">
        <v>9.666</v>
      </c>
      <c r="P12" s="28"/>
      <c r="Q12" s="29">
        <f t="shared" si="1"/>
        <v>1.139285714</v>
      </c>
      <c r="R12" s="28"/>
      <c r="S12" s="28"/>
      <c r="T12" s="28"/>
      <c r="U12" s="28"/>
      <c r="V12" s="28"/>
      <c r="W12" s="28"/>
      <c r="X12" s="28"/>
      <c r="Y12" s="28"/>
    </row>
    <row r="13">
      <c r="A13" s="28"/>
      <c r="B13" s="28"/>
      <c r="C13" s="28"/>
      <c r="D13" s="28"/>
      <c r="E13" s="34">
        <v>9.666</v>
      </c>
      <c r="F13" s="35">
        <f t="shared" si="2"/>
        <v>1.139285714</v>
      </c>
      <c r="G13" s="35">
        <f t="shared" si="3"/>
        <v>1.297971939</v>
      </c>
      <c r="H13" s="36">
        <f t="shared" si="4"/>
        <v>-1.139285714</v>
      </c>
      <c r="I13" s="28"/>
      <c r="J13" s="28"/>
      <c r="K13" s="28"/>
      <c r="L13" s="28"/>
      <c r="M13" s="28"/>
      <c r="N13" s="28"/>
      <c r="O13" s="29">
        <v>10.912</v>
      </c>
      <c r="P13" s="28"/>
      <c r="Q13" s="29">
        <f t="shared" si="1"/>
        <v>0.1067142857</v>
      </c>
      <c r="R13" s="28"/>
      <c r="S13" s="28"/>
      <c r="T13" s="28"/>
      <c r="U13" s="28"/>
      <c r="V13" s="28"/>
      <c r="W13" s="28"/>
      <c r="X13" s="28"/>
      <c r="Y13" s="28"/>
    </row>
    <row r="14">
      <c r="A14" s="28"/>
      <c r="B14" s="28"/>
      <c r="C14" s="28"/>
      <c r="D14" s="28"/>
      <c r="E14" s="34">
        <v>10.912</v>
      </c>
      <c r="F14" s="35">
        <f t="shared" si="2"/>
        <v>0.1067142857</v>
      </c>
      <c r="G14" s="35">
        <f t="shared" si="3"/>
        <v>0.01138793878</v>
      </c>
      <c r="H14" s="36">
        <f t="shared" si="4"/>
        <v>0.1067142857</v>
      </c>
      <c r="I14" s="28"/>
      <c r="J14" s="28"/>
      <c r="K14" s="28"/>
      <c r="L14" s="28"/>
      <c r="M14" s="28"/>
      <c r="N14" s="28"/>
      <c r="O14" s="29">
        <v>9.265</v>
      </c>
      <c r="P14" s="28"/>
      <c r="Q14" s="29">
        <f t="shared" si="1"/>
        <v>1.540285714</v>
      </c>
      <c r="R14" s="28"/>
      <c r="S14" s="28"/>
      <c r="T14" s="28"/>
      <c r="U14" s="28"/>
      <c r="V14" s="28"/>
      <c r="W14" s="28"/>
      <c r="X14" s="28"/>
      <c r="Y14" s="28"/>
    </row>
    <row r="15">
      <c r="A15" s="28"/>
      <c r="B15" s="28"/>
      <c r="C15" s="28"/>
      <c r="D15" s="28"/>
      <c r="E15" s="34">
        <v>9.265</v>
      </c>
      <c r="F15" s="35">
        <f t="shared" si="2"/>
        <v>1.540285714</v>
      </c>
      <c r="G15" s="35">
        <f t="shared" si="3"/>
        <v>2.372480082</v>
      </c>
      <c r="H15" s="36">
        <f t="shared" si="4"/>
        <v>-1.540285714</v>
      </c>
      <c r="I15" s="28"/>
      <c r="J15" s="28"/>
      <c r="K15" s="28"/>
      <c r="L15" s="28"/>
      <c r="M15" s="28"/>
      <c r="N15" s="28"/>
      <c r="O15" s="29">
        <v>8.404</v>
      </c>
      <c r="P15" s="28"/>
      <c r="Q15" s="29">
        <f t="shared" si="1"/>
        <v>2.401285714</v>
      </c>
      <c r="R15" s="28"/>
      <c r="S15" s="28"/>
      <c r="T15" s="28"/>
      <c r="U15" s="28"/>
      <c r="V15" s="28"/>
      <c r="W15" s="28"/>
      <c r="X15" s="28"/>
      <c r="Y15" s="28"/>
    </row>
    <row r="16">
      <c r="A16" s="28"/>
      <c r="B16" s="28"/>
      <c r="C16" s="28"/>
      <c r="D16" s="28"/>
      <c r="E16" s="34">
        <v>8.404</v>
      </c>
      <c r="F16" s="35">
        <f t="shared" si="2"/>
        <v>2.401285714</v>
      </c>
      <c r="G16" s="35">
        <f t="shared" si="3"/>
        <v>5.766173082</v>
      </c>
      <c r="H16" s="36">
        <f t="shared" si="4"/>
        <v>-2.401285714</v>
      </c>
      <c r="I16" s="28"/>
      <c r="J16" s="28"/>
      <c r="K16" s="28"/>
      <c r="L16" s="28"/>
      <c r="M16" s="28"/>
      <c r="N16" s="28"/>
      <c r="O16" s="29">
        <v>13.335</v>
      </c>
      <c r="P16" s="28"/>
      <c r="Q16" s="29">
        <f t="shared" si="1"/>
        <v>2.529714286</v>
      </c>
      <c r="R16" s="28"/>
      <c r="S16" s="28"/>
      <c r="T16" s="28"/>
      <c r="U16" s="28"/>
      <c r="V16" s="28"/>
      <c r="W16" s="28"/>
      <c r="X16" s="28"/>
      <c r="Y16" s="28"/>
    </row>
    <row r="17">
      <c r="A17" s="28"/>
      <c r="B17" s="28"/>
      <c r="C17" s="28"/>
      <c r="D17" s="28"/>
      <c r="E17" s="34">
        <v>13.335</v>
      </c>
      <c r="F17" s="35">
        <f t="shared" si="2"/>
        <v>2.529714286</v>
      </c>
      <c r="G17" s="35">
        <f t="shared" si="3"/>
        <v>6.399454367</v>
      </c>
      <c r="H17" s="36">
        <f t="shared" si="4"/>
        <v>2.529714286</v>
      </c>
      <c r="I17" s="28"/>
      <c r="J17" s="28"/>
      <c r="K17" s="28"/>
      <c r="L17" s="28"/>
      <c r="M17" s="28"/>
      <c r="N17" s="28"/>
      <c r="O17" s="29">
        <v>18.773</v>
      </c>
      <c r="P17" s="28"/>
      <c r="Q17" s="29">
        <f t="shared" si="1"/>
        <v>7.967714286</v>
      </c>
      <c r="R17" s="28"/>
      <c r="S17" s="28"/>
      <c r="T17" s="28"/>
      <c r="U17" s="28"/>
      <c r="V17" s="28"/>
      <c r="W17" s="28"/>
      <c r="X17" s="28"/>
      <c r="Y17" s="28"/>
    </row>
    <row r="18">
      <c r="A18" s="28"/>
      <c r="B18" s="28"/>
      <c r="C18" s="28"/>
      <c r="D18" s="28"/>
      <c r="E18" s="34">
        <v>18.773</v>
      </c>
      <c r="F18" s="35">
        <f t="shared" si="2"/>
        <v>7.967714286</v>
      </c>
      <c r="G18" s="35">
        <f t="shared" si="3"/>
        <v>63.48447094</v>
      </c>
      <c r="H18" s="36">
        <f t="shared" si="4"/>
        <v>7.967714286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>
      <c r="A24" s="28"/>
      <c r="B24" s="28"/>
      <c r="C24" s="28"/>
      <c r="D24" s="28"/>
      <c r="E24" s="28"/>
      <c r="F24" s="28"/>
      <c r="G24" s="28"/>
      <c r="H24" s="28"/>
      <c r="I24" s="29"/>
      <c r="J24" s="2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>
      <c r="A25" s="28"/>
      <c r="B25" s="28"/>
      <c r="C25" s="37"/>
      <c r="D25" s="38"/>
      <c r="E25" s="39"/>
      <c r="F25" s="37"/>
      <c r="G25" s="37"/>
      <c r="H25" s="40"/>
      <c r="I25" s="37"/>
      <c r="J25" s="37"/>
      <c r="K25" s="29"/>
      <c r="L25" s="2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>
      <c r="A26" s="28"/>
      <c r="B26" s="28"/>
      <c r="C26" s="37"/>
      <c r="D26" s="38"/>
      <c r="E26" s="37"/>
      <c r="F26" s="41"/>
      <c r="G26" s="42"/>
      <c r="H26" s="43"/>
      <c r="I26" s="38"/>
      <c r="J26" s="38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>
      <c r="A27" s="28"/>
      <c r="B27" s="28"/>
      <c r="C27" s="43"/>
      <c r="D27" s="38"/>
      <c r="E27" s="37"/>
      <c r="F27" s="41"/>
      <c r="G27" s="42"/>
      <c r="H27" s="43"/>
      <c r="I27" s="38"/>
      <c r="J27" s="3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28"/>
      <c r="B28" s="28"/>
      <c r="C28" s="38"/>
      <c r="D28" s="38"/>
      <c r="E28" s="37"/>
      <c r="F28" s="41"/>
      <c r="G28" s="42"/>
      <c r="H28" s="43"/>
      <c r="I28" s="38"/>
      <c r="J28" s="3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>
      <c r="A29" s="28"/>
      <c r="B29" s="28"/>
      <c r="C29" s="38"/>
      <c r="D29" s="38"/>
      <c r="E29" s="37"/>
      <c r="F29" s="41"/>
      <c r="G29" s="42"/>
      <c r="H29" s="43"/>
      <c r="I29" s="38"/>
      <c r="J29" s="3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>
      <c r="A30" s="28"/>
      <c r="B30" s="28"/>
      <c r="C30" s="38"/>
      <c r="D30" s="38"/>
      <c r="E30" s="37"/>
      <c r="F30" s="41"/>
      <c r="G30" s="42"/>
      <c r="H30" s="43"/>
      <c r="I30" s="38"/>
      <c r="J30" s="3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28"/>
      <c r="B31" s="28"/>
      <c r="C31" s="38"/>
      <c r="D31" s="38"/>
      <c r="E31" s="37"/>
      <c r="F31" s="41"/>
      <c r="G31" s="42"/>
      <c r="H31" s="43"/>
      <c r="I31" s="38"/>
      <c r="J31" s="3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>
      <c r="A32" s="28"/>
      <c r="B32" s="28"/>
      <c r="C32" s="38"/>
      <c r="D32" s="38"/>
      <c r="E32" s="37"/>
      <c r="F32" s="41"/>
      <c r="G32" s="42"/>
      <c r="H32" s="43"/>
      <c r="I32" s="38"/>
      <c r="J32" s="3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>
      <c r="A33" s="28"/>
      <c r="B33" s="28"/>
      <c r="C33" s="38"/>
      <c r="D33" s="38"/>
      <c r="E33" s="37"/>
      <c r="F33" s="41"/>
      <c r="G33" s="42"/>
      <c r="H33" s="43"/>
      <c r="I33" s="38"/>
      <c r="J33" s="3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>
      <c r="A34" s="28"/>
      <c r="B34" s="28"/>
      <c r="C34" s="38"/>
      <c r="D34" s="38"/>
      <c r="E34" s="37"/>
      <c r="F34" s="41"/>
      <c r="G34" s="42"/>
      <c r="H34" s="43"/>
      <c r="I34" s="38"/>
      <c r="J34" s="3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>
      <c r="A35" s="28"/>
      <c r="B35" s="28"/>
      <c r="C35" s="38"/>
      <c r="D35" s="38"/>
      <c r="E35" s="37"/>
      <c r="F35" s="41"/>
      <c r="G35" s="42"/>
      <c r="H35" s="43"/>
      <c r="I35" s="38"/>
      <c r="J35" s="3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28"/>
      <c r="B36" s="28"/>
      <c r="C36" s="38"/>
      <c r="D36" s="38"/>
      <c r="E36" s="37"/>
      <c r="F36" s="41"/>
      <c r="G36" s="42"/>
      <c r="H36" s="43"/>
      <c r="I36" s="38"/>
      <c r="J36" s="3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>
      <c r="A37" s="28"/>
      <c r="B37" s="28"/>
      <c r="C37" s="38"/>
      <c r="D37" s="38"/>
      <c r="E37" s="37"/>
      <c r="F37" s="41"/>
      <c r="G37" s="42"/>
      <c r="H37" s="43"/>
      <c r="I37" s="38"/>
      <c r="J37" s="3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>
      <c r="A38" s="28"/>
      <c r="B38" s="28"/>
      <c r="C38" s="38"/>
      <c r="D38" s="38"/>
      <c r="E38" s="37"/>
      <c r="F38" s="41"/>
      <c r="G38" s="42"/>
      <c r="H38" s="43"/>
      <c r="I38" s="38"/>
      <c r="J38" s="3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>
      <c r="A39" s="28"/>
      <c r="B39" s="28"/>
      <c r="C39" s="38"/>
      <c r="D39" s="38"/>
      <c r="E39" s="37"/>
      <c r="F39" s="41"/>
      <c r="G39" s="42"/>
      <c r="H39" s="43"/>
      <c r="I39" s="38"/>
      <c r="J39" s="3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</sheetData>
  <drawing r:id="rId1"/>
</worksheet>
</file>