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<sst xmlns="http://schemas.openxmlformats.org/spreadsheetml/2006/main" count="40" uniqueCount="33">
  <si>
    <t>t[i], c</t>
  </si>
  <si>
    <t>t[i] - t[avg], c</t>
  </si>
  <si>
    <t>(t[i] - t[avg])^2, c^2</t>
  </si>
  <si>
    <t>t[min], c</t>
  </si>
  <si>
    <t>t[max], c</t>
  </si>
  <si>
    <t>Δt, c</t>
  </si>
  <si>
    <t>[i, i + Δt], c</t>
  </si>
  <si>
    <t xml:space="preserve">ΔN </t>
  </si>
  <si>
    <t>ΔN  / ( N * Δt), c^(-1)</t>
  </si>
  <si>
    <t>mid[i, i + Δt], c</t>
  </si>
  <si>
    <t>p, c^(-1)</t>
  </si>
  <si>
    <t>// N = 50 //</t>
  </si>
  <si>
    <t>t[avg] +/- i * б[n]</t>
  </si>
  <si>
    <t>Interval, c</t>
  </si>
  <si>
    <t>ΔN</t>
  </si>
  <si>
    <t>ΔN / N</t>
  </si>
  <si>
    <t>std P</t>
  </si>
  <si>
    <t>from</t>
  </si>
  <si>
    <t>to</t>
  </si>
  <si>
    <t>t[avg] +/- б</t>
  </si>
  <si>
    <t>t[avg] +/- 2б</t>
  </si>
  <si>
    <t>t[avg] +/- 3б</t>
  </si>
  <si>
    <t>t[avg]</t>
  </si>
  <si>
    <t>Σ(t[i] - t[avg])</t>
  </si>
  <si>
    <t>б[n]</t>
  </si>
  <si>
    <t>pmax</t>
  </si>
  <si>
    <t>б[t]</t>
  </si>
  <si>
    <t>t стьюдента</t>
  </si>
  <si>
    <t>t[avg] - Δt</t>
  </si>
  <si>
    <t>t[avg] + Δt</t>
  </si>
  <si>
    <t>P</t>
  </si>
  <si>
    <t>alpha</t>
  </si>
  <si>
    <t>Δt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</si>
</sst>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color rgb="FF000000"/>
      <name val="Arial"/>
    </font>
    <font>
      <color theme="1"/>
      <name val="Arial"/>
    </font>
    <font>
      <b/>
      <i/>
      <color rgb="FF000000"/>
      <name val="Arial"/>
    </font>
    <font>
      <b/>
      <i/>
      <color theme="1"/>
      <name val="Arial"/>
    </font>
    <font/>
    <font>
      <i/>
      <color theme="1"/>
      <name val="Arial"/>
    </font>
    <font>
      <b/>
      <i/>
      <sz val="10.0"/>
      <color rgb="FF000000"/>
      <name val="Arial"/>
    </font>
    <font>
      <b/>
      <i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" fillId="3" fontId="3" numFmtId="164" xfId="0" applyAlignment="1" applyBorder="1" applyFill="1" applyFont="1" applyNumberForma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2" fillId="4" fontId="4" numFmtId="0" xfId="0" applyAlignment="1" applyBorder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5" fillId="0" fontId="2" numFmtId="164" xfId="0" applyAlignment="1" applyBorder="1" applyFont="1" applyNumberFormat="1">
      <alignment horizontal="center"/>
    </xf>
    <xf borderId="6" fillId="0" fontId="5" numFmtId="0" xfId="0" applyBorder="1" applyFont="1"/>
    <xf borderId="7" fillId="0" fontId="5" numFmtId="0" xfId="0" applyBorder="1" applyFont="1"/>
    <xf borderId="0" fillId="0" fontId="2" numFmtId="0" xfId="0" applyAlignment="1" applyFont="1">
      <alignment horizontal="center" readingOrder="0"/>
    </xf>
    <xf borderId="8" fillId="0" fontId="2" numFmtId="164" xfId="0" applyAlignment="1" applyBorder="1" applyFont="1" applyNumberFormat="1">
      <alignment horizontal="center"/>
    </xf>
    <xf borderId="9" fillId="0" fontId="2" numFmtId="164" xfId="0" applyAlignment="1" applyBorder="1" applyFont="1" applyNumberFormat="1">
      <alignment horizontal="center" vertical="center"/>
    </xf>
    <xf borderId="10" fillId="0" fontId="2" numFmtId="164" xfId="0" applyAlignment="1" applyBorder="1" applyFont="1" applyNumberFormat="1">
      <alignment horizontal="center"/>
    </xf>
    <xf borderId="11" fillId="0" fontId="2" numFmtId="164" xfId="0" applyAlignment="1" applyBorder="1" applyFont="1" applyNumberFormat="1">
      <alignment horizontal="center"/>
    </xf>
    <xf borderId="12" fillId="0" fontId="5" numFmtId="0" xfId="0" applyBorder="1" applyFont="1"/>
    <xf borderId="1" fillId="3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2" fillId="3" fontId="4" numFmtId="0" xfId="0" applyAlignment="1" applyBorder="1" applyFont="1">
      <alignment horizontal="center" readingOrder="0" vertical="center"/>
    </xf>
    <xf borderId="13" fillId="3" fontId="4" numFmtId="0" xfId="0" applyAlignment="1" applyBorder="1" applyFont="1">
      <alignment horizontal="center" readingOrder="0" vertical="center"/>
    </xf>
    <xf borderId="14" fillId="0" fontId="5" numFmtId="0" xfId="0" applyBorder="1" applyFont="1"/>
    <xf borderId="10" fillId="0" fontId="5" numFmtId="0" xfId="0" applyBorder="1" applyFont="1"/>
    <xf borderId="1" fillId="5" fontId="6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3" fillId="4" fontId="4" numFmtId="0" xfId="0" applyAlignment="1" applyBorder="1" applyFont="1">
      <alignment horizontal="center" readingOrder="0"/>
    </xf>
    <xf borderId="15" fillId="0" fontId="5" numFmtId="0" xfId="0" applyBorder="1" applyFont="1"/>
    <xf borderId="1" fillId="4" fontId="8" numFmtId="0" xfId="0" applyAlignment="1" applyBorder="1" applyFont="1">
      <alignment horizontal="center" readingOrder="0"/>
    </xf>
    <xf borderId="13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ΔN  / ( N * Δt)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'Лист1'!$M$3:$M$16</c:f>
            </c:strRef>
          </c:cat>
          <c:val>
            <c:numRef>
              <c:f>'Лист1'!$L$3:$L$16</c:f>
              <c:numCache/>
            </c:numRef>
          </c:val>
        </c:ser>
        <c:axId val="1128705917"/>
        <c:axId val="289310995"/>
      </c:barChart>
      <c:lineChart>
        <c:varyColors val="0"/>
        <c:ser>
          <c:idx val="1"/>
          <c:order val="1"/>
          <c:tx>
            <c:v>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'Лист1'!$M$3:$M$16</c:f>
            </c:strRef>
          </c:cat>
          <c:val>
            <c:numRef>
              <c:f>'Лист1'!$N$3:$N$16</c:f>
              <c:numCache/>
            </c:numRef>
          </c:val>
          <c:smooth val="1"/>
        </c:ser>
        <c:axId val="1128705917"/>
        <c:axId val="289310995"/>
      </c:lineChart>
      <c:catAx>
        <c:axId val="1128705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100">
                    <a:solidFill>
                      <a:srgbClr val="000000"/>
                    </a:solidFill>
                    <a:latin typeface="+mn-lt"/>
                  </a:rPr>
                  <a:t>t,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310995"/>
      </c:catAx>
      <c:valAx>
        <c:axId val="289310995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100">
                    <a:solidFill>
                      <a:srgbClr val="000000"/>
                    </a:solidFill>
                    <a:latin typeface="+mn-lt"/>
                  </a:rPr>
                  <a:t>ΔN  / ( N * Δt), c^(-1)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705917"/>
      </c:valAx>
    </c:plotArea>
    <c:legend>
      <c:legendPos val="t"/>
      <c:overlay val="0"/>
      <c:txPr>
        <a:bodyPr/>
        <a:lstStyle/>
        <a:p>
          <a:pPr lvl="0">
            <a:defRPr b="1" i="1" sz="11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885825</xdr:colOff>
      <xdr:row>19</xdr:row>
      <xdr:rowOff>152400</xdr:rowOff>
    </xdr:from>
    <xdr:ext cx="7781925" cy="48291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  <col customWidth="1" min="3" max="3" width="15.14"/>
    <col customWidth="1" min="4" max="4" width="19.86"/>
    <col customWidth="1" min="8" max="8" width="15.57"/>
    <col customWidth="1" min="10" max="10" width="16.0"/>
    <col customWidth="1" min="11" max="11" width="15.86"/>
    <col customWidth="1" min="12" max="12" width="22.57"/>
    <col customWidth="1" min="13" max="13" width="16.57"/>
  </cols>
  <sheetData>
    <row r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4" t="s">
        <v>0</v>
      </c>
      <c r="C2" s="4" t="s">
        <v>1</v>
      </c>
      <c r="D2" s="5" t="s">
        <v>2</v>
      </c>
      <c r="E2" s="3"/>
      <c r="F2" s="6" t="s">
        <v>3</v>
      </c>
      <c r="G2" s="6" t="s">
        <v>4</v>
      </c>
      <c r="H2" s="6" t="s">
        <v>5</v>
      </c>
      <c r="I2" s="3"/>
      <c r="J2" s="7" t="s">
        <v>6</v>
      </c>
      <c r="K2" s="6" t="s">
        <v>7</v>
      </c>
      <c r="L2" s="7" t="s">
        <v>8</v>
      </c>
      <c r="M2" s="6" t="s">
        <v>9</v>
      </c>
      <c r="N2" s="7" t="s">
        <v>10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8">
        <v>4.952</v>
      </c>
      <c r="C3" s="9">
        <f t="shared" ref="C3:C52" si="1">B3 - $B$54</f>
        <v>-0.00312</v>
      </c>
      <c r="D3" s="10">
        <f t="shared" ref="D3:D52" si="2">C3*C3</f>
        <v>0.0000097344</v>
      </c>
      <c r="E3" s="3"/>
      <c r="F3" s="10">
        <f>MIN(B3:B52)</f>
        <v>4.624</v>
      </c>
      <c r="G3" s="10">
        <f>MAX(B3:B52)</f>
        <v>5.202</v>
      </c>
      <c r="H3" s="10">
        <f>(G3-F3) / 7</f>
        <v>0.08257142857</v>
      </c>
      <c r="I3" s="3"/>
      <c r="J3" s="11">
        <f>$F$3</f>
        <v>4.624</v>
      </c>
      <c r="K3" s="12">
        <f>COUNTIFS($B$2:$B$52,"&lt;"&amp;J4,$B$2:$B$52,"&gt;="&amp;J3)</f>
        <v>2</v>
      </c>
      <c r="L3" s="13">
        <f>K3 / ($K$17 * $H$3)</f>
        <v>0.4844290657</v>
      </c>
      <c r="M3" s="14">
        <f>AVERAGE(J3:J4)</f>
        <v>4.665285714</v>
      </c>
      <c r="N3" s="13">
        <f> (1 / ($D$54 * SQRT(2 * PI()))) * EXP((-1) * (POWER(M3 - $B$54, 2) / (POWER($D$54,2) * 2)))</f>
        <v>0.252640956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8">
        <v>4.751</v>
      </c>
      <c r="C4" s="9">
        <f t="shared" si="1"/>
        <v>-0.20412</v>
      </c>
      <c r="D4" s="10">
        <f t="shared" si="2"/>
        <v>0.0416649744</v>
      </c>
      <c r="E4" s="3"/>
      <c r="F4" s="3"/>
      <c r="G4" s="3"/>
      <c r="H4" s="3"/>
      <c r="I4" s="3"/>
      <c r="J4" s="15">
        <f>J3 + $H$3</f>
        <v>4.706571429</v>
      </c>
      <c r="K4" s="16"/>
      <c r="L4" s="17"/>
      <c r="M4" s="16"/>
      <c r="N4" s="1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8">
        <v>4.951</v>
      </c>
      <c r="C5" s="9">
        <f t="shared" si="1"/>
        <v>-0.00412</v>
      </c>
      <c r="D5" s="10">
        <f t="shared" si="2"/>
        <v>0.0000169744</v>
      </c>
      <c r="E5" s="3"/>
      <c r="F5" s="18"/>
      <c r="G5" s="3"/>
      <c r="H5" s="3"/>
      <c r="I5" s="3"/>
      <c r="J5" s="19">
        <f>J4</f>
        <v>4.706571429</v>
      </c>
      <c r="K5" s="12">
        <f>COUNTIFS($B$2:$B$52,"&lt;"&amp;J6,$B$2:$B$52,"&gt;="&amp;J5)</f>
        <v>5</v>
      </c>
      <c r="L5" s="20">
        <f>K5 / ($K$17 * $H$3)</f>
        <v>1.211072664</v>
      </c>
      <c r="M5" s="14">
        <f>AVERAGE(J5:J6)</f>
        <v>4.747857143</v>
      </c>
      <c r="N5" s="20">
        <f> (1 / ($D$54 * SQRT(2 * PI()))) * EXP((-1) * (POWER(M5 - $B$54, 2) / (POWER($D$54,2) * 2)))</f>
        <v>0.8570769672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8">
        <v>5.151</v>
      </c>
      <c r="C6" s="9">
        <f t="shared" si="1"/>
        <v>0.19588</v>
      </c>
      <c r="D6" s="10">
        <f t="shared" si="2"/>
        <v>0.0383689744</v>
      </c>
      <c r="E6" s="3"/>
      <c r="F6" s="3"/>
      <c r="G6" s="3"/>
      <c r="H6" s="3"/>
      <c r="I6" s="3"/>
      <c r="J6" s="15">
        <f>J5 + $H$3</f>
        <v>4.789142857</v>
      </c>
      <c r="K6" s="16"/>
      <c r="L6" s="17"/>
      <c r="M6" s="16"/>
      <c r="N6" s="1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8">
        <v>4.752</v>
      </c>
      <c r="C7" s="9">
        <f t="shared" si="1"/>
        <v>-0.20312</v>
      </c>
      <c r="D7" s="10">
        <f t="shared" si="2"/>
        <v>0.0412577344</v>
      </c>
      <c r="E7" s="3"/>
      <c r="F7" s="3"/>
      <c r="G7" s="3"/>
      <c r="H7" s="3"/>
      <c r="I7" s="3"/>
      <c r="J7" s="19">
        <f>J6</f>
        <v>4.789142857</v>
      </c>
      <c r="K7" s="12">
        <f>COUNTIFS($B$2:$B$52,"&lt;"&amp;J8,$B$2:$B$52,"&gt;="&amp;J7)</f>
        <v>5</v>
      </c>
      <c r="L7" s="20">
        <f>K7 / ($K$17 * $H$3)</f>
        <v>1.211072664</v>
      </c>
      <c r="M7" s="14">
        <f>AVERAGE(J7:J8)</f>
        <v>4.830428571</v>
      </c>
      <c r="N7" s="20">
        <f> (1 / ($D$54 * SQRT(2 * PI()))) * EXP((-1) * (POWER(M7 - $B$54, 2) / (POWER($D$54,2) * 2)))</f>
        <v>1.937718943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8">
        <v>5.0</v>
      </c>
      <c r="C8" s="9">
        <f t="shared" si="1"/>
        <v>0.04488</v>
      </c>
      <c r="D8" s="10">
        <f t="shared" si="2"/>
        <v>0.0020142144</v>
      </c>
      <c r="E8" s="3"/>
      <c r="F8" s="18" t="s">
        <v>11</v>
      </c>
      <c r="G8" s="3"/>
      <c r="H8" s="3"/>
      <c r="I8" s="3"/>
      <c r="J8" s="15">
        <f>J7 + $H$3</f>
        <v>4.871714286</v>
      </c>
      <c r="K8" s="16"/>
      <c r="L8" s="17"/>
      <c r="M8" s="16"/>
      <c r="N8" s="1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8">
        <v>5.001</v>
      </c>
      <c r="C9" s="9">
        <f t="shared" si="1"/>
        <v>0.04588</v>
      </c>
      <c r="D9" s="10">
        <f t="shared" si="2"/>
        <v>0.0021049744</v>
      </c>
      <c r="E9" s="3"/>
      <c r="F9" s="3"/>
      <c r="G9" s="3"/>
      <c r="H9" s="3"/>
      <c r="I9" s="3"/>
      <c r="J9" s="19">
        <f>J8</f>
        <v>4.871714286</v>
      </c>
      <c r="K9" s="12">
        <f>COUNTIFS($B$2:$B$52,"&lt;"&amp;J10,$B$2:$B$52,"&gt;="&amp;J9)</f>
        <v>15</v>
      </c>
      <c r="L9" s="20">
        <f>K9 / ($K$17 * $H$3)</f>
        <v>3.633217993</v>
      </c>
      <c r="M9" s="14">
        <f>AVERAGE(J9:J10)</f>
        <v>4.913</v>
      </c>
      <c r="N9" s="20">
        <f> (1 / ($D$54 * SQRT(2 * PI()))) * EXP((-1) * (POWER(M9 - $B$54, 2) / (POWER($D$54,2) * 2)))</f>
        <v>2.919554849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8">
        <v>4.901</v>
      </c>
      <c r="C10" s="9">
        <f t="shared" si="1"/>
        <v>-0.05412</v>
      </c>
      <c r="D10" s="10">
        <f t="shared" si="2"/>
        <v>0.0029289744</v>
      </c>
      <c r="E10" s="3"/>
      <c r="F10" s="3"/>
      <c r="G10" s="3"/>
      <c r="H10" s="3"/>
      <c r="I10" s="3"/>
      <c r="J10" s="15">
        <f>J9 + $H$3</f>
        <v>4.954285714</v>
      </c>
      <c r="K10" s="16"/>
      <c r="L10" s="17"/>
      <c r="M10" s="16"/>
      <c r="N10" s="1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8">
        <v>4.951</v>
      </c>
      <c r="C11" s="9">
        <f t="shared" si="1"/>
        <v>-0.00412</v>
      </c>
      <c r="D11" s="10">
        <f t="shared" si="2"/>
        <v>0.0000169744</v>
      </c>
      <c r="E11" s="3"/>
      <c r="F11" s="3"/>
      <c r="G11" s="3"/>
      <c r="H11" s="3"/>
      <c r="I11" s="3"/>
      <c r="J11" s="19">
        <f>J10</f>
        <v>4.954285714</v>
      </c>
      <c r="K11" s="12">
        <f>COUNTIFS($B$2:$B$52,"&lt;"&amp;J12,$B$2:$B$52,"&gt;="&amp;J11)</f>
        <v>8</v>
      </c>
      <c r="L11" s="20">
        <f>K11 / ($K$17 * $H$3)</f>
        <v>1.937716263</v>
      </c>
      <c r="M11" s="14">
        <f>AVERAGE(J11:J12)</f>
        <v>4.995571429</v>
      </c>
      <c r="N11" s="20">
        <f> (1 / ($D$54 * SQRT(2 * PI()))) * EXP((-1) * (POWER(M11 - $B$54, 2) / (POWER($D$54,2) * 2)))</f>
        <v>2.931550535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8">
        <v>5.002</v>
      </c>
      <c r="C12" s="9">
        <f t="shared" si="1"/>
        <v>0.04688</v>
      </c>
      <c r="D12" s="10">
        <f t="shared" si="2"/>
        <v>0.0021977344</v>
      </c>
      <c r="E12" s="3"/>
      <c r="F12" s="3"/>
      <c r="G12" s="3"/>
      <c r="H12" s="3"/>
      <c r="I12" s="3"/>
      <c r="J12" s="21">
        <f>J11 + $H$3</f>
        <v>5.036857143</v>
      </c>
      <c r="K12" s="16"/>
      <c r="L12" s="17"/>
      <c r="M12" s="16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8">
        <v>5.001</v>
      </c>
      <c r="C13" s="9">
        <f t="shared" si="1"/>
        <v>0.04588</v>
      </c>
      <c r="D13" s="10">
        <f t="shared" si="2"/>
        <v>0.0021049744</v>
      </c>
      <c r="E13" s="3"/>
      <c r="F13" s="3"/>
      <c r="G13" s="3"/>
      <c r="H13" s="3"/>
      <c r="I13" s="3"/>
      <c r="J13" s="19">
        <f>J12</f>
        <v>5.036857143</v>
      </c>
      <c r="K13" s="12">
        <f>COUNTIFS($B$2:$B$52,"&lt;"&amp;J14,$B$2:$B$52,"&gt;="&amp;J13)</f>
        <v>11</v>
      </c>
      <c r="L13" s="20">
        <f>K13 / ($K$17 * $H$3)</f>
        <v>2.664359862</v>
      </c>
      <c r="M13" s="14">
        <f>AVERAGE(J13:J14)</f>
        <v>5.078142857</v>
      </c>
      <c r="N13" s="20">
        <f> (1 / ($D$54 * SQRT(2 * PI()))) * EXP((-1) * (POWER(M13 - $B$54, 2) / (POWER($D$54,2) * 2)))</f>
        <v>1.961701952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8">
        <v>4.952</v>
      </c>
      <c r="C14" s="9">
        <f t="shared" si="1"/>
        <v>-0.00312</v>
      </c>
      <c r="D14" s="10">
        <f t="shared" si="2"/>
        <v>0.0000097344</v>
      </c>
      <c r="E14" s="3"/>
      <c r="F14" s="3"/>
      <c r="G14" s="3"/>
      <c r="H14" s="3"/>
      <c r="I14" s="3"/>
      <c r="J14" s="21">
        <f>J13 + $H$3</f>
        <v>5.119428571</v>
      </c>
      <c r="K14" s="16"/>
      <c r="L14" s="17"/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8">
        <v>4.951</v>
      </c>
      <c r="C15" s="9">
        <f t="shared" si="1"/>
        <v>-0.00412</v>
      </c>
      <c r="D15" s="10">
        <f t="shared" si="2"/>
        <v>0.0000169744</v>
      </c>
      <c r="E15" s="3"/>
      <c r="F15" s="3"/>
      <c r="G15" s="3"/>
      <c r="H15" s="3"/>
      <c r="I15" s="3"/>
      <c r="J15" s="19">
        <f>J14</f>
        <v>5.119428571</v>
      </c>
      <c r="K15" s="12">
        <f>COUNTIFS($B$2:$B$52,"&lt;="&amp;J16,$B$2:$B$52,"&gt;="&amp;J15)</f>
        <v>4</v>
      </c>
      <c r="L15" s="20">
        <f>K15 / ($K$17 * $H$3)</f>
        <v>0.9688581315</v>
      </c>
      <c r="M15" s="14">
        <f>AVERAGE(J15:J16)</f>
        <v>5.160714286</v>
      </c>
      <c r="N15" s="20">
        <f> (1 / ($D$54 * SQRT(2 * PI()))) * EXP((-1) * (POWER(M15 - $B$54, 2) / (POWER($D$54,2) * 2)))</f>
        <v>0.8748297756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8">
        <v>4.951</v>
      </c>
      <c r="C16" s="9">
        <f t="shared" si="1"/>
        <v>-0.00412</v>
      </c>
      <c r="D16" s="10">
        <f t="shared" si="2"/>
        <v>0.0000169744</v>
      </c>
      <c r="E16" s="3"/>
      <c r="F16" s="3"/>
      <c r="G16" s="3"/>
      <c r="H16" s="3"/>
      <c r="I16" s="3"/>
      <c r="J16" s="22">
        <f>J15 + $H$3</f>
        <v>5.202</v>
      </c>
      <c r="K16" s="16"/>
      <c r="L16" s="23"/>
      <c r="M16" s="16"/>
      <c r="N16" s="2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8">
        <v>4.951</v>
      </c>
      <c r="C17" s="9">
        <f t="shared" si="1"/>
        <v>-0.00412</v>
      </c>
      <c r="D17" s="10">
        <f t="shared" si="2"/>
        <v>0.0000169744</v>
      </c>
      <c r="E17" s="3"/>
      <c r="F17" s="3"/>
      <c r="G17" s="3"/>
      <c r="H17" s="3"/>
      <c r="I17" s="3"/>
      <c r="J17" s="3"/>
      <c r="K17" s="24">
        <f>SUM(K3:K16)</f>
        <v>50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8">
        <v>4.951</v>
      </c>
      <c r="C18" s="9">
        <f t="shared" si="1"/>
        <v>-0.00412</v>
      </c>
      <c r="D18" s="10">
        <f t="shared" si="2"/>
        <v>0.0000169744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8">
        <v>5.003</v>
      </c>
      <c r="C19" s="9">
        <f t="shared" si="1"/>
        <v>0.04788</v>
      </c>
      <c r="D19" s="10">
        <f t="shared" si="2"/>
        <v>0.0022924944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8">
        <v>5.051</v>
      </c>
      <c r="C20" s="9">
        <f t="shared" si="1"/>
        <v>0.09588</v>
      </c>
      <c r="D20" s="10">
        <f t="shared" si="2"/>
        <v>0.0091929744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8">
        <v>5.05</v>
      </c>
      <c r="C21" s="9">
        <f t="shared" si="1"/>
        <v>0.09488</v>
      </c>
      <c r="D21" s="10">
        <f t="shared" si="2"/>
        <v>0.0090022144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8">
        <v>5.201</v>
      </c>
      <c r="C22" s="9">
        <f t="shared" si="1"/>
        <v>0.24588</v>
      </c>
      <c r="D22" s="10">
        <f t="shared" si="2"/>
        <v>0.0604569744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8">
        <v>4.851</v>
      </c>
      <c r="C23" s="9">
        <f t="shared" si="1"/>
        <v>-0.10412</v>
      </c>
      <c r="D23" s="10">
        <f t="shared" si="2"/>
        <v>0.0108409744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8">
        <v>5.001</v>
      </c>
      <c r="C24" s="9">
        <f t="shared" si="1"/>
        <v>0.04588</v>
      </c>
      <c r="D24" s="10">
        <f t="shared" si="2"/>
        <v>0.0021049744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8">
        <v>4.902</v>
      </c>
      <c r="C25" s="9">
        <f t="shared" si="1"/>
        <v>-0.05312</v>
      </c>
      <c r="D25" s="10">
        <f t="shared" si="2"/>
        <v>0.0028217344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8">
        <v>4.651</v>
      </c>
      <c r="C26" s="9">
        <f t="shared" si="1"/>
        <v>-0.30412</v>
      </c>
      <c r="D26" s="10">
        <f t="shared" si="2"/>
        <v>0.0924889744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8">
        <v>5.051</v>
      </c>
      <c r="C27" s="9">
        <f t="shared" si="1"/>
        <v>0.09588</v>
      </c>
      <c r="D27" s="10">
        <f t="shared" si="2"/>
        <v>0.0091929744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8">
        <v>5.202</v>
      </c>
      <c r="C28" s="9">
        <f t="shared" si="1"/>
        <v>0.24688</v>
      </c>
      <c r="D28" s="10">
        <f t="shared" si="2"/>
        <v>0.0609497344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8">
        <v>4.851</v>
      </c>
      <c r="C29" s="9">
        <f t="shared" si="1"/>
        <v>-0.10412</v>
      </c>
      <c r="D29" s="10">
        <f t="shared" si="2"/>
        <v>0.0108409744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8">
        <v>4.951</v>
      </c>
      <c r="C30" s="9">
        <f t="shared" si="1"/>
        <v>-0.00412</v>
      </c>
      <c r="D30" s="10">
        <f t="shared" si="2"/>
        <v>0.0000169744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8">
        <v>4.624</v>
      </c>
      <c r="C31" s="9">
        <f t="shared" si="1"/>
        <v>-0.33112</v>
      </c>
      <c r="D31" s="10">
        <f t="shared" si="2"/>
        <v>0.1096404544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8">
        <v>4.851</v>
      </c>
      <c r="C32" s="9">
        <f t="shared" si="1"/>
        <v>-0.10412</v>
      </c>
      <c r="D32" s="10">
        <f t="shared" si="2"/>
        <v>0.0108409744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8">
        <v>4.9</v>
      </c>
      <c r="C33" s="9">
        <f t="shared" si="1"/>
        <v>-0.05512</v>
      </c>
      <c r="D33" s="10">
        <f t="shared" si="2"/>
        <v>0.0030382144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8">
        <v>5.001</v>
      </c>
      <c r="C34" s="9">
        <f t="shared" si="1"/>
        <v>0.04588</v>
      </c>
      <c r="D34" s="10">
        <f t="shared" si="2"/>
        <v>0.0021049744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8">
        <v>5.151</v>
      </c>
      <c r="C35" s="9">
        <f t="shared" si="1"/>
        <v>0.19588</v>
      </c>
      <c r="D35" s="10">
        <f t="shared" si="2"/>
        <v>0.0383689744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8">
        <v>4.851</v>
      </c>
      <c r="C36" s="9">
        <f t="shared" si="1"/>
        <v>-0.10412</v>
      </c>
      <c r="D36" s="10">
        <f t="shared" si="2"/>
        <v>0.0108409744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/>
      <c r="B37" s="8">
        <v>5.05</v>
      </c>
      <c r="C37" s="9">
        <f t="shared" si="1"/>
        <v>0.09488</v>
      </c>
      <c r="D37" s="10">
        <f t="shared" si="2"/>
        <v>0.0090022144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/>
      <c r="B38" s="8">
        <v>5.101</v>
      </c>
      <c r="C38" s="9">
        <f t="shared" si="1"/>
        <v>0.14588</v>
      </c>
      <c r="D38" s="10">
        <f t="shared" si="2"/>
        <v>0.0212809744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/>
      <c r="B39" s="8">
        <v>5.052</v>
      </c>
      <c r="C39" s="9">
        <f t="shared" si="1"/>
        <v>0.09688</v>
      </c>
      <c r="D39" s="10">
        <f t="shared" si="2"/>
        <v>0.0093857344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/>
      <c r="B40" s="8">
        <v>4.95</v>
      </c>
      <c r="C40" s="9">
        <f t="shared" si="1"/>
        <v>-0.00512</v>
      </c>
      <c r="D40" s="10">
        <f t="shared" si="2"/>
        <v>0.0000262144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/>
      <c r="B41" s="8">
        <v>5.052</v>
      </c>
      <c r="C41" s="9">
        <f t="shared" si="1"/>
        <v>0.09688</v>
      </c>
      <c r="D41" s="10">
        <f t="shared" si="2"/>
        <v>0.0093857344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/>
      <c r="B42" s="8">
        <v>4.952</v>
      </c>
      <c r="C42" s="9">
        <f t="shared" si="1"/>
        <v>-0.00312</v>
      </c>
      <c r="D42" s="10">
        <f t="shared" si="2"/>
        <v>0.0000097344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/>
      <c r="B43" s="8">
        <v>5.101</v>
      </c>
      <c r="C43" s="9">
        <f t="shared" si="1"/>
        <v>0.14588</v>
      </c>
      <c r="D43" s="10">
        <f t="shared" si="2"/>
        <v>0.0212809744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/>
      <c r="B44" s="8">
        <v>4.802</v>
      </c>
      <c r="C44" s="9">
        <f t="shared" si="1"/>
        <v>-0.15312</v>
      </c>
      <c r="D44" s="10">
        <f t="shared" si="2"/>
        <v>0.0234457344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/>
      <c r="B45" s="8">
        <v>4.901</v>
      </c>
      <c r="C45" s="9">
        <f t="shared" si="1"/>
        <v>-0.05412</v>
      </c>
      <c r="D45" s="10">
        <f t="shared" si="2"/>
        <v>0.0029289744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5"/>
      <c r="B46" s="26">
        <v>4.761</v>
      </c>
      <c r="C46" s="9">
        <f t="shared" si="1"/>
        <v>-0.19412</v>
      </c>
      <c r="D46" s="10">
        <f t="shared" si="2"/>
        <v>0.0376825744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5"/>
      <c r="B47" s="26">
        <v>5.063</v>
      </c>
      <c r="C47" s="9">
        <f t="shared" si="1"/>
        <v>0.10788</v>
      </c>
      <c r="D47" s="10">
        <f t="shared" si="2"/>
        <v>0.0116380944</v>
      </c>
      <c r="E47" s="3"/>
      <c r="F47" s="3"/>
      <c r="G47" s="3"/>
      <c r="H47" s="27" t="s">
        <v>12</v>
      </c>
      <c r="I47" s="28" t="s">
        <v>13</v>
      </c>
      <c r="J47" s="29"/>
      <c r="K47" s="27" t="s">
        <v>14</v>
      </c>
      <c r="L47" s="27" t="s">
        <v>15</v>
      </c>
      <c r="M47" s="27" t="s">
        <v>16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5"/>
      <c r="B48" s="26">
        <v>5.089</v>
      </c>
      <c r="C48" s="9">
        <f t="shared" si="1"/>
        <v>0.13388</v>
      </c>
      <c r="D48" s="10">
        <f t="shared" si="2"/>
        <v>0.0179238544</v>
      </c>
      <c r="E48" s="3"/>
      <c r="F48" s="3"/>
      <c r="G48" s="3"/>
      <c r="H48" s="30"/>
      <c r="I48" s="31" t="s">
        <v>17</v>
      </c>
      <c r="J48" s="31" t="s">
        <v>18</v>
      </c>
      <c r="K48" s="30"/>
      <c r="L48" s="30"/>
      <c r="M48" s="30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5"/>
      <c r="B49" s="26">
        <v>4.764</v>
      </c>
      <c r="C49" s="9">
        <f t="shared" si="1"/>
        <v>-0.19112</v>
      </c>
      <c r="D49" s="10">
        <f t="shared" si="2"/>
        <v>0.0365268544</v>
      </c>
      <c r="E49" s="3"/>
      <c r="F49" s="3"/>
      <c r="G49" s="3"/>
      <c r="H49" s="32" t="s">
        <v>19</v>
      </c>
      <c r="I49" s="33">
        <f>$B$54 - $D$54</f>
        <v>4.825502566</v>
      </c>
      <c r="J49" s="33">
        <f>$B$54 + $D$54</f>
        <v>5.084737434</v>
      </c>
      <c r="K49" s="34">
        <f t="shared" ref="K49:K51" si="3">COUNTIFS($B$3:$B$52,"&lt;="&amp;J49, $B$3:$B$52, "&gt;="&amp;I49) </f>
        <v>35</v>
      </c>
      <c r="L49" s="33">
        <f t="shared" ref="L49:L51" si="4">K49 / 50</f>
        <v>0.7</v>
      </c>
      <c r="M49" s="32">
        <v>0.683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5"/>
      <c r="B50" s="26">
        <v>4.981</v>
      </c>
      <c r="C50" s="9">
        <f t="shared" si="1"/>
        <v>0.02588</v>
      </c>
      <c r="D50" s="10">
        <f t="shared" si="2"/>
        <v>0.0006697744</v>
      </c>
      <c r="E50" s="3"/>
      <c r="F50" s="3"/>
      <c r="G50" s="3"/>
      <c r="H50" s="32" t="s">
        <v>20</v>
      </c>
      <c r="I50" s="33">
        <f>$B$54 - 2 *$D$54</f>
        <v>4.695885132</v>
      </c>
      <c r="J50" s="33">
        <f>$B$54 + 2 *$D$54</f>
        <v>5.214354868</v>
      </c>
      <c r="K50" s="34">
        <f t="shared" si="3"/>
        <v>48</v>
      </c>
      <c r="L50" s="33">
        <f t="shared" si="4"/>
        <v>0.96</v>
      </c>
      <c r="M50" s="32">
        <v>0.954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5"/>
      <c r="B51" s="26">
        <v>5.055</v>
      </c>
      <c r="C51" s="9">
        <f t="shared" si="1"/>
        <v>0.09988</v>
      </c>
      <c r="D51" s="10">
        <f t="shared" si="2"/>
        <v>0.0099760144</v>
      </c>
      <c r="E51" s="3"/>
      <c r="F51" s="3"/>
      <c r="G51" s="3"/>
      <c r="H51" s="32" t="s">
        <v>21</v>
      </c>
      <c r="I51" s="33">
        <f>$B$54 - 3 *$D$54</f>
        <v>4.566267698</v>
      </c>
      <c r="J51" s="33">
        <f>$B$54 + 3 *$D$54</f>
        <v>5.343972302</v>
      </c>
      <c r="K51" s="34">
        <f t="shared" si="3"/>
        <v>50</v>
      </c>
      <c r="L51" s="33">
        <f t="shared" si="4"/>
        <v>1</v>
      </c>
      <c r="M51" s="32">
        <v>0.997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5"/>
      <c r="B52" s="26">
        <v>4.77</v>
      </c>
      <c r="C52" s="9">
        <f t="shared" si="1"/>
        <v>-0.18512</v>
      </c>
      <c r="D52" s="10">
        <f t="shared" si="2"/>
        <v>0.0342694144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5" t="s">
        <v>22</v>
      </c>
      <c r="C53" s="36" t="s">
        <v>23</v>
      </c>
      <c r="D53" s="35" t="s">
        <v>24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10">
        <f>AVERAGE(B3:B52)</f>
        <v>4.95512</v>
      </c>
      <c r="C54" s="10">
        <f>SUM(C3:C52)</f>
        <v>0</v>
      </c>
      <c r="D54" s="10">
        <f>SQRT(SUM(D3:D52) / 49)</f>
        <v>0.1296174339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7" t="s">
        <v>25</v>
      </c>
      <c r="C55" s="38"/>
      <c r="D55" s="29"/>
      <c r="E55" s="3"/>
      <c r="F55" s="3"/>
      <c r="G55" s="3"/>
      <c r="H55" s="6" t="s">
        <v>26</v>
      </c>
      <c r="I55" s="3"/>
      <c r="J55" s="39" t="s">
        <v>27</v>
      </c>
      <c r="K55" s="39" t="s">
        <v>28</v>
      </c>
      <c r="L55" s="39" t="s">
        <v>22</v>
      </c>
      <c r="M55" s="39" t="s">
        <v>29</v>
      </c>
      <c r="N55" s="39" t="s">
        <v>30</v>
      </c>
      <c r="O55" s="39" t="s">
        <v>31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40">
        <f> 1 / (D54 * SQRT(2 * PI()))</f>
        <v>3.077844301</v>
      </c>
      <c r="C56" s="38"/>
      <c r="D56" s="29"/>
      <c r="E56" s="18"/>
      <c r="F56" s="3"/>
      <c r="G56" s="3"/>
      <c r="H56" s="10">
        <f>SQRT((SUM(D3:D52) / (49 * 50)))</f>
        <v>0.0183306733</v>
      </c>
      <c r="I56" s="3"/>
      <c r="J56" s="41">
        <f>J58/H56</f>
        <v>13.46759041</v>
      </c>
      <c r="K56" s="10">
        <f>L56 - J58</f>
        <v>4.70825</v>
      </c>
      <c r="L56" s="10">
        <f>B54</f>
        <v>4.95512</v>
      </c>
      <c r="M56" s="10">
        <f>L56+J58</f>
        <v>5.20199</v>
      </c>
      <c r="N56" s="41">
        <f>COUNTIFS($B$3:$B$52,"&lt;="&amp;M56, $B$3:$B$52, "&gt;="&amp;K56) / 50</f>
        <v>0.94</v>
      </c>
      <c r="O56" s="42">
        <v>0.95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5" t="s">
        <v>32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42">
        <v>0.24687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4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4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9" t="s">
        <v>22</v>
      </c>
      <c r="C67" s="10">
        <f>B54</f>
        <v>4.95512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9" t="s">
        <v>24</v>
      </c>
      <c r="C68" s="10">
        <f>D54</f>
        <v>0.1296174339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9" t="s">
        <v>25</v>
      </c>
      <c r="C69" s="10">
        <f>B56</f>
        <v>3.077844301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9" t="s">
        <v>26</v>
      </c>
      <c r="C70" s="10">
        <f>H56</f>
        <v>0.0183306733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5" t="s">
        <v>32</v>
      </c>
      <c r="C71" s="44">
        <f>J58</f>
        <v>0.24687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9" t="s">
        <v>27</v>
      </c>
      <c r="C72" s="41">
        <f>J56</f>
        <v>13.46759041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35">
    <mergeCell ref="K3:K4"/>
    <mergeCell ref="L3:L4"/>
    <mergeCell ref="M3:M4"/>
    <mergeCell ref="N3:N4"/>
    <mergeCell ref="L5:L6"/>
    <mergeCell ref="M5:M6"/>
    <mergeCell ref="N5:N6"/>
    <mergeCell ref="M9:M10"/>
    <mergeCell ref="N9:N10"/>
    <mergeCell ref="K5:K6"/>
    <mergeCell ref="K7:K8"/>
    <mergeCell ref="L7:L8"/>
    <mergeCell ref="M7:M8"/>
    <mergeCell ref="N7:N8"/>
    <mergeCell ref="K9:K10"/>
    <mergeCell ref="L9:L10"/>
    <mergeCell ref="K11:K12"/>
    <mergeCell ref="L11:L12"/>
    <mergeCell ref="M11:M12"/>
    <mergeCell ref="N11:N12"/>
    <mergeCell ref="L13:L14"/>
    <mergeCell ref="M13:M14"/>
    <mergeCell ref="N13:N14"/>
    <mergeCell ref="K47:K48"/>
    <mergeCell ref="L47:L48"/>
    <mergeCell ref="B55:D55"/>
    <mergeCell ref="B56:D56"/>
    <mergeCell ref="K13:K14"/>
    <mergeCell ref="K15:K16"/>
    <mergeCell ref="L15:L16"/>
    <mergeCell ref="M15:M16"/>
    <mergeCell ref="N15:N16"/>
    <mergeCell ref="H47:H48"/>
    <mergeCell ref="I47:J47"/>
    <mergeCell ref="M47:M48"/>
  </mergeCells>
  <conditionalFormatting sqref="L49">
    <cfRule type="cellIs" dxfId="0" priority="1" operator="greaterThanOrEqual">
      <formula>0.683</formula>
    </cfRule>
  </conditionalFormatting>
  <conditionalFormatting sqref="L50">
    <cfRule type="cellIs" dxfId="0" priority="2" operator="greaterThanOrEqual">
      <formula>0.954</formula>
    </cfRule>
  </conditionalFormatting>
  <conditionalFormatting sqref="L51">
    <cfRule type="cellIs" dxfId="0" priority="3" operator="greaterThanOrEqual">
      <formula>0.997</formula>
    </cfRule>
  </conditionalFormatting>
  <drawing r:id="rId1"/>
</worksheet>
</file>