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226"/>
  <workbookPr showInkAnnotation="0" autoCompressPictures="0"/>
  <bookViews>
    <workbookView xWindow="300" yWindow="0" windowWidth="24840" windowHeight="14140" tabRatio="500" activeTab="4"/>
  </bookViews>
  <sheets>
    <sheet name="LNG details" sheetId="1" r:id="rId1"/>
    <sheet name="2016 PSIP" sheetId="5" r:id="rId2"/>
    <sheet name="multi-fuel forecasts" sheetId="2" r:id="rId3"/>
    <sheet name="EIA AEO 2015" sheetId="4" r:id="rId4"/>
    <sheet name="EIA-derived" sheetId="3" r:id="rId5"/>
  </sheets>
  <definedNames>
    <definedName name="Adjusted_EIA_Forecast">'EIA-derived'!$A$61:$AU$69</definedName>
    <definedName name="Fuel_Properties">'EIA-derived'!$A$74:$D$86</definedName>
    <definedName name="Fuel_Ranks">'EIA-derived'!$A$74:$B$82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61" i="3" l="1"/>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C61"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AQ62" i="3"/>
  <c r="AR62" i="3"/>
  <c r="AS62" i="3"/>
  <c r="AT62" i="3"/>
  <c r="AU62"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AQ64" i="3"/>
  <c r="AR64" i="3"/>
  <c r="AS64" i="3"/>
  <c r="AT64" i="3"/>
  <c r="AU64"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AQ66" i="3"/>
  <c r="AR66" i="3"/>
  <c r="AS66" i="3"/>
  <c r="AT66" i="3"/>
  <c r="AU66"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AQ67" i="3"/>
  <c r="AR67" i="3"/>
  <c r="AS67" i="3"/>
  <c r="AT67" i="3"/>
  <c r="AU67"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AQ68" i="3"/>
  <c r="AR68" i="3"/>
  <c r="AS68" i="3"/>
  <c r="AT68" i="3"/>
  <c r="AU68"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AQ71" i="3"/>
  <c r="AR71" i="3"/>
  <c r="AS71" i="3"/>
  <c r="AT71" i="3"/>
  <c r="AU71" i="3"/>
  <c r="AJ47" i="3"/>
  <c r="AK47" i="3"/>
  <c r="AL47" i="3"/>
  <c r="AM47" i="3"/>
  <c r="AN47" i="3"/>
  <c r="AO47" i="3"/>
  <c r="AP47" i="3"/>
  <c r="AQ47" i="3"/>
  <c r="AR47" i="3"/>
  <c r="AS47" i="3"/>
  <c r="AT47" i="3"/>
  <c r="AU47" i="3"/>
  <c r="AV47" i="3"/>
  <c r="AW47" i="3"/>
  <c r="AX47" i="3"/>
  <c r="AY47" i="3"/>
  <c r="AZ47" i="3"/>
  <c r="AJ49" i="3"/>
  <c r="AK49" i="3"/>
  <c r="AL49" i="3"/>
  <c r="AM49" i="3"/>
  <c r="AN49" i="3"/>
  <c r="AO49" i="3"/>
  <c r="AP49" i="3"/>
  <c r="AQ49" i="3"/>
  <c r="AR49" i="3"/>
  <c r="AS49" i="3"/>
  <c r="AT49" i="3"/>
  <c r="AU49" i="3"/>
  <c r="AV49" i="3"/>
  <c r="AW49" i="3"/>
  <c r="AX49" i="3"/>
  <c r="AY49" i="3"/>
  <c r="AZ49" i="3"/>
  <c r="AJ50" i="3"/>
  <c r="AK50" i="3"/>
  <c r="AL50" i="3"/>
  <c r="AM50" i="3"/>
  <c r="AN50" i="3"/>
  <c r="AO50" i="3"/>
  <c r="AP50" i="3"/>
  <c r="AQ50" i="3"/>
  <c r="AR50" i="3"/>
  <c r="AS50" i="3"/>
  <c r="AT50" i="3"/>
  <c r="AU50" i="3"/>
  <c r="AV50" i="3"/>
  <c r="AW50" i="3"/>
  <c r="AX50" i="3"/>
  <c r="AY50" i="3"/>
  <c r="AZ50" i="3"/>
  <c r="AJ51" i="3"/>
  <c r="AK51" i="3"/>
  <c r="AL51" i="3"/>
  <c r="AM51" i="3"/>
  <c r="AN51" i="3"/>
  <c r="AO51" i="3"/>
  <c r="AP51" i="3"/>
  <c r="AQ51" i="3"/>
  <c r="AR51" i="3"/>
  <c r="AS51" i="3"/>
  <c r="AT51" i="3"/>
  <c r="AU51" i="3"/>
  <c r="AV51" i="3"/>
  <c r="AW51" i="3"/>
  <c r="AX51" i="3"/>
  <c r="AY51" i="3"/>
  <c r="AZ51" i="3"/>
  <c r="AJ52" i="3"/>
  <c r="AK52" i="3"/>
  <c r="AL52" i="3"/>
  <c r="AM52" i="3"/>
  <c r="AN52" i="3"/>
  <c r="AO52" i="3"/>
  <c r="AP52" i="3"/>
  <c r="AQ52" i="3"/>
  <c r="AR52" i="3"/>
  <c r="AS52" i="3"/>
  <c r="AT52" i="3"/>
  <c r="AU52" i="3"/>
  <c r="AV52" i="3"/>
  <c r="AW52" i="3"/>
  <c r="AX52" i="3"/>
  <c r="AY52" i="3"/>
  <c r="AZ52" i="3"/>
  <c r="AJ53" i="3"/>
  <c r="AK53" i="3"/>
  <c r="AL53" i="3"/>
  <c r="AM53" i="3"/>
  <c r="AN53" i="3"/>
  <c r="AO53" i="3"/>
  <c r="AP53" i="3"/>
  <c r="AQ53" i="3"/>
  <c r="AR53" i="3"/>
  <c r="AS53" i="3"/>
  <c r="AT53" i="3"/>
  <c r="AU53" i="3"/>
  <c r="AV53" i="3"/>
  <c r="AW53" i="3"/>
  <c r="AX53" i="3"/>
  <c r="AY53" i="3"/>
  <c r="AZ53" i="3"/>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2" i="5"/>
  <c r="Q38" i="5"/>
  <c r="P38" i="5"/>
  <c r="Q37" i="5"/>
  <c r="P37" i="5"/>
  <c r="I7" i="5"/>
  <c r="M6" i="5"/>
  <c r="P7" i="5"/>
  <c r="Q7" i="5"/>
  <c r="I8" i="5"/>
  <c r="P8" i="5"/>
  <c r="Q8" i="5"/>
  <c r="I9" i="5"/>
  <c r="P9" i="5"/>
  <c r="Q9" i="5"/>
  <c r="I10" i="5"/>
  <c r="P10" i="5"/>
  <c r="Q10" i="5"/>
  <c r="I11" i="5"/>
  <c r="P11" i="5"/>
  <c r="Q11" i="5"/>
  <c r="I12" i="5"/>
  <c r="P12" i="5"/>
  <c r="Q12" i="5"/>
  <c r="I13" i="5"/>
  <c r="P13" i="5"/>
  <c r="Q13" i="5"/>
  <c r="I14" i="5"/>
  <c r="P14" i="5"/>
  <c r="Q14" i="5"/>
  <c r="I15" i="5"/>
  <c r="P15" i="5"/>
  <c r="Q15" i="5"/>
  <c r="I16" i="5"/>
  <c r="P16" i="5"/>
  <c r="Q16" i="5"/>
  <c r="I17" i="5"/>
  <c r="P17" i="5"/>
  <c r="Q17" i="5"/>
  <c r="I18" i="5"/>
  <c r="P18" i="5"/>
  <c r="Q18" i="5"/>
  <c r="I19" i="5"/>
  <c r="P19" i="5"/>
  <c r="Q19" i="5"/>
  <c r="I20" i="5"/>
  <c r="P20" i="5"/>
  <c r="Q20" i="5"/>
  <c r="I21" i="5"/>
  <c r="P21" i="5"/>
  <c r="Q21" i="5"/>
  <c r="I22" i="5"/>
  <c r="P22" i="5"/>
  <c r="Q22" i="5"/>
  <c r="I23" i="5"/>
  <c r="P23" i="5"/>
  <c r="Q23" i="5"/>
  <c r="I24" i="5"/>
  <c r="P24" i="5"/>
  <c r="Q24" i="5"/>
  <c r="I25" i="5"/>
  <c r="P25" i="5"/>
  <c r="Q25" i="5"/>
  <c r="I26" i="5"/>
  <c r="P26" i="5"/>
  <c r="Q26" i="5"/>
  <c r="I27" i="5"/>
  <c r="P27" i="5"/>
  <c r="Q27" i="5"/>
  <c r="I28" i="5"/>
  <c r="P28" i="5"/>
  <c r="Q28" i="5"/>
  <c r="I29" i="5"/>
  <c r="P29" i="5"/>
  <c r="Q29" i="5"/>
  <c r="I30" i="5"/>
  <c r="P30" i="5"/>
  <c r="Q30" i="5"/>
  <c r="H31" i="5"/>
  <c r="I31" i="5"/>
  <c r="P31" i="5"/>
  <c r="J31" i="5"/>
  <c r="Q31" i="5"/>
  <c r="H32" i="5"/>
  <c r="I32" i="5"/>
  <c r="P32" i="5"/>
  <c r="J32" i="5"/>
  <c r="Q32" i="5"/>
  <c r="H33" i="5"/>
  <c r="I33" i="5"/>
  <c r="P33" i="5"/>
  <c r="J33" i="5"/>
  <c r="Q33" i="5"/>
  <c r="H34" i="5"/>
  <c r="I34" i="5"/>
  <c r="P34" i="5"/>
  <c r="J34" i="5"/>
  <c r="Q34" i="5"/>
  <c r="H35" i="5"/>
  <c r="I35" i="5"/>
  <c r="P35" i="5"/>
  <c r="J35" i="5"/>
  <c r="Q35" i="5"/>
  <c r="Q6" i="5"/>
  <c r="I6" i="5"/>
  <c r="P6" i="5"/>
  <c r="M7" i="5"/>
  <c r="X7" i="5"/>
  <c r="W7" i="5"/>
  <c r="M8" i="5"/>
  <c r="X8" i="5"/>
  <c r="W8" i="5"/>
  <c r="M9" i="5"/>
  <c r="X9" i="5"/>
  <c r="W9" i="5"/>
  <c r="M10" i="5"/>
  <c r="X10" i="5"/>
  <c r="W10" i="5"/>
  <c r="M11" i="5"/>
  <c r="X11" i="5"/>
  <c r="W11" i="5"/>
  <c r="M12" i="5"/>
  <c r="X12" i="5"/>
  <c r="W12" i="5"/>
  <c r="M13" i="5"/>
  <c r="X13" i="5"/>
  <c r="W13" i="5"/>
  <c r="M14" i="5"/>
  <c r="X14" i="5"/>
  <c r="W14" i="5"/>
  <c r="M15" i="5"/>
  <c r="X15" i="5"/>
  <c r="W15" i="5"/>
  <c r="M16" i="5"/>
  <c r="X16" i="5"/>
  <c r="W16" i="5"/>
  <c r="M17" i="5"/>
  <c r="X17" i="5"/>
  <c r="W17" i="5"/>
  <c r="M18" i="5"/>
  <c r="X18" i="5"/>
  <c r="W18" i="5"/>
  <c r="M19" i="5"/>
  <c r="X19" i="5"/>
  <c r="W19" i="5"/>
  <c r="M20" i="5"/>
  <c r="X20" i="5"/>
  <c r="W20" i="5"/>
  <c r="M21" i="5"/>
  <c r="X21" i="5"/>
  <c r="W21" i="5"/>
  <c r="M22" i="5"/>
  <c r="X22" i="5"/>
  <c r="W22" i="5"/>
  <c r="M23" i="5"/>
  <c r="X23" i="5"/>
  <c r="W23" i="5"/>
  <c r="M24" i="5"/>
  <c r="X24" i="5"/>
  <c r="W24" i="5"/>
  <c r="M25" i="5"/>
  <c r="X25" i="5"/>
  <c r="W25" i="5"/>
  <c r="M26" i="5"/>
  <c r="X26" i="5"/>
  <c r="W26" i="5"/>
  <c r="M27" i="5"/>
  <c r="X27" i="5"/>
  <c r="W27" i="5"/>
  <c r="M28" i="5"/>
  <c r="X28" i="5"/>
  <c r="W28" i="5"/>
  <c r="M29" i="5"/>
  <c r="X29" i="5"/>
  <c r="W29" i="5"/>
  <c r="M30" i="5"/>
  <c r="X30" i="5"/>
  <c r="W30" i="5"/>
  <c r="L31" i="5"/>
  <c r="M31" i="5"/>
  <c r="X31" i="5"/>
  <c r="W31" i="5"/>
  <c r="L32" i="5"/>
  <c r="M32" i="5"/>
  <c r="X32" i="5"/>
  <c r="W32" i="5"/>
  <c r="L33" i="5"/>
  <c r="M33" i="5"/>
  <c r="X33" i="5"/>
  <c r="W33" i="5"/>
  <c r="L34" i="5"/>
  <c r="M34" i="5"/>
  <c r="X34" i="5"/>
  <c r="W34" i="5"/>
  <c r="L35" i="5"/>
  <c r="M35" i="5"/>
  <c r="X35" i="5"/>
  <c r="W35" i="5"/>
  <c r="W6" i="5"/>
  <c r="X6" i="5"/>
  <c r="M4" i="5"/>
  <c r="M5" i="5"/>
  <c r="M3" i="5"/>
  <c r="N4" i="5"/>
  <c r="N5" i="5"/>
  <c r="N3"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F31" i="5"/>
  <c r="U31" i="5"/>
  <c r="S31" i="5"/>
  <c r="P2" i="5"/>
  <c r="S35" i="5"/>
  <c r="S34" i="5"/>
  <c r="S33" i="5"/>
  <c r="S32" i="5"/>
  <c r="S30" i="5"/>
  <c r="S29" i="5"/>
  <c r="S28" i="5"/>
  <c r="S27" i="5"/>
  <c r="S26" i="5"/>
  <c r="S25" i="5"/>
  <c r="S24" i="5"/>
  <c r="S23" i="5"/>
  <c r="S22" i="5"/>
  <c r="S21" i="5"/>
  <c r="S20" i="5"/>
  <c r="S19" i="5"/>
  <c r="S18" i="5"/>
  <c r="S17" i="5"/>
  <c r="S16" i="5"/>
  <c r="S15" i="5"/>
  <c r="S14" i="5"/>
  <c r="S13" i="5"/>
  <c r="S12" i="5"/>
  <c r="S11" i="5"/>
  <c r="S10" i="5"/>
  <c r="S9" i="5"/>
  <c r="S8" i="5"/>
  <c r="S7" i="5"/>
  <c r="S6" i="5"/>
  <c r="F32" i="5"/>
  <c r="U32" i="5"/>
  <c r="F33" i="5"/>
  <c r="U33" i="5"/>
  <c r="F34" i="5"/>
  <c r="U34" i="5"/>
  <c r="F35" i="5"/>
  <c r="U35" i="5"/>
  <c r="E31" i="5"/>
  <c r="E32" i="5"/>
  <c r="E33" i="5"/>
  <c r="E34" i="5"/>
  <c r="E35" i="5"/>
  <c r="U12" i="5"/>
  <c r="U13" i="5"/>
  <c r="U14" i="5"/>
  <c r="U15" i="5"/>
  <c r="U16" i="5"/>
  <c r="U17" i="5"/>
  <c r="U18" i="5"/>
  <c r="U19" i="5"/>
  <c r="U20" i="5"/>
  <c r="U21" i="5"/>
  <c r="U22" i="5"/>
  <c r="U23" i="5"/>
  <c r="U24" i="5"/>
  <c r="U25" i="5"/>
  <c r="U26" i="5"/>
  <c r="U27" i="5"/>
  <c r="U28" i="5"/>
  <c r="U29" i="5"/>
  <c r="U30" i="5"/>
  <c r="U11" i="5"/>
  <c r="S2" i="5"/>
  <c r="U2" i="5"/>
  <c r="Q2"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B51" i="3"/>
  <c r="B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BB52" i="3"/>
  <c r="AG52" i="3"/>
  <c r="AH52" i="3"/>
  <c r="AI52" i="3"/>
  <c r="AF50" i="3"/>
  <c r="G50" i="3"/>
  <c r="BB50" i="3"/>
  <c r="AG50" i="3"/>
  <c r="AH50" i="3"/>
  <c r="AI50" i="3"/>
  <c r="AE50" i="3"/>
  <c r="AD50" i="3"/>
  <c r="AC50" i="3"/>
  <c r="AB50" i="3"/>
  <c r="AA50" i="3"/>
  <c r="Z50" i="3"/>
  <c r="Y50" i="3"/>
  <c r="X50" i="3"/>
  <c r="W50" i="3"/>
  <c r="V50" i="3"/>
  <c r="U50" i="3"/>
  <c r="T50" i="3"/>
  <c r="S50" i="3"/>
  <c r="R50" i="3"/>
  <c r="Q50" i="3"/>
  <c r="P50" i="3"/>
  <c r="O50" i="3"/>
  <c r="N50" i="3"/>
  <c r="M50" i="3"/>
  <c r="L50" i="3"/>
  <c r="K50" i="3"/>
  <c r="J50" i="3"/>
  <c r="I50" i="3"/>
  <c r="H50" i="3"/>
  <c r="AF51" i="3"/>
  <c r="G51" i="3"/>
  <c r="BB51" i="3"/>
  <c r="AG51" i="3"/>
  <c r="AH51" i="3"/>
  <c r="AI51" i="3"/>
  <c r="B53" i="3"/>
  <c r="AF53" i="3"/>
  <c r="G53" i="3"/>
  <c r="BB53" i="3"/>
  <c r="AG53" i="3"/>
  <c r="AH53" i="3"/>
  <c r="AI53" i="3"/>
  <c r="BC50" i="3"/>
  <c r="E50" i="3"/>
  <c r="F50" i="3"/>
  <c r="E51" i="3"/>
  <c r="F51" i="3"/>
  <c r="H51" i="3"/>
  <c r="I51" i="3"/>
  <c r="J51" i="3"/>
  <c r="K51" i="3"/>
  <c r="L51" i="3"/>
  <c r="M51" i="3"/>
  <c r="N51" i="3"/>
  <c r="O51" i="3"/>
  <c r="P51" i="3"/>
  <c r="Q51" i="3"/>
  <c r="R51" i="3"/>
  <c r="S51" i="3"/>
  <c r="T51" i="3"/>
  <c r="U51" i="3"/>
  <c r="V51" i="3"/>
  <c r="W51" i="3"/>
  <c r="X51" i="3"/>
  <c r="Y51" i="3"/>
  <c r="Z51" i="3"/>
  <c r="AA51" i="3"/>
  <c r="AB51" i="3"/>
  <c r="AC51" i="3"/>
  <c r="AD51" i="3"/>
  <c r="AE51" i="3"/>
  <c r="E53" i="3"/>
  <c r="F53" i="3"/>
  <c r="H53" i="3"/>
  <c r="I53" i="3"/>
  <c r="J53" i="3"/>
  <c r="K53" i="3"/>
  <c r="L53" i="3"/>
  <c r="M53" i="3"/>
  <c r="N53" i="3"/>
  <c r="O53" i="3"/>
  <c r="P53" i="3"/>
  <c r="Q53" i="3"/>
  <c r="R53" i="3"/>
  <c r="S53" i="3"/>
  <c r="T53" i="3"/>
  <c r="U53" i="3"/>
  <c r="V53" i="3"/>
  <c r="W53" i="3"/>
  <c r="X53" i="3"/>
  <c r="Y53" i="3"/>
  <c r="Z53" i="3"/>
  <c r="AA53" i="3"/>
  <c r="AB53" i="3"/>
  <c r="AC53" i="3"/>
  <c r="AD53" i="3"/>
  <c r="AE53" i="3"/>
  <c r="D51" i="3"/>
  <c r="D53" i="3"/>
  <c r="D50" i="3"/>
  <c r="A51" i="3"/>
  <c r="A53" i="3"/>
  <c r="A50" i="3"/>
  <c r="D77" i="3"/>
  <c r="A76" i="3"/>
  <c r="A77" i="3"/>
  <c r="A78" i="3"/>
  <c r="A79" i="3"/>
  <c r="A80" i="3"/>
  <c r="A81" i="3"/>
  <c r="A82" i="3"/>
  <c r="A75" i="3"/>
  <c r="H47" i="3"/>
  <c r="C68" i="3"/>
  <c r="I47" i="3"/>
  <c r="D68" i="3"/>
  <c r="J47" i="3"/>
  <c r="E68" i="3"/>
  <c r="K47" i="3"/>
  <c r="F68" i="3"/>
  <c r="L47" i="3"/>
  <c r="G68" i="3"/>
  <c r="M47" i="3"/>
  <c r="H68" i="3"/>
  <c r="N47" i="3"/>
  <c r="I68" i="3"/>
  <c r="O47" i="3"/>
  <c r="J68" i="3"/>
  <c r="P47" i="3"/>
  <c r="K68" i="3"/>
  <c r="Q47" i="3"/>
  <c r="L68" i="3"/>
  <c r="R47" i="3"/>
  <c r="M68" i="3"/>
  <c r="S47" i="3"/>
  <c r="N68" i="3"/>
  <c r="T47" i="3"/>
  <c r="O68" i="3"/>
  <c r="U47" i="3"/>
  <c r="P68" i="3"/>
  <c r="V47" i="3"/>
  <c r="W47" i="3"/>
  <c r="X47" i="3"/>
  <c r="Y47" i="3"/>
  <c r="Z47" i="3"/>
  <c r="AA47" i="3"/>
  <c r="AB47" i="3"/>
  <c r="AC47" i="3"/>
  <c r="AD47" i="3"/>
  <c r="AE47" i="3"/>
  <c r="AF47" i="3"/>
  <c r="AG47" i="3"/>
  <c r="AH47" i="3"/>
  <c r="AI47" i="3"/>
  <c r="B68" i="3"/>
  <c r="D11" i="1"/>
  <c r="E6" i="1"/>
  <c r="E7" i="1"/>
  <c r="E8" i="1"/>
  <c r="E11" i="1"/>
  <c r="C33" i="3"/>
  <c r="C39" i="3"/>
  <c r="D33" i="3"/>
  <c r="D39" i="3"/>
  <c r="E33" i="3"/>
  <c r="E39" i="3"/>
  <c r="B39" i="3"/>
  <c r="C34" i="3"/>
  <c r="C40" i="3"/>
  <c r="D34" i="3"/>
  <c r="D40" i="3"/>
  <c r="E34" i="3"/>
  <c r="E40" i="3"/>
  <c r="B40" i="3"/>
  <c r="E57" i="3"/>
  <c r="B4" i="1"/>
  <c r="E58" i="3"/>
  <c r="E42" i="3"/>
  <c r="B42" i="3"/>
  <c r="F21" i="3"/>
  <c r="G21" i="3"/>
  <c r="H21" i="3"/>
  <c r="H23" i="3"/>
  <c r="H22" i="3"/>
  <c r="H24" i="3"/>
  <c r="I21" i="3"/>
  <c r="I23" i="3"/>
  <c r="I22" i="3"/>
  <c r="I24" i="3"/>
  <c r="J21" i="3"/>
  <c r="J23" i="3"/>
  <c r="J22" i="3"/>
  <c r="J24" i="3"/>
  <c r="K21" i="3"/>
  <c r="K23" i="3"/>
  <c r="K22" i="3"/>
  <c r="K24" i="3"/>
  <c r="L21" i="3"/>
  <c r="L23" i="3"/>
  <c r="L22" i="3"/>
  <c r="L24" i="3"/>
  <c r="B43" i="3"/>
  <c r="AG49" i="3"/>
  <c r="AH49" i="3"/>
  <c r="AI49" i="3"/>
  <c r="C69" i="3"/>
  <c r="D69" i="3"/>
  <c r="E69" i="3"/>
  <c r="F69" i="3"/>
  <c r="G69" i="3"/>
  <c r="H69" i="3"/>
  <c r="I69" i="3"/>
  <c r="J69" i="3"/>
  <c r="K69" i="3"/>
  <c r="L69" i="3"/>
  <c r="M69" i="3"/>
  <c r="N69" i="3"/>
  <c r="O69" i="3"/>
  <c r="P69" i="3"/>
  <c r="B69" i="3"/>
  <c r="E23" i="3"/>
  <c r="F23" i="3"/>
  <c r="G23" i="3"/>
  <c r="F22" i="3"/>
  <c r="G22" i="3"/>
  <c r="E22" i="3"/>
  <c r="F24" i="3"/>
  <c r="G24" i="3"/>
  <c r="E24" i="3"/>
  <c r="F19" i="3"/>
  <c r="G19" i="3"/>
  <c r="H19" i="3"/>
  <c r="I19" i="3"/>
  <c r="J19" i="3"/>
  <c r="K19" i="3"/>
  <c r="L19" i="3"/>
  <c r="E19" i="3"/>
  <c r="C66" i="3"/>
  <c r="C71" i="3"/>
  <c r="D66" i="3"/>
  <c r="D71" i="3"/>
  <c r="E66" i="3"/>
  <c r="E71" i="3"/>
  <c r="F66" i="3"/>
  <c r="F71" i="3"/>
  <c r="G66" i="3"/>
  <c r="G71" i="3"/>
  <c r="H66" i="3"/>
  <c r="H71" i="3"/>
  <c r="I66" i="3"/>
  <c r="I71" i="3"/>
  <c r="J66" i="3"/>
  <c r="J71" i="3"/>
  <c r="K66" i="3"/>
  <c r="K71" i="3"/>
  <c r="L66" i="3"/>
  <c r="L71" i="3"/>
  <c r="M66" i="3"/>
  <c r="M71" i="3"/>
  <c r="N66" i="3"/>
  <c r="N71" i="3"/>
  <c r="O66" i="3"/>
  <c r="O71" i="3"/>
  <c r="P66" i="3"/>
  <c r="P71" i="3"/>
  <c r="B66" i="3"/>
  <c r="B71" i="3"/>
  <c r="B67" i="3"/>
  <c r="B65" i="3"/>
  <c r="B62" i="3"/>
  <c r="B63" i="3"/>
  <c r="B64" i="3"/>
  <c r="C67" i="3"/>
  <c r="D67" i="3"/>
  <c r="E67" i="3"/>
  <c r="F67" i="3"/>
  <c r="G67" i="3"/>
  <c r="H67" i="3"/>
  <c r="I67" i="3"/>
  <c r="J67" i="3"/>
  <c r="K67" i="3"/>
  <c r="L67" i="3"/>
  <c r="M67" i="3"/>
  <c r="N67" i="3"/>
  <c r="O67" i="3"/>
  <c r="P67" i="3"/>
  <c r="C41" i="3"/>
  <c r="D41" i="3"/>
  <c r="E41" i="3"/>
  <c r="B41" i="3"/>
  <c r="C65" i="3"/>
  <c r="D65" i="3"/>
  <c r="E65" i="3"/>
  <c r="F65" i="3"/>
  <c r="G65" i="3"/>
  <c r="H65" i="3"/>
  <c r="I65" i="3"/>
  <c r="J65" i="3"/>
  <c r="K65" i="3"/>
  <c r="L65" i="3"/>
  <c r="M65" i="3"/>
  <c r="N65" i="3"/>
  <c r="O65" i="3"/>
  <c r="P65" i="3"/>
  <c r="C62" i="3"/>
  <c r="C63" i="3"/>
  <c r="C64" i="3"/>
  <c r="D62" i="3"/>
  <c r="D63" i="3"/>
  <c r="D64" i="3"/>
  <c r="E62" i="3"/>
  <c r="E63" i="3"/>
  <c r="E64" i="3"/>
  <c r="F62" i="3"/>
  <c r="F63" i="3"/>
  <c r="F64" i="3"/>
  <c r="G62" i="3"/>
  <c r="G63" i="3"/>
  <c r="G64" i="3"/>
  <c r="H62" i="3"/>
  <c r="H63" i="3"/>
  <c r="H64" i="3"/>
  <c r="I62" i="3"/>
  <c r="I63" i="3"/>
  <c r="I64" i="3"/>
  <c r="J62" i="3"/>
  <c r="J63" i="3"/>
  <c r="J64" i="3"/>
  <c r="K62" i="3"/>
  <c r="K63" i="3"/>
  <c r="K64" i="3"/>
  <c r="L62" i="3"/>
  <c r="L63" i="3"/>
  <c r="L64" i="3"/>
  <c r="M62" i="3"/>
  <c r="M63" i="3"/>
  <c r="M64" i="3"/>
  <c r="N62" i="3"/>
  <c r="N63" i="3"/>
  <c r="N64" i="3"/>
  <c r="O62" i="3"/>
  <c r="O63" i="3"/>
  <c r="O64" i="3"/>
  <c r="P62" i="3"/>
  <c r="P63" i="3"/>
  <c r="P64" i="3"/>
  <c r="B35" i="3"/>
  <c r="B12" i="3"/>
  <c r="B33" i="3"/>
  <c r="B34" i="3"/>
  <c r="B11" i="3"/>
  <c r="B13" i="3"/>
  <c r="B10" i="3"/>
  <c r="G21" i="2"/>
  <c r="E21" i="2"/>
  <c r="D21" i="2"/>
  <c r="C21" i="2"/>
  <c r="B21" i="2"/>
  <c r="F21" i="2"/>
  <c r="B7" i="1"/>
  <c r="A5" i="2"/>
  <c r="A6" i="2"/>
  <c r="A7" i="2"/>
  <c r="A8" i="2"/>
  <c r="A9" i="2"/>
  <c r="A10" i="2"/>
  <c r="A11" i="2"/>
  <c r="A12" i="2"/>
  <c r="A13" i="2"/>
  <c r="A14" i="2"/>
  <c r="A15" i="2"/>
  <c r="A16" i="2"/>
  <c r="A17" i="2"/>
  <c r="A18" i="2"/>
  <c r="A19" i="2"/>
  <c r="A20" i="2"/>
</calcChain>
</file>

<file path=xl/sharedStrings.xml><?xml version="1.0" encoding="utf-8"?>
<sst xmlns="http://schemas.openxmlformats.org/spreadsheetml/2006/main" count="203" uniqueCount="168">
  <si>
    <t>data from HECO PSIP 2014 p. I-4</t>
  </si>
  <si>
    <t>liquefaction and other services</t>
  </si>
  <si>
    <t>Henry Hub gas commodity</t>
  </si>
  <si>
    <t>shipping</t>
  </si>
  <si>
    <t>FSRU and pipeline</t>
  </si>
  <si>
    <t>2022$/MMBtu</t>
  </si>
  <si>
    <t>max FSRU/pipeline capacity</t>
  </si>
  <si>
    <t>MTPA</t>
  </si>
  <si>
    <t>largest size shown in table, and total costs seem constant for all sizes</t>
  </si>
  <si>
    <t>annual cost</t>
  </si>
  <si>
    <t>approx. avg. of multiple projects</t>
  </si>
  <si>
    <t>2020$ / yr</t>
  </si>
  <si>
    <t>data from Galway Figure 65 p. N-103</t>
  </si>
  <si>
    <t>Btu/ton gas</t>
  </si>
  <si>
    <t>conversion</t>
  </si>
  <si>
    <t>Capacity (MMBtu/year)</t>
  </si>
  <si>
    <t>MMBtu</t>
  </si>
  <si>
    <t>Cost per MMBtu per year (full capacity)</t>
  </si>
  <si>
    <t>http://energy.gov/sites/prod/files/2013/04/f0/LNG_primerupd.pdf p. 9</t>
  </si>
  <si>
    <t>PSIP p. F-5</t>
  </si>
  <si>
    <t>No. 2 Diesel</t>
  </si>
  <si>
    <t>LSFO</t>
  </si>
  <si>
    <t>ULSD</t>
  </si>
  <si>
    <t>Biodiesel</t>
  </si>
  <si>
    <t>LNG</t>
  </si>
  <si>
    <t>IRP</t>
  </si>
  <si>
    <t>Row Labels</t>
  </si>
  <si>
    <t>Biocrude</t>
  </si>
  <si>
    <t>Coal</t>
  </si>
  <si>
    <t>High-Sulfur-Diesel</t>
  </si>
  <si>
    <t>3 - reference</t>
  </si>
  <si>
    <t>2-high</t>
  </si>
  <si>
    <t>nominal, 2.5% inflation</t>
  </si>
  <si>
    <t>Blend 40% (No. 2?)Diesel 60% LSFO Blend</t>
  </si>
  <si>
    <t>&lt;- cont</t>
  </si>
  <si>
    <t>&lt;- bulk</t>
  </si>
  <si>
    <t>Total (2022)</t>
  </si>
  <si>
    <t>avg power production at max throughput (MW)</t>
  </si>
  <si>
    <t>1-low</t>
  </si>
  <si>
    <t>http://www.eia.gov/beta/aeo/#/?id=3-AEO2014&amp;region=1-0&amp;cases=ref2014&amp;start=2011&amp;end=2040&amp;f=L&amp;linechart=3-AEO2014.3.~3-AEO2014.36.~3-AEO2014.37.~3-AEO2014.38.~3-AEO2014.39.&amp;map=&amp;ctype=linechart</t>
  </si>
  <si>
    <t>Energy Prices : Nominal: Electric Power: Distillate Fuel Oil</t>
  </si>
  <si>
    <t>Energy Prices : Nominal: Electric Power: Residual Fuel Oil</t>
  </si>
  <si>
    <t>Energy Prices : Nominal: Electric Power: Natural Gas</t>
  </si>
  <si>
    <t>Energy Prices : Nominal: Electric Power: Steam Coal</t>
  </si>
  <si>
    <t>http://www.eia.gov/beta/aeo/#/?id=3-AEO2015&amp;region=1-0&amp;cases=ref2015&amp;start=2012&amp;end=2040&amp;f=L&amp;linechart=3-AEO2015.3.~3-AEO2015.104.~3-AEO2015.105.~3-AEO2015.106.~3-AEO2015.107.&amp;map=&amp;ctype=linechart</t>
  </si>
  <si>
    <t>HECO fuel prices (Karl Jandoc ECAF spreadsheet)</t>
  </si>
  <si>
    <t>month</t>
  </si>
  <si>
    <t>year</t>
  </si>
  <si>
    <t>sulfwai</t>
  </si>
  <si>
    <t>dieswai</t>
  </si>
  <si>
    <t>LSFO avg</t>
  </si>
  <si>
    <t>Diesel avg</t>
  </si>
  <si>
    <t>HECO LSFO - Pacific Residual</t>
  </si>
  <si>
    <t>HECO Diesel - Pacific Distillate</t>
  </si>
  <si>
    <t>avg</t>
  </si>
  <si>
    <t>Henry Hub gas - Pacific gas</t>
  </si>
  <si>
    <t>Energy Prices : Electric Power : Distillate Fuel Oil</t>
  </si>
  <si>
    <t>Energy Prices : Electric Power : Residual Fuel Oil</t>
  </si>
  <si>
    <t>Energy Prices : Electric Power : Natural Gas</t>
  </si>
  <si>
    <t>Energy Prices : Electric Power : Steam Coal</t>
  </si>
  <si>
    <t>http://www.eia.gov/beta/aeo/#/?id=3-AEO2015&amp;region=1-0&amp;cases=ref2015&amp;start=2012&amp;end=2040&amp;f=A&amp;linechart=3-AEO2015.3.~3-AEO2015.104.~3-AEO2015.105.~3-AEO2015.106.~3-AEO2015.107.&amp;map=&amp;ctype=linechart</t>
  </si>
  <si>
    <t>EIA Forecast (AEO 2015) (2013$)</t>
  </si>
  <si>
    <t>inflation</t>
  </si>
  <si>
    <t>Bulk LNG liquefaction and shipping (2015$)</t>
  </si>
  <si>
    <t>ISO Containerized LNG packaging and delivery</t>
  </si>
  <si>
    <t>Low FOB</t>
  </si>
  <si>
    <t>Low Delivered Cost</t>
  </si>
  <si>
    <t>High FOB</t>
  </si>
  <si>
    <t>High Delivered Cost</t>
  </si>
  <si>
    <t>HNEI FACTS LNG study June 2013, Task 4.2 Report 1, Fig. 53, p. 97</t>
  </si>
  <si>
    <t>note: regasification and storage are separate</t>
  </si>
  <si>
    <t>Diesel</t>
  </si>
  <si>
    <t>HECO 2013 IRP coal forecast</t>
  </si>
  <si>
    <t>HECO coal forecast - Pacific coal</t>
  </si>
  <si>
    <t>EXTENDED -&gt;</t>
  </si>
  <si>
    <t>escalation</t>
  </si>
  <si>
    <t>Year</t>
  </si>
  <si>
    <t>NOTE: HECO 2014 PSIP (pp. F-3 - F-5)  says that they get petro fuel forecasts by adjusting EIA crude forecasts to Hawaii products based on historical relationships</t>
  </si>
  <si>
    <t>They also say they get biodiesel forecast from FAPRI Iowa because EIA doesn't provide one.</t>
  </si>
  <si>
    <t>We differ from HECO in two ways: we benchmark Hawaii products to similar EIA Pacific products (could change to hub crude)</t>
  </si>
  <si>
    <t>Henry Hub Gas avg - http://www.eia.gov/dnav/ng/hist/rngwhhdm.htm</t>
  </si>
  <si>
    <t>EIA Pacific region product baselines</t>
  </si>
  <si>
    <t>http://www.fapri.missouri.edu/wp-content/uploads/2015/09/FAPRI_MU_Report_03-15.pdf  p. 13</t>
  </si>
  <si>
    <t>and we project biodiesel prices after 2020 using an adder to diesel (driven larely by renewable incentives), rather than extending the biodiesel absolute price trend (which ends up dropping below diesel)</t>
  </si>
  <si>
    <t>this approach makes more sense, since these are perfect substitutes and EIA AEO projects biodiesel to be small compared to agriculture and petroleum markets</t>
  </si>
  <si>
    <t>#2 diesel, refiner sales ($/gal)</t>
  </si>
  <si>
    <t>Biodiesel rack, Des Moines ($/gal)</t>
  </si>
  <si>
    <t>difference ($/gal)</t>
  </si>
  <si>
    <t>mmBtu/gal from http://www.afdc.energy.gov/fuels/fuel_comparison_chart.pdf</t>
  </si>
  <si>
    <t>FAPRI Missouri benchmark and product baselines (nominal$)</t>
  </si>
  <si>
    <t>U.S. CPI inflation http://www.fapri.missouri.edu/wp-content/uploads/2015/09/FAPRI_MU_Report_03-15.pdf p. 3</t>
  </si>
  <si>
    <t>U.S. CPI inflator</t>
  </si>
  <si>
    <t>HECO annual baselines (~2013$)</t>
  </si>
  <si>
    <t>HECO offsets (~2013$)</t>
  </si>
  <si>
    <t>#2 diesel, refiner sales (2013$/mmBtu)</t>
  </si>
  <si>
    <t>Biodiesel rack, Des Moines (2013$/mmBtu)</t>
  </si>
  <si>
    <t>difference (2013$/mmBtu)</t>
  </si>
  <si>
    <t>FAPRI biodiesel forecast - diesel forecast (2016-2020)</t>
  </si>
  <si>
    <t>FAPRI Iowa has been discontinued, so we use FAPRI Missouri baseline outlook http://www.fapri.missouri.edu/wp-content/uploads/2015/09/FAPRI_MU_Report_03-15.pdf</t>
  </si>
  <si>
    <t>LSFO-Diesel-Blend</t>
  </si>
  <si>
    <t>target avg power productoin (MW)</t>
  </si>
  <si>
    <t>Bulk LNG @200 Mwa</t>
  </si>
  <si>
    <t>Zilkha letter to PUC 10/6/14, http://dms.puc.hawaii.gov/dms/FetchESDocServlet?p=aHR0cDovL2Rtc2luL2FwaS92MTAvZG9jdW1lbnQvY29udGVudD9jb2xsZWN0aW9uPWNvbF80MTY5MyZ1cmk9Y206Ly9sc2RiL1BDX0RvY2tldFJlcG9ydC84NiUyQjMlMkJJQ000JTJCbHNkYjExJTJCSUNNQkFTRVRFWFQ1OCUyQjI2JTJCQTEwMDEwMDFBMTRKMDdCMDA5NTlINzM1NTIxOCUyQkExNEowN0IwMDk1OUg3MzU1MjElMkIxMyUyQjMwMQ==&amp;m=YXBwbGljYXRpb24vcGRm</t>
  </si>
  <si>
    <t>Also see PSIP (50% black pellet biomass) and http://www.bizjournals.com/pacific/news/2013/12/04/zilkha-biomass-energys-black-pellet.html (Zilkha is source for HECO)</t>
  </si>
  <si>
    <t>Zilkha biomass forecast ($nominal)</t>
  </si>
  <si>
    <t>Zilkha biomass forecast (2015$) (assuming forecast is $13.25 real in 2016, with 2% inflation)</t>
  </si>
  <si>
    <t>Pellet-Biomass</t>
  </si>
  <si>
    <t>Adjusted EIA Forecast (~$2013) (commas identify tiers)</t>
  </si>
  <si>
    <t>LNG, container</t>
  </si>
  <si>
    <t>LNG, bulk</t>
  </si>
  <si>
    <t>Fuel</t>
  </si>
  <si>
    <t>Rank</t>
  </si>
  <si>
    <t>note: in SWITCH-Hawaii, we assume fuels of equal or greater rank are interchangeable, except 0 which is unique</t>
  </si>
  <si>
    <t>MSW</t>
  </si>
  <si>
    <t>RPS Eligible</t>
  </si>
  <si>
    <t>SUN</t>
  </si>
  <si>
    <t>WND</t>
  </si>
  <si>
    <t>from http://www.eia.gov/environment/emissions/co2_vol_mass.cfm</t>
  </si>
  <si>
    <t>kg CO2 per MMbtu</t>
  </si>
  <si>
    <t>EIA AEO 2015, reference, high and low oil prices</t>
  </si>
  <si>
    <t>http://www.eia.gov/beta/aeo/#/?id=3-AEO2015&amp;region=1-0&amp;cases=ref2015~highprice~lowprice&amp;start=2012&amp;end=2040&amp;f=A&amp;linechart=3-AEO2015.3.highprice-d021915a~3-AEO2015.36.highprice-d021915a~3-AEO2015.36.lowprice-d021915a~3-AEO2015.36.ref2015-d021915a~3-AEO2015.37.highprice-d021915a~3-AEO2015.37.lowprice-d021915a~3-AEO2015.37.ref2015-d021915a~3-AEO2015.38.highprice-d021915a~3-AEO2015.38.lowprice-d021915a~3-AEO2015.38.ref2015-d021915a~3-AEO2015.39.highprice-d021915a~3-AEO2015.39.lowprice-d021915a~3-AEO2015.39.ref2015-d021915a</t>
  </si>
  <si>
    <t>Energy Prices by Sector and Source</t>
  </si>
  <si>
    <t>Thu Sep 24 2015 15:36:51 GMT-1000 (HST)</t>
  </si>
  <si>
    <t>Source: U.S. Energy Information Administration</t>
  </si>
  <si>
    <t>map</t>
  </si>
  <si>
    <t>linechart</t>
  </si>
  <si>
    <t>source key</t>
  </si>
  <si>
    <t>&lt;div title='Growth Rate (2013-2040)'&gt;Growth Rate&lt;/div&gt;</t>
  </si>
  <si>
    <t>Energy Prices : Electric Power : Distillate Fuel Oil : High oil price</t>
  </si>
  <si>
    <t>Energy Prices : Electric Power : Distillate Fuel Oil : Low oil price</t>
  </si>
  <si>
    <t>Energy Prices : Electric Power : Distillate Fuel Oil : Reference case</t>
  </si>
  <si>
    <t>Energy Prices : Electric Power : Residual Fuel Oil : High oil price</t>
  </si>
  <si>
    <t>Energy Prices : Electric Power : Residual Fuel Oil : Low oil price</t>
  </si>
  <si>
    <t>Energy Prices : Electric Power : Residual Fuel Oil : Reference case</t>
  </si>
  <si>
    <t>Energy Prices : Electric Power : Natural Gas : High oil price</t>
  </si>
  <si>
    <t>Energy Prices : Electric Power : Natural Gas : Low oil price</t>
  </si>
  <si>
    <t>Energy Prices : Electric Power : Natural Gas : Reference case</t>
  </si>
  <si>
    <t>Energy Prices : Electric Power : Steam Coal : High oil price</t>
  </si>
  <si>
    <t>Energy Prices : Electric Power : Steam Coal : Low oil price</t>
  </si>
  <si>
    <t>Energy Prices : Electric Power : Steam Coal : Reference case</t>
  </si>
  <si>
    <t>row</t>
  </si>
  <si>
    <t>Natural Gas: Pegged to Distillate</t>
  </si>
  <si>
    <t xml:space="preserve">note: table shows smaller options, but text below indicates small storage volumes are problematic and </t>
  </si>
  <si>
    <t>Fig 46 on p. N-77 shows that shipping costs rise with smaller FSRU more than offsetting the lower FSRU cost</t>
  </si>
  <si>
    <t>note: we assume FSRU rather than any on-shore design, so it won't become a stranded cost later</t>
  </si>
  <si>
    <t>containerized LNG, delivered</t>
  </si>
  <si>
    <t>containerized LNG, variable cost</t>
  </si>
  <si>
    <t>http://www.eia.gov/forecasts/aeo/data/browser/#/?id=13-AEO2015&amp;region=0-0&amp;cases=ref2015~highprice~lowprice&amp;start=2012&amp;end=2040&amp;f=A&amp;linechart=ref2015-d021915a.3-13-AEO2015~highprice-d021915a.3-13-AEO2015~lowprice-d021915a.3-13-AEO2015~highprice-d021915a.29-13-AEO2015&amp;ctype=linechart&amp;sourcekey=0</t>
  </si>
  <si>
    <t>EIA 2016 inflator</t>
  </si>
  <si>
    <t>Oahu LSFO</t>
  </si>
  <si>
    <t>Oahu Diesel</t>
  </si>
  <si>
    <t>Oahu ULSD</t>
  </si>
  <si>
    <t>HECO forecast, nominal $, from 2016-04-01 PSIP, Book 1, pp. J7-J9 and J16</t>
  </si>
  <si>
    <t>EIA AEO 2015, in 2013$</t>
  </si>
  <si>
    <t>Henry Hub</t>
  </si>
  <si>
    <t>HH Nominal</t>
  </si>
  <si>
    <t>http://www.eia.gov/forecasts/aeo/data/browser/#/?id=12-AEO2015&amp;region=0-0&amp;cases=ref2015&amp;start=2012&amp;end=2040&amp;f=A&amp;linechart=~~~ref2015-d021915a.53-12-AEO2015~ref2015-d021915a.3-12-AEO2015&amp;ctype=linechart&amp;sourcekey=0</t>
  </si>
  <si>
    <t>HECO forecast, 2016$</t>
  </si>
  <si>
    <t>Brent Crude per bbl</t>
  </si>
  <si>
    <t>Brent Crude per MMBtu</t>
  </si>
  <si>
    <t>annual growth</t>
  </si>
  <si>
    <t>monthly growth</t>
  </si>
  <si>
    <t>BC Nominal</t>
  </si>
  <si>
    <t>AEO 2015 table 20 GDP price index, http://www.eia.gov/forecasts/aeo/data/browser/#/?id=18-AEO2015&amp;region=0-0&amp;cases=ref2015&amp;start=2012&amp;end=2040&amp;f=A&amp;linechart=~ref2015-d021915a.17-18-AEO2015&amp;ctype=linechart&amp;sourcekey=0</t>
  </si>
  <si>
    <t>EIA GDP Price Index</t>
  </si>
  <si>
    <t>EIA 2013 inflator</t>
  </si>
  <si>
    <t>note: this is exactly the same as you get by dividing nominal brent crude prices by real prices in http://www.eia.gov/forecasts/aeo/data/browser/#/?id=12-AEO2015&amp;region=0-0&amp;cases=ref2015&amp;start=2012&amp;end=2040&amp;f=A&amp;linechart=~~~ref2015-d021915a.53-12-AEO2015~ref2015-d021915a.3-12-AEO2015&amp;ctype=linechart&amp;sourcekey=0</t>
  </si>
  <si>
    <t>EIA AEO 2015, in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</si>
</sst>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3366FF"/>
      <name val="Calibri"/>
      <scheme val="minor"/>
    </font>
  </fonts>
  <fills count="2">
    <fill>
      <patternFill patternType="none"/>
    </fill>
    <fill>
      <patternFill patternType="gray125"/>
    </fill>
  </fills>
  <borders count="1">
    <border>
      <left/>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3" fontId="0" fillId="0" borderId="0" xfId="0" applyNumberFormat="1"/>
    <xf numFmtId="0" fontId="1" fillId="0" borderId="0" xfId="0" applyFont="1"/>
    <xf numFmtId="10" fontId="0" fillId="0" borderId="0" xfId="0" applyNumberFormat="1"/>
    <xf numFmtId="0" fontId="0" fillId="0" borderId="0" xfId="0" applyFont="1"/>
    <xf numFmtId="164" fontId="0" fillId="0" borderId="0" xfId="0" applyNumberFormat="1"/>
    <xf numFmtId="164" fontId="1" fillId="0" borderId="0" xfId="0" applyNumberFormat="1" applyFont="1"/>
    <xf numFmtId="0" fontId="4" fillId="0" borderId="0" xfId="0" applyFont="1"/>
    <xf numFmtId="0" fontId="0" fillId="0" borderId="0" xfId="0" applyAlignment="1">
      <alignment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0"/>
  <tableStyles count="0" defaultTableStyle="TableStyleMedium9" defaultPivotStyle="PivotStyleMedium7"/>
  <colors>
    <mruColors>
      <color rgb="FF323232"/>
      <color rgb="FF006600"/>
      <color rgb="FF999999"/>
      <color rgb="FF7B35FF"/>
      <color rgb="FF684E8E"/>
      <color rgb="FF92D0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3.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2988407699038"/>
          <c:y val="0.0601851851851852"/>
          <c:w val="0.841886701662292"/>
          <c:h val="0.593270126948417"/>
        </c:manualLayout>
      </c:layout>
      <c:scatterChart>
        <c:scatterStyle val="lineMarker"/>
        <c:varyColors val="0"/>
        <c:ser>
          <c:idx val="0"/>
          <c:order val="0"/>
          <c:tx>
            <c:strRef>
              <c:f>'2016 PSIP'!$B$2</c:f>
              <c:strCache>
                <c:ptCount val="1"/>
                <c:pt idx="0">
                  <c:v>Oahu LSFO</c:v>
                </c:pt>
              </c:strCache>
            </c:strRef>
          </c:tx>
          <c:spPr>
            <a:ln w="31750">
              <a:noFill/>
            </a:ln>
          </c:spPr>
          <c:trendline>
            <c:trendlineType val="linear"/>
            <c:dispRSqr val="1"/>
            <c:dispEq val="1"/>
            <c:trendlineLbl>
              <c:layout>
                <c:manualLayout>
                  <c:x val="-0.0393558394005916"/>
                  <c:y val="0.239154501291734"/>
                </c:manualLayout>
              </c:layout>
              <c:numFmt formatCode="General" sourceLinked="0"/>
            </c:trendlineLbl>
          </c:trendline>
          <c:xVal>
            <c:numRef>
              <c:f>'2016 PSIP'!$W$6:$W$35</c:f>
              <c:numCache>
                <c:formatCode>General</c:formatCode>
                <c:ptCount val="30"/>
                <c:pt idx="0">
                  <c:v>12.26492299899553</c:v>
                </c:pt>
                <c:pt idx="1">
                  <c:v>13.40744729888479</c:v>
                </c:pt>
                <c:pt idx="2">
                  <c:v>13.64065491081452</c:v>
                </c:pt>
                <c:pt idx="3">
                  <c:v>14.15851598252992</c:v>
                </c:pt>
                <c:pt idx="4">
                  <c:v>14.67693951706521</c:v>
                </c:pt>
                <c:pt idx="5">
                  <c:v>15.33539416060031</c:v>
                </c:pt>
                <c:pt idx="6">
                  <c:v>16.0399412174161</c:v>
                </c:pt>
                <c:pt idx="7">
                  <c:v>16.77914144151431</c:v>
                </c:pt>
                <c:pt idx="8">
                  <c:v>17.5467934897115</c:v>
                </c:pt>
                <c:pt idx="9">
                  <c:v>18.34802087788966</c:v>
                </c:pt>
                <c:pt idx="10">
                  <c:v>19.21432933131289</c:v>
                </c:pt>
                <c:pt idx="11">
                  <c:v>20.12506272947875</c:v>
                </c:pt>
                <c:pt idx="12">
                  <c:v>21.08323231549232</c:v>
                </c:pt>
                <c:pt idx="13">
                  <c:v>22.09058543037407</c:v>
                </c:pt>
                <c:pt idx="14">
                  <c:v>23.15851808412328</c:v>
                </c:pt>
                <c:pt idx="15">
                  <c:v>24.29873722577165</c:v>
                </c:pt>
                <c:pt idx="16">
                  <c:v>25.49454518614982</c:v>
                </c:pt>
                <c:pt idx="17">
                  <c:v>26.74991451567281</c:v>
                </c:pt>
                <c:pt idx="18">
                  <c:v>28.01524172847844</c:v>
                </c:pt>
                <c:pt idx="19">
                  <c:v>29.37422033778272</c:v>
                </c:pt>
                <c:pt idx="20">
                  <c:v>30.81122944409134</c:v>
                </c:pt>
                <c:pt idx="21">
                  <c:v>32.2728772265635</c:v>
                </c:pt>
                <c:pt idx="22">
                  <c:v>33.88449868601099</c:v>
                </c:pt>
                <c:pt idx="23">
                  <c:v>35.68152021010091</c:v>
                </c:pt>
                <c:pt idx="24">
                  <c:v>37.45134254749558</c:v>
                </c:pt>
                <c:pt idx="25">
                  <c:v>39.31584365138539</c:v>
                </c:pt>
                <c:pt idx="26">
                  <c:v>41.27316824650245</c:v>
                </c:pt>
                <c:pt idx="27">
                  <c:v>43.32793751569598</c:v>
                </c:pt>
                <c:pt idx="28">
                  <c:v>45.48500270567769</c:v>
                </c:pt>
                <c:pt idx="29">
                  <c:v>47.74945658066536</c:v>
                </c:pt>
              </c:numCache>
            </c:numRef>
          </c:xVal>
          <c:yVal>
            <c:numRef>
              <c:f>'2016 PSIP'!$B$6:$B$35</c:f>
              <c:numCache>
                <c:formatCode>"$"#,##0.00;[Red]\-"$"#,##0.00</c:formatCode>
                <c:ptCount val="30"/>
                <c:pt idx="0">
                  <c:v>13.65</c:v>
                </c:pt>
                <c:pt idx="1">
                  <c:v>14.92</c:v>
                </c:pt>
                <c:pt idx="2">
                  <c:v>15.18</c:v>
                </c:pt>
                <c:pt idx="3">
                  <c:v>15.76</c:v>
                </c:pt>
                <c:pt idx="4">
                  <c:v>16.34</c:v>
                </c:pt>
                <c:pt idx="5">
                  <c:v>17.07</c:v>
                </c:pt>
                <c:pt idx="6">
                  <c:v>17.86</c:v>
                </c:pt>
                <c:pt idx="7">
                  <c:v>18.69</c:v>
                </c:pt>
                <c:pt idx="8">
                  <c:v>19.54</c:v>
                </c:pt>
                <c:pt idx="9">
                  <c:v>20.44</c:v>
                </c:pt>
                <c:pt idx="10">
                  <c:v>21.41</c:v>
                </c:pt>
                <c:pt idx="11">
                  <c:v>22.42</c:v>
                </c:pt>
                <c:pt idx="12">
                  <c:v>23.49</c:v>
                </c:pt>
                <c:pt idx="13">
                  <c:v>24.62</c:v>
                </c:pt>
                <c:pt idx="14">
                  <c:v>25.81</c:v>
                </c:pt>
                <c:pt idx="15">
                  <c:v>27.09</c:v>
                </c:pt>
                <c:pt idx="16">
                  <c:v>28.42</c:v>
                </c:pt>
                <c:pt idx="17">
                  <c:v>29.83</c:v>
                </c:pt>
                <c:pt idx="18">
                  <c:v>31.24</c:v>
                </c:pt>
                <c:pt idx="19">
                  <c:v>32.76</c:v>
                </c:pt>
                <c:pt idx="20">
                  <c:v>34.36</c:v>
                </c:pt>
                <c:pt idx="21">
                  <c:v>36.0</c:v>
                </c:pt>
                <c:pt idx="22">
                  <c:v>37.8</c:v>
                </c:pt>
                <c:pt idx="23">
                  <c:v>39.81</c:v>
                </c:pt>
                <c:pt idx="24">
                  <c:v>41.78</c:v>
                </c:pt>
                <c:pt idx="25">
                  <c:v>43.86</c:v>
                </c:pt>
                <c:pt idx="26">
                  <c:v>46.04</c:v>
                </c:pt>
                <c:pt idx="27">
                  <c:v>48.32</c:v>
                </c:pt>
                <c:pt idx="28">
                  <c:v>50.73</c:v>
                </c:pt>
                <c:pt idx="29">
                  <c:v>53.25</c:v>
                </c:pt>
              </c:numCache>
            </c:numRef>
          </c:yVal>
          <c:smooth val="0"/>
        </c:ser>
        <c:ser>
          <c:idx val="2"/>
          <c:order val="1"/>
          <c:tx>
            <c:strRef>
              <c:f>'2016 PSIP'!$F$2</c:f>
              <c:strCache>
                <c:ptCount val="1"/>
                <c:pt idx="0">
                  <c:v>containerized LNG, delivered</c:v>
                </c:pt>
              </c:strCache>
            </c:strRef>
          </c:tx>
          <c:spPr>
            <a:ln w="31750">
              <a:noFill/>
            </a:ln>
          </c:spPr>
          <c:trendline>
            <c:trendlineType val="linear"/>
            <c:dispRSqr val="1"/>
            <c:dispEq val="1"/>
            <c:trendlineLbl>
              <c:layout>
                <c:manualLayout>
                  <c:x val="0.0364767805531305"/>
                  <c:y val="-0.0597965364219582"/>
                </c:manualLayout>
              </c:layout>
              <c:numFmt formatCode="General" sourceLinked="0"/>
            </c:trendlineLbl>
          </c:trendline>
          <c:xVal>
            <c:numRef>
              <c:f>'2016 PSIP'!$X$11:$X$30</c:f>
              <c:numCache>
                <c:formatCode>General</c:formatCode>
                <c:ptCount val="20"/>
                <c:pt idx="0">
                  <c:v>5.789488997306525</c:v>
                </c:pt>
                <c:pt idx="1">
                  <c:v>5.968883145954403</c:v>
                </c:pt>
                <c:pt idx="2">
                  <c:v>6.253932207181035</c:v>
                </c:pt>
                <c:pt idx="3">
                  <c:v>6.477185148683476</c:v>
                </c:pt>
                <c:pt idx="4">
                  <c:v>6.71866331698387</c:v>
                </c:pt>
                <c:pt idx="5">
                  <c:v>7.092959129197719</c:v>
                </c:pt>
                <c:pt idx="6">
                  <c:v>7.211167741875312</c:v>
                </c:pt>
                <c:pt idx="7">
                  <c:v>7.337918529088107</c:v>
                </c:pt>
                <c:pt idx="8">
                  <c:v>7.52097806078537</c:v>
                </c:pt>
                <c:pt idx="9">
                  <c:v>7.627230847099713</c:v>
                </c:pt>
                <c:pt idx="10">
                  <c:v>8.073704440830246</c:v>
                </c:pt>
                <c:pt idx="11">
                  <c:v>8.47608737340722</c:v>
                </c:pt>
                <c:pt idx="12">
                  <c:v>8.887611399961587</c:v>
                </c:pt>
                <c:pt idx="13">
                  <c:v>9.310756606236676</c:v>
                </c:pt>
                <c:pt idx="14">
                  <c:v>9.700874916723425</c:v>
                </c:pt>
                <c:pt idx="15">
                  <c:v>10.1180105746139</c:v>
                </c:pt>
                <c:pt idx="16">
                  <c:v>10.43942393625602</c:v>
                </c:pt>
                <c:pt idx="17">
                  <c:v>10.92076081168639</c:v>
                </c:pt>
                <c:pt idx="18">
                  <c:v>11.71394948456757</c:v>
                </c:pt>
                <c:pt idx="19">
                  <c:v>12.7266273587566</c:v>
                </c:pt>
              </c:numCache>
            </c:numRef>
          </c:xVal>
          <c:yVal>
            <c:numRef>
              <c:f>'2016 PSIP'!$F$11:$F$30</c:f>
              <c:numCache>
                <c:formatCode>"$"#,##0.00;[Red]\-"$"#,##0.00</c:formatCode>
                <c:ptCount val="20"/>
                <c:pt idx="0">
                  <c:v>15.2</c:v>
                </c:pt>
                <c:pt idx="1">
                  <c:v>14.79</c:v>
                </c:pt>
                <c:pt idx="2">
                  <c:v>15.13</c:v>
                </c:pt>
                <c:pt idx="3">
                  <c:v>15.42</c:v>
                </c:pt>
                <c:pt idx="4">
                  <c:v>15.72</c:v>
                </c:pt>
                <c:pt idx="5">
                  <c:v>16.14</c:v>
                </c:pt>
                <c:pt idx="6">
                  <c:v>16.35</c:v>
                </c:pt>
                <c:pt idx="7">
                  <c:v>16.56</c:v>
                </c:pt>
                <c:pt idx="8">
                  <c:v>16.83</c:v>
                </c:pt>
                <c:pt idx="9">
                  <c:v>17.03</c:v>
                </c:pt>
                <c:pt idx="10">
                  <c:v>17.52</c:v>
                </c:pt>
                <c:pt idx="11">
                  <c:v>17.98</c:v>
                </c:pt>
                <c:pt idx="12">
                  <c:v>18.44</c:v>
                </c:pt>
                <c:pt idx="13">
                  <c:v>18.92</c:v>
                </c:pt>
                <c:pt idx="14">
                  <c:v>19.38</c:v>
                </c:pt>
                <c:pt idx="15">
                  <c:v>19.85</c:v>
                </c:pt>
                <c:pt idx="16">
                  <c:v>20.25</c:v>
                </c:pt>
                <c:pt idx="17">
                  <c:v>20.79</c:v>
                </c:pt>
                <c:pt idx="18">
                  <c:v>21.6</c:v>
                </c:pt>
                <c:pt idx="19">
                  <c:v>22.59</c:v>
                </c:pt>
              </c:numCache>
            </c:numRef>
          </c:yVal>
          <c:smooth val="0"/>
        </c:ser>
        <c:ser>
          <c:idx val="1"/>
          <c:order val="2"/>
          <c:tx>
            <c:strRef>
              <c:f>'2016 PSIP'!$C$2</c:f>
              <c:strCache>
                <c:ptCount val="1"/>
                <c:pt idx="0">
                  <c:v>Oahu Diesel</c:v>
                </c:pt>
              </c:strCache>
            </c:strRef>
          </c:tx>
          <c:spPr>
            <a:ln w="31750">
              <a:noFill/>
            </a:ln>
          </c:spPr>
          <c:trendline>
            <c:trendlineType val="linear"/>
            <c:dispRSqr val="1"/>
            <c:dispEq val="1"/>
            <c:trendlineLbl>
              <c:layout>
                <c:manualLayout>
                  <c:x val="0.224999251519416"/>
                  <c:y val="-0.0375633815003894"/>
                </c:manualLayout>
              </c:layout>
              <c:numFmt formatCode="General" sourceLinked="0"/>
            </c:trendlineLbl>
          </c:trendline>
          <c:xVal>
            <c:numRef>
              <c:f>'2016 PSIP'!$W$6:$W$35</c:f>
              <c:numCache>
                <c:formatCode>General</c:formatCode>
                <c:ptCount val="30"/>
                <c:pt idx="0">
                  <c:v>12.26492299899553</c:v>
                </c:pt>
                <c:pt idx="1">
                  <c:v>13.40744729888479</c:v>
                </c:pt>
                <c:pt idx="2">
                  <c:v>13.64065491081452</c:v>
                </c:pt>
                <c:pt idx="3">
                  <c:v>14.15851598252992</c:v>
                </c:pt>
                <c:pt idx="4">
                  <c:v>14.67693951706521</c:v>
                </c:pt>
                <c:pt idx="5">
                  <c:v>15.33539416060031</c:v>
                </c:pt>
                <c:pt idx="6">
                  <c:v>16.0399412174161</c:v>
                </c:pt>
                <c:pt idx="7">
                  <c:v>16.77914144151431</c:v>
                </c:pt>
                <c:pt idx="8">
                  <c:v>17.5467934897115</c:v>
                </c:pt>
                <c:pt idx="9">
                  <c:v>18.34802087788966</c:v>
                </c:pt>
                <c:pt idx="10">
                  <c:v>19.21432933131289</c:v>
                </c:pt>
                <c:pt idx="11">
                  <c:v>20.12506272947875</c:v>
                </c:pt>
                <c:pt idx="12">
                  <c:v>21.08323231549232</c:v>
                </c:pt>
                <c:pt idx="13">
                  <c:v>22.09058543037407</c:v>
                </c:pt>
                <c:pt idx="14">
                  <c:v>23.15851808412328</c:v>
                </c:pt>
                <c:pt idx="15">
                  <c:v>24.29873722577165</c:v>
                </c:pt>
                <c:pt idx="16">
                  <c:v>25.49454518614982</c:v>
                </c:pt>
                <c:pt idx="17">
                  <c:v>26.74991451567281</c:v>
                </c:pt>
                <c:pt idx="18">
                  <c:v>28.01524172847844</c:v>
                </c:pt>
                <c:pt idx="19">
                  <c:v>29.37422033778272</c:v>
                </c:pt>
                <c:pt idx="20">
                  <c:v>30.81122944409134</c:v>
                </c:pt>
                <c:pt idx="21">
                  <c:v>32.2728772265635</c:v>
                </c:pt>
                <c:pt idx="22">
                  <c:v>33.88449868601099</c:v>
                </c:pt>
                <c:pt idx="23">
                  <c:v>35.68152021010091</c:v>
                </c:pt>
                <c:pt idx="24">
                  <c:v>37.45134254749558</c:v>
                </c:pt>
                <c:pt idx="25">
                  <c:v>39.31584365138539</c:v>
                </c:pt>
                <c:pt idx="26">
                  <c:v>41.27316824650245</c:v>
                </c:pt>
                <c:pt idx="27">
                  <c:v>43.32793751569598</c:v>
                </c:pt>
                <c:pt idx="28">
                  <c:v>45.48500270567769</c:v>
                </c:pt>
                <c:pt idx="29">
                  <c:v>47.74945658066536</c:v>
                </c:pt>
              </c:numCache>
            </c:numRef>
          </c:xVal>
          <c:yVal>
            <c:numRef>
              <c:f>'2016 PSIP'!$C$6:$C$35</c:f>
              <c:numCache>
                <c:formatCode>"$"#,##0.00;[Red]\-"$"#,##0.00</c:formatCode>
                <c:ptCount val="30"/>
                <c:pt idx="0">
                  <c:v>16.29</c:v>
                </c:pt>
                <c:pt idx="1">
                  <c:v>17.63</c:v>
                </c:pt>
                <c:pt idx="2">
                  <c:v>17.94</c:v>
                </c:pt>
                <c:pt idx="3">
                  <c:v>18.58</c:v>
                </c:pt>
                <c:pt idx="4">
                  <c:v>19.21</c:v>
                </c:pt>
                <c:pt idx="5">
                  <c:v>20.0</c:v>
                </c:pt>
                <c:pt idx="6">
                  <c:v>20.85</c:v>
                </c:pt>
                <c:pt idx="7">
                  <c:v>21.73</c:v>
                </c:pt>
                <c:pt idx="8">
                  <c:v>22.65</c:v>
                </c:pt>
                <c:pt idx="9">
                  <c:v>23.61</c:v>
                </c:pt>
                <c:pt idx="10">
                  <c:v>24.64</c:v>
                </c:pt>
                <c:pt idx="11">
                  <c:v>25.73</c:v>
                </c:pt>
                <c:pt idx="12">
                  <c:v>26.87</c:v>
                </c:pt>
                <c:pt idx="13">
                  <c:v>28.06</c:v>
                </c:pt>
                <c:pt idx="14">
                  <c:v>29.33</c:v>
                </c:pt>
                <c:pt idx="15">
                  <c:v>30.69</c:v>
                </c:pt>
                <c:pt idx="16">
                  <c:v>32.11</c:v>
                </c:pt>
                <c:pt idx="17">
                  <c:v>33.59</c:v>
                </c:pt>
                <c:pt idx="18">
                  <c:v>35.09</c:v>
                </c:pt>
                <c:pt idx="19">
                  <c:v>36.7</c:v>
                </c:pt>
                <c:pt idx="20">
                  <c:v>38.4</c:v>
                </c:pt>
                <c:pt idx="21">
                  <c:v>40.13</c:v>
                </c:pt>
                <c:pt idx="22">
                  <c:v>42.03</c:v>
                </c:pt>
                <c:pt idx="23">
                  <c:v>44.15</c:v>
                </c:pt>
                <c:pt idx="24">
                  <c:v>46.24</c:v>
                </c:pt>
                <c:pt idx="25">
                  <c:v>48.43</c:v>
                </c:pt>
                <c:pt idx="26">
                  <c:v>50.72</c:v>
                </c:pt>
                <c:pt idx="27">
                  <c:v>53.12</c:v>
                </c:pt>
                <c:pt idx="28">
                  <c:v>55.64</c:v>
                </c:pt>
                <c:pt idx="29">
                  <c:v>58.27</c:v>
                </c:pt>
              </c:numCache>
            </c:numRef>
          </c:yVal>
          <c:smooth val="0"/>
        </c:ser>
        <c:ser>
          <c:idx val="3"/>
          <c:order val="3"/>
          <c:tx>
            <c:strRef>
              <c:f>'2016 PSIP'!$D$2</c:f>
              <c:strCache>
                <c:ptCount val="1"/>
                <c:pt idx="0">
                  <c:v>Oahu ULSD</c:v>
                </c:pt>
              </c:strCache>
            </c:strRef>
          </c:tx>
          <c:spPr>
            <a:ln w="31750">
              <a:noFill/>
            </a:ln>
          </c:spPr>
          <c:trendline>
            <c:trendlineType val="linear"/>
            <c:dispRSqr val="1"/>
            <c:dispEq val="1"/>
            <c:trendlineLbl>
              <c:layout>
                <c:manualLayout>
                  <c:x val="-0.0933624741774198"/>
                  <c:y val="0.00322179507781307"/>
                </c:manualLayout>
              </c:layout>
              <c:numFmt formatCode="General" sourceLinked="0"/>
            </c:trendlineLbl>
          </c:trendline>
          <c:xVal>
            <c:numRef>
              <c:f>'2016 PSIP'!$W$6:$W$35</c:f>
              <c:numCache>
                <c:formatCode>General</c:formatCode>
                <c:ptCount val="30"/>
                <c:pt idx="0">
                  <c:v>12.26492299899553</c:v>
                </c:pt>
                <c:pt idx="1">
                  <c:v>13.40744729888479</c:v>
                </c:pt>
                <c:pt idx="2">
                  <c:v>13.64065491081452</c:v>
                </c:pt>
                <c:pt idx="3">
                  <c:v>14.15851598252992</c:v>
                </c:pt>
                <c:pt idx="4">
                  <c:v>14.67693951706521</c:v>
                </c:pt>
                <c:pt idx="5">
                  <c:v>15.33539416060031</c:v>
                </c:pt>
                <c:pt idx="6">
                  <c:v>16.0399412174161</c:v>
                </c:pt>
                <c:pt idx="7">
                  <c:v>16.77914144151431</c:v>
                </c:pt>
                <c:pt idx="8">
                  <c:v>17.5467934897115</c:v>
                </c:pt>
                <c:pt idx="9">
                  <c:v>18.34802087788966</c:v>
                </c:pt>
                <c:pt idx="10">
                  <c:v>19.21432933131289</c:v>
                </c:pt>
                <c:pt idx="11">
                  <c:v>20.12506272947875</c:v>
                </c:pt>
                <c:pt idx="12">
                  <c:v>21.08323231549232</c:v>
                </c:pt>
                <c:pt idx="13">
                  <c:v>22.09058543037407</c:v>
                </c:pt>
                <c:pt idx="14">
                  <c:v>23.15851808412328</c:v>
                </c:pt>
                <c:pt idx="15">
                  <c:v>24.29873722577165</c:v>
                </c:pt>
                <c:pt idx="16">
                  <c:v>25.49454518614982</c:v>
                </c:pt>
                <c:pt idx="17">
                  <c:v>26.74991451567281</c:v>
                </c:pt>
                <c:pt idx="18">
                  <c:v>28.01524172847844</c:v>
                </c:pt>
                <c:pt idx="19">
                  <c:v>29.37422033778272</c:v>
                </c:pt>
                <c:pt idx="20">
                  <c:v>30.81122944409134</c:v>
                </c:pt>
                <c:pt idx="21">
                  <c:v>32.2728772265635</c:v>
                </c:pt>
                <c:pt idx="22">
                  <c:v>33.88449868601099</c:v>
                </c:pt>
                <c:pt idx="23">
                  <c:v>35.68152021010091</c:v>
                </c:pt>
                <c:pt idx="24">
                  <c:v>37.45134254749558</c:v>
                </c:pt>
                <c:pt idx="25">
                  <c:v>39.31584365138539</c:v>
                </c:pt>
                <c:pt idx="26">
                  <c:v>41.27316824650245</c:v>
                </c:pt>
                <c:pt idx="27">
                  <c:v>43.32793751569598</c:v>
                </c:pt>
                <c:pt idx="28">
                  <c:v>45.48500270567769</c:v>
                </c:pt>
                <c:pt idx="29">
                  <c:v>47.74945658066536</c:v>
                </c:pt>
              </c:numCache>
            </c:numRef>
          </c:xVal>
          <c:yVal>
            <c:numRef>
              <c:f>'2016 PSIP'!$D$6:$D$35</c:f>
              <c:numCache>
                <c:formatCode>"$"#,##0.00;[Red]\-"$"#,##0.00</c:formatCode>
                <c:ptCount val="30"/>
                <c:pt idx="0">
                  <c:v>17.39</c:v>
                </c:pt>
                <c:pt idx="1">
                  <c:v>18.77</c:v>
                </c:pt>
                <c:pt idx="2">
                  <c:v>19.1</c:v>
                </c:pt>
                <c:pt idx="3">
                  <c:v>19.77</c:v>
                </c:pt>
                <c:pt idx="4">
                  <c:v>20.43</c:v>
                </c:pt>
                <c:pt idx="5">
                  <c:v>21.25</c:v>
                </c:pt>
                <c:pt idx="6">
                  <c:v>22.13</c:v>
                </c:pt>
                <c:pt idx="7">
                  <c:v>23.05</c:v>
                </c:pt>
                <c:pt idx="8">
                  <c:v>24.0</c:v>
                </c:pt>
                <c:pt idx="9">
                  <c:v>24.99</c:v>
                </c:pt>
                <c:pt idx="10">
                  <c:v>26.06</c:v>
                </c:pt>
                <c:pt idx="11">
                  <c:v>27.19</c:v>
                </c:pt>
                <c:pt idx="12">
                  <c:v>28.37</c:v>
                </c:pt>
                <c:pt idx="13">
                  <c:v>29.61</c:v>
                </c:pt>
                <c:pt idx="14">
                  <c:v>30.92</c:v>
                </c:pt>
                <c:pt idx="15">
                  <c:v>32.33</c:v>
                </c:pt>
                <c:pt idx="16">
                  <c:v>33.79</c:v>
                </c:pt>
                <c:pt idx="17">
                  <c:v>35.33</c:v>
                </c:pt>
                <c:pt idx="18">
                  <c:v>36.89</c:v>
                </c:pt>
                <c:pt idx="19">
                  <c:v>38.55</c:v>
                </c:pt>
                <c:pt idx="20">
                  <c:v>40.31</c:v>
                </c:pt>
                <c:pt idx="21">
                  <c:v>42.09</c:v>
                </c:pt>
                <c:pt idx="22">
                  <c:v>44.06</c:v>
                </c:pt>
                <c:pt idx="23">
                  <c:v>46.25</c:v>
                </c:pt>
                <c:pt idx="24">
                  <c:v>48.41</c:v>
                </c:pt>
                <c:pt idx="25">
                  <c:v>50.67</c:v>
                </c:pt>
                <c:pt idx="26">
                  <c:v>53.04</c:v>
                </c:pt>
                <c:pt idx="27">
                  <c:v>55.52</c:v>
                </c:pt>
                <c:pt idx="28">
                  <c:v>58.11</c:v>
                </c:pt>
                <c:pt idx="29">
                  <c:v>60.82</c:v>
                </c:pt>
              </c:numCache>
            </c:numRef>
          </c:yVal>
          <c:smooth val="0"/>
        </c:ser>
        <c:dLbls>
          <c:showLegendKey val="0"/>
          <c:showVal val="0"/>
          <c:showCatName val="0"/>
          <c:showSerName val="0"/>
          <c:showPercent val="0"/>
          <c:showBubbleSize val="0"/>
        </c:dLbls>
        <c:axId val="2102562344"/>
        <c:axId val="2115175384"/>
      </c:scatterChart>
      <c:valAx>
        <c:axId val="2102562344"/>
        <c:scaling>
          <c:orientation val="minMax"/>
        </c:scaling>
        <c:delete val="0"/>
        <c:axPos val="b"/>
        <c:numFmt formatCode="General" sourceLinked="1"/>
        <c:majorTickMark val="out"/>
        <c:minorTickMark val="none"/>
        <c:tickLblPos val="nextTo"/>
        <c:crossAx val="2115175384"/>
        <c:crosses val="autoZero"/>
        <c:crossBetween val="midCat"/>
      </c:valAx>
      <c:valAx>
        <c:axId val="2115175384"/>
        <c:scaling>
          <c:orientation val="minMax"/>
        </c:scaling>
        <c:delete val="0"/>
        <c:axPos val="l"/>
        <c:majorGridlines/>
        <c:numFmt formatCode="&quot;$&quot;#,##0.00;[Red]\-&quot;$&quot;#,##0.00" sourceLinked="1"/>
        <c:majorTickMark val="out"/>
        <c:minorTickMark val="none"/>
        <c:tickLblPos val="nextTo"/>
        <c:crossAx val="2102562344"/>
        <c:crosses val="autoZero"/>
        <c:crossBetween val="midCat"/>
      </c:valAx>
    </c:plotArea>
    <c:legend>
      <c:legendPos val="b"/>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2988407699038"/>
          <c:y val="0.0601851851851852"/>
          <c:w val="0.841886701662292"/>
          <c:h val="0.593270126948417"/>
        </c:manualLayout>
      </c:layout>
      <c:scatterChart>
        <c:scatterStyle val="lineMarker"/>
        <c:varyColors val="0"/>
        <c:ser>
          <c:idx val="0"/>
          <c:order val="0"/>
          <c:tx>
            <c:strRef>
              <c:f>'2016 PSIP'!$S$2</c:f>
              <c:strCache>
                <c:ptCount val="1"/>
                <c:pt idx="0">
                  <c:v>Oahu LSFO</c:v>
                </c:pt>
              </c:strCache>
            </c:strRef>
          </c:tx>
          <c:spPr>
            <a:ln w="31750">
              <a:noFill/>
            </a:ln>
          </c:spPr>
          <c:trendline>
            <c:trendlineType val="linear"/>
            <c:dispRSqr val="1"/>
            <c:dispEq val="1"/>
            <c:trendlineLbl>
              <c:layout>
                <c:manualLayout>
                  <c:x val="-0.151727113228177"/>
                  <c:y val="0.304360498893682"/>
                </c:manualLayout>
              </c:layout>
              <c:numFmt formatCode="General" sourceLinked="0"/>
            </c:trendlineLbl>
          </c:trendline>
          <c:xVal>
            <c:numRef>
              <c:f>'2016 PSIP'!$P$6:$P$35</c:f>
              <c:numCache>
                <c:formatCode>General</c:formatCode>
                <c:ptCount val="30"/>
                <c:pt idx="0">
                  <c:v>12.26492299899553</c:v>
                </c:pt>
                <c:pt idx="1">
                  <c:v>13.1774550105441</c:v>
                </c:pt>
                <c:pt idx="2">
                  <c:v>13.1587773785525</c:v>
                </c:pt>
                <c:pt idx="3">
                  <c:v>13.4079779229552</c:v>
                </c:pt>
                <c:pt idx="4">
                  <c:v>13.65717449791023</c:v>
                </c:pt>
                <c:pt idx="5">
                  <c:v>14.0288861769441</c:v>
                </c:pt>
                <c:pt idx="6">
                  <c:v>14.43420061123018</c:v>
                </c:pt>
                <c:pt idx="7">
                  <c:v>14.85738273759734</c:v>
                </c:pt>
                <c:pt idx="8">
                  <c:v>15.29144097801122</c:v>
                </c:pt>
                <c:pt idx="9">
                  <c:v>15.72749533285193</c:v>
                </c:pt>
                <c:pt idx="10">
                  <c:v>16.19932096946855</c:v>
                </c:pt>
                <c:pt idx="11">
                  <c:v>16.68530010323457</c:v>
                </c:pt>
                <c:pt idx="12">
                  <c:v>17.1858591908981</c:v>
                </c:pt>
                <c:pt idx="13">
                  <c:v>17.70143538945752</c:v>
                </c:pt>
                <c:pt idx="14">
                  <c:v>18.23247759166953</c:v>
                </c:pt>
                <c:pt idx="15">
                  <c:v>18.77945229392838</c:v>
                </c:pt>
                <c:pt idx="16">
                  <c:v>19.34283582995513</c:v>
                </c:pt>
                <c:pt idx="17">
                  <c:v>19.92211217155197</c:v>
                </c:pt>
                <c:pt idx="18">
                  <c:v>20.48775259745939</c:v>
                </c:pt>
                <c:pt idx="19">
                  <c:v>21.09040846811203</c:v>
                </c:pt>
                <c:pt idx="20">
                  <c:v>21.71342881343376</c:v>
                </c:pt>
                <c:pt idx="21">
                  <c:v>22.31970568329004</c:v>
                </c:pt>
                <c:pt idx="22">
                  <c:v>22.9841261597765</c:v>
                </c:pt>
                <c:pt idx="23">
                  <c:v>23.7152804728327</c:v>
                </c:pt>
                <c:pt idx="24">
                  <c:v>24.38210004897741</c:v>
                </c:pt>
                <c:pt idx="25">
                  <c:v>25.09968855273958</c:v>
                </c:pt>
                <c:pt idx="26">
                  <c:v>25.83839637188874</c:v>
                </c:pt>
                <c:pt idx="27">
                  <c:v>26.59884506805816</c:v>
                </c:pt>
                <c:pt idx="28">
                  <c:v>27.38167449603396</c:v>
                </c:pt>
                <c:pt idx="29">
                  <c:v>28.18754334214</c:v>
                </c:pt>
              </c:numCache>
            </c:numRef>
          </c:xVal>
          <c:yVal>
            <c:numRef>
              <c:f>'2016 PSIP'!$S$6:$S$35</c:f>
              <c:numCache>
                <c:formatCode>"$"#,##0.00;[Red]\-"$"#,##0.00</c:formatCode>
                <c:ptCount val="30"/>
                <c:pt idx="0">
                  <c:v>13.65</c:v>
                </c:pt>
                <c:pt idx="1">
                  <c:v>14.66406127687494</c:v>
                </c:pt>
                <c:pt idx="2">
                  <c:v>14.64374268775482</c:v>
                </c:pt>
                <c:pt idx="3">
                  <c:v>14.92456782381059</c:v>
                </c:pt>
                <c:pt idx="4">
                  <c:v>15.20468426243646</c:v>
                </c:pt>
                <c:pt idx="5">
                  <c:v>15.6157112450158</c:v>
                </c:pt>
                <c:pt idx="6">
                  <c:v>16.07205534124143</c:v>
                </c:pt>
                <c:pt idx="7">
                  <c:v>16.54938569613925</c:v>
                </c:pt>
                <c:pt idx="8">
                  <c:v>17.02845348271389</c:v>
                </c:pt>
                <c:pt idx="9">
                  <c:v>17.52069101855459</c:v>
                </c:pt>
                <c:pt idx="10">
                  <c:v>18.05045890366361</c:v>
                </c:pt>
                <c:pt idx="11">
                  <c:v>18.58798818880542</c:v>
                </c:pt>
                <c:pt idx="12">
                  <c:v>19.14772015757535</c:v>
                </c:pt>
                <c:pt idx="13">
                  <c:v>19.72828382760812</c:v>
                </c:pt>
                <c:pt idx="14">
                  <c:v>20.31996369247843</c:v>
                </c:pt>
                <c:pt idx="15">
                  <c:v>20.93669962828136</c:v>
                </c:pt>
                <c:pt idx="16">
                  <c:v>21.56239267158874</c:v>
                </c:pt>
                <c:pt idx="17">
                  <c:v>22.2160188859373</c:v>
                </c:pt>
                <c:pt idx="18">
                  <c:v>22.84604207052091</c:v>
                </c:pt>
                <c:pt idx="19">
                  <c:v>23.52136579184874</c:v>
                </c:pt>
                <c:pt idx="20">
                  <c:v>24.21433443230089</c:v>
                </c:pt>
                <c:pt idx="21">
                  <c:v>24.89735882417947</c:v>
                </c:pt>
                <c:pt idx="22">
                  <c:v>25.64004198174047</c:v>
                </c:pt>
                <c:pt idx="23">
                  <c:v>26.45922343174739</c:v>
                </c:pt>
                <c:pt idx="24">
                  <c:v>27.20020353754707</c:v>
                </c:pt>
                <c:pt idx="25">
                  <c:v>28.00073043540974</c:v>
                </c:pt>
                <c:pt idx="26">
                  <c:v>28.82259393940677</c:v>
                </c:pt>
                <c:pt idx="27">
                  <c:v>29.66345197536748</c:v>
                </c:pt>
                <c:pt idx="28">
                  <c:v>30.5391286040401</c:v>
                </c:pt>
                <c:pt idx="29">
                  <c:v>31.43463382527231</c:v>
                </c:pt>
              </c:numCache>
            </c:numRef>
          </c:yVal>
          <c:smooth val="0"/>
        </c:ser>
        <c:ser>
          <c:idx val="2"/>
          <c:order val="1"/>
          <c:tx>
            <c:strRef>
              <c:f>'2016 PSIP'!$U$2</c:f>
              <c:strCache>
                <c:ptCount val="1"/>
                <c:pt idx="0">
                  <c:v>containerized LNG, delivered</c:v>
                </c:pt>
              </c:strCache>
            </c:strRef>
          </c:tx>
          <c:spPr>
            <a:ln w="31750">
              <a:noFill/>
            </a:ln>
          </c:spPr>
          <c:trendline>
            <c:trendlineType val="linear"/>
            <c:intercept val="6.0"/>
            <c:dispRSqr val="1"/>
            <c:dispEq val="1"/>
            <c:trendlineLbl>
              <c:layout>
                <c:manualLayout>
                  <c:x val="0.056970410991414"/>
                  <c:y val="0.112032287172895"/>
                </c:manualLayout>
              </c:layout>
              <c:numFmt formatCode="General" sourceLinked="0"/>
            </c:trendlineLbl>
          </c:trendline>
          <c:xVal>
            <c:numRef>
              <c:f>'2016 PSIP'!$Q$11:$Q$30</c:f>
              <c:numCache>
                <c:formatCode>General</c:formatCode>
                <c:ptCount val="20"/>
                <c:pt idx="0">
                  <c:v>5.296250054958098</c:v>
                </c:pt>
                <c:pt idx="1">
                  <c:v>5.371344918655231</c:v>
                </c:pt>
                <c:pt idx="2">
                  <c:v>5.537653087969307</c:v>
                </c:pt>
                <c:pt idx="3">
                  <c:v>5.644649232511862</c:v>
                </c:pt>
                <c:pt idx="4">
                  <c:v>5.759081410693322</c:v>
                </c:pt>
                <c:pt idx="5">
                  <c:v>5.979970446844887</c:v>
                </c:pt>
                <c:pt idx="6">
                  <c:v>5.97863964377667</c:v>
                </c:pt>
                <c:pt idx="7">
                  <c:v>5.981456387146275</c:v>
                </c:pt>
                <c:pt idx="8">
                  <c:v>6.02664459156732</c:v>
                </c:pt>
                <c:pt idx="9">
                  <c:v>6.004845171918548</c:v>
                </c:pt>
                <c:pt idx="10">
                  <c:v>6.239820035628796</c:v>
                </c:pt>
                <c:pt idx="11">
                  <c:v>6.430848848138692</c:v>
                </c:pt>
                <c:pt idx="12">
                  <c:v>6.619086245806847</c:v>
                </c:pt>
                <c:pt idx="13">
                  <c:v>6.809024876263238</c:v>
                </c:pt>
                <c:pt idx="14">
                  <c:v>6.965135147045845</c:v>
                </c:pt>
                <c:pt idx="15">
                  <c:v>7.130410123494114</c:v>
                </c:pt>
                <c:pt idx="16">
                  <c:v>7.219835657185952</c:v>
                </c:pt>
                <c:pt idx="17">
                  <c:v>7.407639303814426</c:v>
                </c:pt>
                <c:pt idx="18">
                  <c:v>7.785531441355824</c:v>
                </c:pt>
                <c:pt idx="19">
                  <c:v>8.28546803505731</c:v>
                </c:pt>
              </c:numCache>
            </c:numRef>
          </c:xVal>
          <c:yVal>
            <c:numRef>
              <c:f>'2016 PSIP'!$U$11:$U$30</c:f>
              <c:numCache>
                <c:formatCode>"$"#,##0.00;[Red]\-"$"#,##0.00</c:formatCode>
                <c:ptCount val="20"/>
                <c:pt idx="0">
                  <c:v>13.90502700200586</c:v>
                </c:pt>
                <c:pt idx="1">
                  <c:v>13.30938961349164</c:v>
                </c:pt>
                <c:pt idx="2">
                  <c:v>13.39712175401749</c:v>
                </c:pt>
                <c:pt idx="3">
                  <c:v>13.43801190908128</c:v>
                </c:pt>
                <c:pt idx="4">
                  <c:v>13.47481716299795</c:v>
                </c:pt>
                <c:pt idx="5">
                  <c:v>13.60739872513455</c:v>
                </c:pt>
                <c:pt idx="6">
                  <c:v>13.55546863902626</c:v>
                </c:pt>
                <c:pt idx="7">
                  <c:v>13.49877589652822</c:v>
                </c:pt>
                <c:pt idx="8">
                  <c:v>13.48606892033487</c:v>
                </c:pt>
                <c:pt idx="9">
                  <c:v>13.40755450146873</c:v>
                </c:pt>
                <c:pt idx="10">
                  <c:v>13.54045690245439</c:v>
                </c:pt>
                <c:pt idx="11">
                  <c:v>13.64151373100512</c:v>
                </c:pt>
                <c:pt idx="12">
                  <c:v>13.73326812794783</c:v>
                </c:pt>
                <c:pt idx="13">
                  <c:v>13.8363353384845</c:v>
                </c:pt>
                <c:pt idx="14">
                  <c:v>13.91465412228415</c:v>
                </c:pt>
                <c:pt idx="15">
                  <c:v>13.98878167873029</c:v>
                </c:pt>
                <c:pt idx="16">
                  <c:v>14.00476433860095</c:v>
                </c:pt>
                <c:pt idx="17">
                  <c:v>14.10202308995726</c:v>
                </c:pt>
                <c:pt idx="18">
                  <c:v>14.35617247238743</c:v>
                </c:pt>
                <c:pt idx="19">
                  <c:v>14.70685969155549</c:v>
                </c:pt>
              </c:numCache>
            </c:numRef>
          </c:yVal>
          <c:smooth val="0"/>
        </c:ser>
        <c:ser>
          <c:idx val="1"/>
          <c:order val="2"/>
          <c:tx>
            <c:strRef>
              <c:f>'2016 PSIP'!$T$2</c:f>
              <c:strCache>
                <c:ptCount val="1"/>
                <c:pt idx="0">
                  <c:v>Oahu Diesel</c:v>
                </c:pt>
              </c:strCache>
            </c:strRef>
          </c:tx>
          <c:spPr>
            <a:ln w="31750">
              <a:noFill/>
            </a:ln>
          </c:spPr>
          <c:trendline>
            <c:trendlineType val="linear"/>
            <c:dispRSqr val="1"/>
            <c:dispEq val="1"/>
            <c:trendlineLbl>
              <c:layout>
                <c:manualLayout>
                  <c:x val="-0.0860386665875592"/>
                  <c:y val="0.0120283316233822"/>
                </c:manualLayout>
              </c:layout>
              <c:numFmt formatCode="General" sourceLinked="0"/>
            </c:trendlineLbl>
          </c:trendline>
          <c:xVal>
            <c:numRef>
              <c:f>'2016 PSIP'!$P$6:$P$35</c:f>
              <c:numCache>
                <c:formatCode>General</c:formatCode>
                <c:ptCount val="30"/>
                <c:pt idx="0">
                  <c:v>12.26492299899553</c:v>
                </c:pt>
                <c:pt idx="1">
                  <c:v>13.1774550105441</c:v>
                </c:pt>
                <c:pt idx="2">
                  <c:v>13.1587773785525</c:v>
                </c:pt>
                <c:pt idx="3">
                  <c:v>13.4079779229552</c:v>
                </c:pt>
                <c:pt idx="4">
                  <c:v>13.65717449791023</c:v>
                </c:pt>
                <c:pt idx="5">
                  <c:v>14.0288861769441</c:v>
                </c:pt>
                <c:pt idx="6">
                  <c:v>14.43420061123018</c:v>
                </c:pt>
                <c:pt idx="7">
                  <c:v>14.85738273759734</c:v>
                </c:pt>
                <c:pt idx="8">
                  <c:v>15.29144097801122</c:v>
                </c:pt>
                <c:pt idx="9">
                  <c:v>15.72749533285193</c:v>
                </c:pt>
                <c:pt idx="10">
                  <c:v>16.19932096946855</c:v>
                </c:pt>
                <c:pt idx="11">
                  <c:v>16.68530010323457</c:v>
                </c:pt>
                <c:pt idx="12">
                  <c:v>17.1858591908981</c:v>
                </c:pt>
                <c:pt idx="13">
                  <c:v>17.70143538945752</c:v>
                </c:pt>
                <c:pt idx="14">
                  <c:v>18.23247759166953</c:v>
                </c:pt>
                <c:pt idx="15">
                  <c:v>18.77945229392838</c:v>
                </c:pt>
                <c:pt idx="16">
                  <c:v>19.34283582995513</c:v>
                </c:pt>
                <c:pt idx="17">
                  <c:v>19.92211217155197</c:v>
                </c:pt>
                <c:pt idx="18">
                  <c:v>20.48775259745939</c:v>
                </c:pt>
                <c:pt idx="19">
                  <c:v>21.09040846811203</c:v>
                </c:pt>
                <c:pt idx="20">
                  <c:v>21.71342881343376</c:v>
                </c:pt>
                <c:pt idx="21">
                  <c:v>22.31970568329004</c:v>
                </c:pt>
                <c:pt idx="22">
                  <c:v>22.9841261597765</c:v>
                </c:pt>
                <c:pt idx="23">
                  <c:v>23.7152804728327</c:v>
                </c:pt>
                <c:pt idx="24">
                  <c:v>24.38210004897741</c:v>
                </c:pt>
                <c:pt idx="25">
                  <c:v>25.09968855273958</c:v>
                </c:pt>
                <c:pt idx="26">
                  <c:v>25.83839637188874</c:v>
                </c:pt>
                <c:pt idx="27">
                  <c:v>26.59884506805816</c:v>
                </c:pt>
                <c:pt idx="28">
                  <c:v>27.38167449603396</c:v>
                </c:pt>
                <c:pt idx="29">
                  <c:v>28.18754334214</c:v>
                </c:pt>
              </c:numCache>
            </c:numRef>
          </c:xVal>
          <c:yVal>
            <c:numRef>
              <c:f>'2016 PSIP'!$T$6:$T$35</c:f>
              <c:numCache>
                <c:formatCode>"$"#,##0.00;[Red]\-"$"#,##0.00</c:formatCode>
                <c:ptCount val="30"/>
                <c:pt idx="0">
                  <c:v>16.29</c:v>
                </c:pt>
                <c:pt idx="1">
                  <c:v>17.32757374740652</c:v>
                </c:pt>
                <c:pt idx="2">
                  <c:v>17.3062413582557</c:v>
                </c:pt>
                <c:pt idx="3">
                  <c:v>17.59508059431477</c:v>
                </c:pt>
                <c:pt idx="4">
                  <c:v>17.87527446030627</c:v>
                </c:pt>
                <c:pt idx="5">
                  <c:v>18.29608816053403</c:v>
                </c:pt>
                <c:pt idx="6">
                  <c:v>18.76272977966875</c:v>
                </c:pt>
                <c:pt idx="7">
                  <c:v>19.24120659053536</c:v>
                </c:pt>
                <c:pt idx="8">
                  <c:v>19.73871399096569</c:v>
                </c:pt>
                <c:pt idx="9">
                  <c:v>20.23794104442632</c:v>
                </c:pt>
                <c:pt idx="10">
                  <c:v>20.77362481953626</c:v>
                </c:pt>
                <c:pt idx="11">
                  <c:v>21.33224514263887</c:v>
                </c:pt>
                <c:pt idx="12">
                  <c:v>21.90290509297786</c:v>
                </c:pt>
                <c:pt idx="13">
                  <c:v>22.48479464673776</c:v>
                </c:pt>
                <c:pt idx="14">
                  <c:v>23.09122569160762</c:v>
                </c:pt>
                <c:pt idx="15">
                  <c:v>23.71898529316924</c:v>
                </c:pt>
                <c:pt idx="16">
                  <c:v>24.36201367645019</c:v>
                </c:pt>
                <c:pt idx="17">
                  <c:v>25.01629481658176</c:v>
                </c:pt>
                <c:pt idx="18">
                  <c:v>25.66157542428228</c:v>
                </c:pt>
                <c:pt idx="19">
                  <c:v>26.35024800246791</c:v>
                </c:pt>
                <c:pt idx="20">
                  <c:v>27.06142148429436</c:v>
                </c:pt>
                <c:pt idx="21">
                  <c:v>27.75363915595339</c:v>
                </c:pt>
                <c:pt idx="22">
                  <c:v>28.50928477493524</c:v>
                </c:pt>
                <c:pt idx="23">
                  <c:v>29.34375067851412</c:v>
                </c:pt>
                <c:pt idx="24">
                  <c:v>30.10381549966914</c:v>
                </c:pt>
                <c:pt idx="25">
                  <c:v>30.91827120353155</c:v>
                </c:pt>
                <c:pt idx="26">
                  <c:v>31.75243189849503</c:v>
                </c:pt>
                <c:pt idx="27">
                  <c:v>32.61015250272186</c:v>
                </c:pt>
                <c:pt idx="28">
                  <c:v>33.49491652924878</c:v>
                </c:pt>
                <c:pt idx="29">
                  <c:v>34.39804907039658</c:v>
                </c:pt>
              </c:numCache>
            </c:numRef>
          </c:yVal>
          <c:smooth val="0"/>
        </c:ser>
        <c:dLbls>
          <c:showLegendKey val="0"/>
          <c:showVal val="0"/>
          <c:showCatName val="0"/>
          <c:showSerName val="0"/>
          <c:showPercent val="0"/>
          <c:showBubbleSize val="0"/>
        </c:dLbls>
        <c:axId val="2099275624"/>
        <c:axId val="2099253352"/>
      </c:scatterChart>
      <c:valAx>
        <c:axId val="2099275624"/>
        <c:scaling>
          <c:orientation val="minMax"/>
        </c:scaling>
        <c:delete val="0"/>
        <c:axPos val="b"/>
        <c:numFmt formatCode="General" sourceLinked="1"/>
        <c:majorTickMark val="out"/>
        <c:minorTickMark val="none"/>
        <c:tickLblPos val="nextTo"/>
        <c:crossAx val="2099253352"/>
        <c:crosses val="autoZero"/>
        <c:crossBetween val="midCat"/>
      </c:valAx>
      <c:valAx>
        <c:axId val="2099253352"/>
        <c:scaling>
          <c:orientation val="minMax"/>
        </c:scaling>
        <c:delete val="0"/>
        <c:axPos val="l"/>
        <c:majorGridlines/>
        <c:numFmt formatCode="&quot;$&quot;#,##0.00;[Red]\-&quot;$&quot;#,##0.00" sourceLinked="1"/>
        <c:majorTickMark val="out"/>
        <c:minorTickMark val="none"/>
        <c:tickLblPos val="nextTo"/>
        <c:crossAx val="2099275624"/>
        <c:crosses val="autoZero"/>
        <c:crossBetween val="midCat"/>
      </c:valAx>
    </c:plotArea>
    <c:legend>
      <c:legendPos val="r"/>
      <c:layout>
        <c:manualLayout>
          <c:xMode val="edge"/>
          <c:yMode val="edge"/>
          <c:x val="0.0286704016680369"/>
          <c:y val="0.762988417656584"/>
          <c:w val="0.968551837270341"/>
          <c:h val="0.172225120211622"/>
        </c:manualLayout>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'multi-fuel forecasts'!$K$2</c:f>
              <c:strCache>
                <c:ptCount val="1"/>
                <c:pt idx="0">
                  <c:v>Biodiesel</c:v>
                </c:pt>
              </c:strCache>
            </c:strRef>
          </c:tx>
          <c:spPr>
            <a:ln w="28575" cap="rnd">
              <a:solidFill>
                <a:schemeClr val="accent1"/>
              </a:solidFill>
              <a:round/>
            </a:ln>
            <a:effectLst/>
          </c:spPr>
          <c:marker>
            <c:symbol val="none"/>
          </c:marker>
          <c:val>
            <c:numRef>
              <c:f>'multi-fuel forecasts'!$K$3:$K$23</c:f>
              <c:numCache>
                <c:formatCode>General</c:formatCode>
                <c:ptCount val="21"/>
                <c:pt idx="0">
                  <c:v>47.005</c:v>
                </c:pt>
                <c:pt idx="1">
                  <c:v>44.63</c:v>
                </c:pt>
                <c:pt idx="2">
                  <c:v>43.85</c:v>
                </c:pt>
                <c:pt idx="3">
                  <c:v>43.49</c:v>
                </c:pt>
                <c:pt idx="4">
                  <c:v>43.34</c:v>
                </c:pt>
                <c:pt idx="5">
                  <c:v>43.04</c:v>
                </c:pt>
                <c:pt idx="6">
                  <c:v>42.825</c:v>
                </c:pt>
                <c:pt idx="7">
                  <c:v>42.53</c:v>
                </c:pt>
                <c:pt idx="8">
                  <c:v>42.265</c:v>
                </c:pt>
                <c:pt idx="9">
                  <c:v>42.175</c:v>
                </c:pt>
                <c:pt idx="10">
                  <c:v>41.86</c:v>
                </c:pt>
                <c:pt idx="11">
                  <c:v>41.62</c:v>
                </c:pt>
                <c:pt idx="12">
                  <c:v>41.375</c:v>
                </c:pt>
                <c:pt idx="13">
                  <c:v>41.14</c:v>
                </c:pt>
                <c:pt idx="14">
                  <c:v>40.9</c:v>
                </c:pt>
                <c:pt idx="15">
                  <c:v>40.66</c:v>
                </c:pt>
                <c:pt idx="16">
                  <c:v>40.42</c:v>
                </c:pt>
                <c:pt idx="17">
                  <c:v>40.18</c:v>
                </c:pt>
                <c:pt idx="18">
                  <c:v>39.935</c:v>
                </c:pt>
                <c:pt idx="19">
                  <c:v>39.7</c:v>
                </c:pt>
                <c:pt idx="20">
                  <c:v>39.46</c:v>
                </c:pt>
              </c:numCache>
            </c:numRef>
          </c:val>
          <c:smooth val="0"/>
        </c:ser>
        <c:ser>
          <c:idx val="1"/>
          <c:order val="1"/>
          <c:tx>
            <c:strRef>
              <c:f>'multi-fuel forecasts'!$P$2</c:f>
              <c:strCache>
                <c:ptCount val="1"/>
                <c:pt idx="0">
                  <c:v>ULSD</c:v>
                </c:pt>
              </c:strCache>
            </c:strRef>
          </c:tx>
          <c:spPr>
            <a:ln w="28575" cap="rnd">
              <a:solidFill>
                <a:schemeClr val="accent2"/>
              </a:solidFill>
              <a:round/>
            </a:ln>
            <a:effectLst/>
          </c:spPr>
          <c:marker>
            <c:symbol val="none"/>
          </c:marker>
          <c:val>
            <c:numRef>
              <c:f>'multi-fuel forecasts'!$P$3:$P$23</c:f>
              <c:numCache>
                <c:formatCode>General</c:formatCode>
                <c:ptCount val="21"/>
                <c:pt idx="0">
                  <c:v>21.69</c:v>
                </c:pt>
                <c:pt idx="1">
                  <c:v>22.04</c:v>
                </c:pt>
                <c:pt idx="2">
                  <c:v>22.16</c:v>
                </c:pt>
                <c:pt idx="3">
                  <c:v>22.72</c:v>
                </c:pt>
                <c:pt idx="4">
                  <c:v>23.49</c:v>
                </c:pt>
                <c:pt idx="5">
                  <c:v>24.31</c:v>
                </c:pt>
                <c:pt idx="6">
                  <c:v>25.15</c:v>
                </c:pt>
                <c:pt idx="7">
                  <c:v>26.04</c:v>
                </c:pt>
                <c:pt idx="8">
                  <c:v>26.98</c:v>
                </c:pt>
                <c:pt idx="9">
                  <c:v>27.98</c:v>
                </c:pt>
                <c:pt idx="10">
                  <c:v>29.01</c:v>
                </c:pt>
                <c:pt idx="11">
                  <c:v>30.09</c:v>
                </c:pt>
                <c:pt idx="12">
                  <c:v>31.2</c:v>
                </c:pt>
                <c:pt idx="13">
                  <c:v>32.37</c:v>
                </c:pt>
                <c:pt idx="14">
                  <c:v>33.58</c:v>
                </c:pt>
                <c:pt idx="15">
                  <c:v>34.83</c:v>
                </c:pt>
                <c:pt idx="16">
                  <c:v>36.15</c:v>
                </c:pt>
                <c:pt idx="17">
                  <c:v>37.52</c:v>
                </c:pt>
                <c:pt idx="18">
                  <c:v>38.94</c:v>
                </c:pt>
                <c:pt idx="19">
                  <c:v>40.42</c:v>
                </c:pt>
                <c:pt idx="20">
                  <c:v>41.94</c:v>
                </c:pt>
              </c:numCache>
            </c:numRef>
          </c:val>
          <c:smooth val="0"/>
        </c:ser>
        <c:dLbls>
          <c:showLegendKey val="0"/>
          <c:showVal val="0"/>
          <c:showCatName val="0"/>
          <c:showSerName val="0"/>
          <c:showPercent val="0"/>
          <c:showBubbleSize val="0"/>
        </c:dLbls>
        <c:marker val="1"/>
        <c:smooth val="0"/>
        <c:axId val="2103405512"/>
        <c:axId val="2098214792"/>
      </c:lineChart>
      <c:catAx>
        <c:axId val="2103405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14792"/>
        <c:crosses val="autoZero"/>
        <c:auto val="1"/>
        <c:lblAlgn val="ctr"/>
        <c:lblOffset val="100"/>
        <c:noMultiLvlLbl val="0"/>
      </c:catAx>
      <c:valAx>
        <c:axId val="209821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405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Reference</a:t>
            </a:r>
            <a:r>
              <a:rPr lang="en-US" baseline="0"/>
              <a:t> Oil and LNG Prices</a:t>
            </a:r>
            <a:endParaRPr lang="en-US"/>
          </a:p>
        </c:rich>
      </c:tx>
      <c:layout>
        <c:manualLayout>
          <c:xMode val="edge"/>
          <c:yMode val="edge"/>
          <c:x val="0.132960488411349"/>
          <c:y val="0.0"/>
        </c:manualLayout>
      </c:layout>
      <c:overlay val="0"/>
    </c:title>
    <c:autoTitleDeleted val="0"/>
    <c:plotArea>
      <c:layout>
        <c:manualLayout>
          <c:layoutTarget val="inner"/>
          <c:xMode val="edge"/>
          <c:yMode val="edge"/>
          <c:x val="0.158563876562926"/>
          <c:y val="0.105703422053232"/>
          <c:w val="0.427244094488189"/>
          <c:h val="0.721133199604802"/>
        </c:manualLayout>
      </c:layout>
      <c:lineChart>
        <c:grouping val="standard"/>
        <c:varyColors val="0"/>
        <c:ser>
          <c:idx val="6"/>
          <c:order val="0"/>
          <c:tx>
            <c:strRef>
              <c:f>'EIA-derived'!$A$69</c:f>
              <c:strCache>
                <c:ptCount val="1"/>
                <c:pt idx="0">
                  <c:v>Biodiesel</c:v>
                </c:pt>
              </c:strCache>
            </c:strRef>
          </c:tx>
          <c:spPr>
            <a:ln w="50800" cap="rnd">
              <a:solidFill>
                <a:srgbClr val="92D04F"/>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'EIA-derived'!$B$69:$AU$69</c:f>
              <c:numCache>
                <c:formatCode>General</c:formatCode>
                <c:ptCount val="46"/>
                <c:pt idx="0">
                  <c:v>25.8173224092477</c:v>
                </c:pt>
                <c:pt idx="1">
                  <c:v>27.3773224092477</c:v>
                </c:pt>
                <c:pt idx="2">
                  <c:v>27.4373224092477</c:v>
                </c:pt>
                <c:pt idx="3">
                  <c:v>27.4473224092477</c:v>
                </c:pt>
                <c:pt idx="4">
                  <c:v>27.7373224092477</c:v>
                </c:pt>
                <c:pt idx="5">
                  <c:v>27.9973224092477</c:v>
                </c:pt>
                <c:pt idx="6">
                  <c:v>28.38732240924771</c:v>
                </c:pt>
                <c:pt idx="7">
                  <c:v>28.7973224092477</c:v>
                </c:pt>
                <c:pt idx="8">
                  <c:v>29.2373224092477</c:v>
                </c:pt>
                <c:pt idx="9">
                  <c:v>29.6773224092477</c:v>
                </c:pt>
                <c:pt idx="10">
                  <c:v>30.1473224092477</c:v>
                </c:pt>
                <c:pt idx="11">
                  <c:v>30.6473224092477</c:v>
                </c:pt>
                <c:pt idx="12">
                  <c:v>31.1673224092477</c:v>
                </c:pt>
                <c:pt idx="13">
                  <c:v>31.7173224092477</c:v>
                </c:pt>
                <c:pt idx="14">
                  <c:v>32.2673224092477</c:v>
                </c:pt>
                <c:pt idx="15">
                  <c:v>32.8473224092477</c:v>
                </c:pt>
                <c:pt idx="16">
                  <c:v>33.4473224092477</c:v>
                </c:pt>
                <c:pt idx="17">
                  <c:v>34.03732240924771</c:v>
                </c:pt>
                <c:pt idx="18">
                  <c:v>34.6573224092477</c:v>
                </c:pt>
                <c:pt idx="19">
                  <c:v>35.28732240924771</c:v>
                </c:pt>
                <c:pt idx="20">
                  <c:v>35.92732240924771</c:v>
                </c:pt>
                <c:pt idx="21">
                  <c:v>36.5873224092477</c:v>
                </c:pt>
                <c:pt idx="22">
                  <c:v>37.2673224092477</c:v>
                </c:pt>
                <c:pt idx="23">
                  <c:v>38.0273224092477</c:v>
                </c:pt>
                <c:pt idx="24">
                  <c:v>38.7373224092477</c:v>
                </c:pt>
                <c:pt idx="25">
                  <c:v>39.4373224092477</c:v>
                </c:pt>
                <c:pt idx="26">
                  <c:v>39.9821224092477</c:v>
                </c:pt>
                <c:pt idx="27">
                  <c:v>40.5269224092477</c:v>
                </c:pt>
                <c:pt idx="28">
                  <c:v>41.0717224092477</c:v>
                </c:pt>
                <c:pt idx="29">
                  <c:v>41.61652240924769</c:v>
                </c:pt>
                <c:pt idx="30">
                  <c:v>42.1613224092477</c:v>
                </c:pt>
                <c:pt idx="31">
                  <c:v>42.7061224092477</c:v>
                </c:pt>
                <c:pt idx="32">
                  <c:v>43.25092240924771</c:v>
                </c:pt>
                <c:pt idx="33">
                  <c:v>43.7957224092477</c:v>
                </c:pt>
                <c:pt idx="34">
                  <c:v>44.34052240924771</c:v>
                </c:pt>
                <c:pt idx="35">
                  <c:v>44.88532240924771</c:v>
                </c:pt>
                <c:pt idx="36">
                  <c:v>45.43012240924772</c:v>
                </c:pt>
                <c:pt idx="37">
                  <c:v>45.97492240924771</c:v>
                </c:pt>
                <c:pt idx="38">
                  <c:v>46.51972240924772</c:v>
                </c:pt>
                <c:pt idx="39">
                  <c:v>47.06452240924772</c:v>
                </c:pt>
                <c:pt idx="40">
                  <c:v>47.60932240924772</c:v>
                </c:pt>
                <c:pt idx="41">
                  <c:v>48.15412240924772</c:v>
                </c:pt>
                <c:pt idx="42">
                  <c:v>48.69892240924773</c:v>
                </c:pt>
                <c:pt idx="43">
                  <c:v>49.24372240924772</c:v>
                </c:pt>
                <c:pt idx="44">
                  <c:v>49.78852240924773</c:v>
                </c:pt>
                <c:pt idx="45">
                  <c:v>50.33332240924773</c:v>
                </c:pt>
              </c:numCache>
            </c:numRef>
          </c:val>
          <c:smooth val="0"/>
        </c:ser>
        <c:ser>
          <c:idx val="0"/>
          <c:order val="1"/>
          <c:tx>
            <c:strRef>
              <c:f>'EIA-derived'!$A$62</c:f>
              <c:strCache>
                <c:ptCount val="1"/>
                <c:pt idx="0">
                  <c:v>Diesel</c:v>
                </c:pt>
              </c:strCache>
            </c:strRef>
          </c:tx>
          <c:spPr>
            <a:ln w="50800" cap="rnd">
              <a:solidFill>
                <a:srgbClr val="7B35FF"/>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'EIA-derived'!$B$62:$AU$62</c:f>
              <c:numCache>
                <c:formatCode>General</c:formatCode>
                <c:ptCount val="46"/>
                <c:pt idx="0">
                  <c:v>14.71945833333333</c:v>
                </c:pt>
                <c:pt idx="1">
                  <c:v>16.27945833333333</c:v>
                </c:pt>
                <c:pt idx="2">
                  <c:v>16.33945833333333</c:v>
                </c:pt>
                <c:pt idx="3">
                  <c:v>16.34945833333333</c:v>
                </c:pt>
                <c:pt idx="4">
                  <c:v>16.63945833333333</c:v>
                </c:pt>
                <c:pt idx="5">
                  <c:v>16.89945833333334</c:v>
                </c:pt>
                <c:pt idx="6">
                  <c:v>17.28945833333334</c:v>
                </c:pt>
                <c:pt idx="7">
                  <c:v>17.69945833333333</c:v>
                </c:pt>
                <c:pt idx="8">
                  <c:v>18.13945833333333</c:v>
                </c:pt>
                <c:pt idx="9">
                  <c:v>18.57945833333333</c:v>
                </c:pt>
                <c:pt idx="10">
                  <c:v>19.04945833333333</c:v>
                </c:pt>
                <c:pt idx="11">
                  <c:v>19.54945833333333</c:v>
                </c:pt>
                <c:pt idx="12">
                  <c:v>20.06945833333333</c:v>
                </c:pt>
                <c:pt idx="13">
                  <c:v>20.61945833333333</c:v>
                </c:pt>
                <c:pt idx="14">
                  <c:v>21.16945833333333</c:v>
                </c:pt>
                <c:pt idx="15">
                  <c:v>21.74945833333333</c:v>
                </c:pt>
                <c:pt idx="16">
                  <c:v>22.34945833333333</c:v>
                </c:pt>
                <c:pt idx="17">
                  <c:v>22.93945833333333</c:v>
                </c:pt>
                <c:pt idx="18">
                  <c:v>23.55945833333334</c:v>
                </c:pt>
                <c:pt idx="19">
                  <c:v>24.18945833333333</c:v>
                </c:pt>
                <c:pt idx="20">
                  <c:v>24.82945833333333</c:v>
                </c:pt>
                <c:pt idx="21">
                  <c:v>25.48945833333334</c:v>
                </c:pt>
                <c:pt idx="22">
                  <c:v>26.16945833333333</c:v>
                </c:pt>
                <c:pt idx="23">
                  <c:v>26.92945833333333</c:v>
                </c:pt>
                <c:pt idx="24">
                  <c:v>27.63945833333333</c:v>
                </c:pt>
                <c:pt idx="25">
                  <c:v>28.33945833333333</c:v>
                </c:pt>
                <c:pt idx="26">
                  <c:v>28.88425833333333</c:v>
                </c:pt>
                <c:pt idx="27">
                  <c:v>29.42905833333333</c:v>
                </c:pt>
                <c:pt idx="28">
                  <c:v>29.97385833333333</c:v>
                </c:pt>
                <c:pt idx="29">
                  <c:v>30.51865833333333</c:v>
                </c:pt>
                <c:pt idx="30">
                  <c:v>31.06345833333333</c:v>
                </c:pt>
                <c:pt idx="31">
                  <c:v>31.60825833333333</c:v>
                </c:pt>
                <c:pt idx="32">
                  <c:v>32.15305833333333</c:v>
                </c:pt>
                <c:pt idx="33">
                  <c:v>32.69785833333334</c:v>
                </c:pt>
                <c:pt idx="34">
                  <c:v>33.24265833333334</c:v>
                </c:pt>
                <c:pt idx="35">
                  <c:v>33.78745833333334</c:v>
                </c:pt>
                <c:pt idx="36">
                  <c:v>34.33225833333334</c:v>
                </c:pt>
                <c:pt idx="37">
                  <c:v>34.87705833333334</c:v>
                </c:pt>
                <c:pt idx="38">
                  <c:v>35.42185833333335</c:v>
                </c:pt>
                <c:pt idx="39">
                  <c:v>35.96665833333335</c:v>
                </c:pt>
                <c:pt idx="40">
                  <c:v>36.51145833333335</c:v>
                </c:pt>
                <c:pt idx="41">
                  <c:v>37.05625833333335</c:v>
                </c:pt>
                <c:pt idx="42">
                  <c:v>37.60105833333336</c:v>
                </c:pt>
                <c:pt idx="43">
                  <c:v>38.14585833333336</c:v>
                </c:pt>
                <c:pt idx="44">
                  <c:v>38.69065833333336</c:v>
                </c:pt>
                <c:pt idx="45">
                  <c:v>39.23545833333336</c:v>
                </c:pt>
              </c:numCache>
            </c:numRef>
          </c:val>
          <c:smooth val="0"/>
        </c:ser>
        <c:ser>
          <c:idx val="3"/>
          <c:order val="2"/>
          <c:tx>
            <c:strRef>
              <c:f>'EIA-derived'!$A$65</c:f>
              <c:strCache>
                <c:ptCount val="1"/>
                <c:pt idx="0">
                  <c:v>LNG, container</c:v>
                </c:pt>
              </c:strCache>
            </c:strRef>
          </c:tx>
          <c:spPr>
            <a:ln w="25400" cap="rnd">
              <a:solidFill>
                <a:srgbClr val="FF0000"/>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'EIA-derived'!$B$65:$AU$65</c:f>
              <c:numCache>
                <c:formatCode>General</c:formatCode>
                <c:ptCount val="46"/>
                <c:pt idx="0">
                  <c:v>21.97</c:v>
                </c:pt>
                <c:pt idx="1">
                  <c:v>22.01</c:v>
                </c:pt>
                <c:pt idx="2">
                  <c:v>21.98999999999999</c:v>
                </c:pt>
                <c:pt idx="3">
                  <c:v>22.12</c:v>
                </c:pt>
                <c:pt idx="4">
                  <c:v>22.55</c:v>
                </c:pt>
                <c:pt idx="5">
                  <c:v>22.98</c:v>
                </c:pt>
                <c:pt idx="6">
                  <c:v>23.23999999999999</c:v>
                </c:pt>
                <c:pt idx="7">
                  <c:v>23.39</c:v>
                </c:pt>
                <c:pt idx="8">
                  <c:v>23.56</c:v>
                </c:pt>
                <c:pt idx="9">
                  <c:v>23.69</c:v>
                </c:pt>
                <c:pt idx="10">
                  <c:v>23.86</c:v>
                </c:pt>
                <c:pt idx="11">
                  <c:v>24.03</c:v>
                </c:pt>
                <c:pt idx="12">
                  <c:v>23.98999999999999</c:v>
                </c:pt>
                <c:pt idx="13">
                  <c:v>23.87</c:v>
                </c:pt>
                <c:pt idx="14">
                  <c:v>23.84999999999999</c:v>
                </c:pt>
                <c:pt idx="15">
                  <c:v>23.81</c:v>
                </c:pt>
                <c:pt idx="16">
                  <c:v>23.97</c:v>
                </c:pt>
                <c:pt idx="17">
                  <c:v>24.12</c:v>
                </c:pt>
                <c:pt idx="18">
                  <c:v>24.27</c:v>
                </c:pt>
                <c:pt idx="19">
                  <c:v>24.41999999999999</c:v>
                </c:pt>
                <c:pt idx="20">
                  <c:v>24.57</c:v>
                </c:pt>
                <c:pt idx="21">
                  <c:v>24.73999999999999</c:v>
                </c:pt>
                <c:pt idx="22">
                  <c:v>24.91</c:v>
                </c:pt>
                <c:pt idx="23">
                  <c:v>25.12</c:v>
                </c:pt>
                <c:pt idx="24">
                  <c:v>25.47</c:v>
                </c:pt>
                <c:pt idx="25">
                  <c:v>25.87</c:v>
                </c:pt>
                <c:pt idx="26">
                  <c:v>26.026</c:v>
                </c:pt>
                <c:pt idx="27">
                  <c:v>26.182</c:v>
                </c:pt>
                <c:pt idx="28">
                  <c:v>26.338</c:v>
                </c:pt>
                <c:pt idx="29">
                  <c:v>26.494</c:v>
                </c:pt>
                <c:pt idx="30">
                  <c:v>26.65</c:v>
                </c:pt>
                <c:pt idx="31">
                  <c:v>26.806</c:v>
                </c:pt>
                <c:pt idx="32">
                  <c:v>26.962</c:v>
                </c:pt>
                <c:pt idx="33">
                  <c:v>27.118</c:v>
                </c:pt>
                <c:pt idx="34">
                  <c:v>27.274</c:v>
                </c:pt>
                <c:pt idx="35">
                  <c:v>27.43</c:v>
                </c:pt>
                <c:pt idx="36">
                  <c:v>27.586</c:v>
                </c:pt>
                <c:pt idx="37">
                  <c:v>27.742</c:v>
                </c:pt>
                <c:pt idx="38">
                  <c:v>27.898</c:v>
                </c:pt>
                <c:pt idx="39">
                  <c:v>28.054</c:v>
                </c:pt>
                <c:pt idx="40">
                  <c:v>28.21</c:v>
                </c:pt>
                <c:pt idx="41">
                  <c:v>28.36600000000001</c:v>
                </c:pt>
                <c:pt idx="42">
                  <c:v>28.52200000000001</c:v>
                </c:pt>
                <c:pt idx="43">
                  <c:v>28.678</c:v>
                </c:pt>
                <c:pt idx="44">
                  <c:v>28.83400000000001</c:v>
                </c:pt>
                <c:pt idx="45">
                  <c:v>28.99000000000001</c:v>
                </c:pt>
              </c:numCache>
            </c:numRef>
          </c:val>
          <c:smooth val="0"/>
        </c:ser>
        <c:ser>
          <c:idx val="2"/>
          <c:order val="3"/>
          <c:tx>
            <c:strRef>
              <c:f>'EIA-derived'!$A$64</c:f>
              <c:strCache>
                <c:ptCount val="1"/>
                <c:pt idx="0">
                  <c:v>LSFO-Diesel-Blend</c:v>
                </c:pt>
              </c:strCache>
            </c:strRef>
          </c:tx>
          <c:spPr>
            <a:ln w="50800" cap="rnd">
              <a:solidFill>
                <a:srgbClr val="684E8E"/>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'EIA-derived'!$B$64:$AU$64</c:f>
              <c:numCache>
                <c:formatCode>General</c:formatCode>
                <c:ptCount val="46"/>
                <c:pt idx="0">
                  <c:v>13.89728</c:v>
                </c:pt>
                <c:pt idx="1">
                  <c:v>14.24528</c:v>
                </c:pt>
                <c:pt idx="2">
                  <c:v>13.66328</c:v>
                </c:pt>
                <c:pt idx="3">
                  <c:v>13.69728</c:v>
                </c:pt>
                <c:pt idx="4">
                  <c:v>14.50328</c:v>
                </c:pt>
                <c:pt idx="5">
                  <c:v>14.75728</c:v>
                </c:pt>
                <c:pt idx="6">
                  <c:v>15.11728</c:v>
                </c:pt>
                <c:pt idx="7">
                  <c:v>15.49728</c:v>
                </c:pt>
                <c:pt idx="8">
                  <c:v>15.88928</c:v>
                </c:pt>
                <c:pt idx="9">
                  <c:v>16.29328</c:v>
                </c:pt>
                <c:pt idx="10">
                  <c:v>16.70928</c:v>
                </c:pt>
                <c:pt idx="11">
                  <c:v>17.15528</c:v>
                </c:pt>
                <c:pt idx="12">
                  <c:v>17.60328</c:v>
                </c:pt>
                <c:pt idx="13">
                  <c:v>18.07528</c:v>
                </c:pt>
                <c:pt idx="14">
                  <c:v>18.55328</c:v>
                </c:pt>
                <c:pt idx="15">
                  <c:v>19.05528</c:v>
                </c:pt>
                <c:pt idx="16">
                  <c:v>19.58328</c:v>
                </c:pt>
                <c:pt idx="17">
                  <c:v>20.10728</c:v>
                </c:pt>
                <c:pt idx="18">
                  <c:v>20.63128</c:v>
                </c:pt>
                <c:pt idx="19">
                  <c:v>21.20128</c:v>
                </c:pt>
                <c:pt idx="20">
                  <c:v>21.76928</c:v>
                </c:pt>
                <c:pt idx="21">
                  <c:v>22.34528</c:v>
                </c:pt>
                <c:pt idx="22">
                  <c:v>22.93528</c:v>
                </c:pt>
                <c:pt idx="23">
                  <c:v>23.58128</c:v>
                </c:pt>
                <c:pt idx="24">
                  <c:v>24.44728</c:v>
                </c:pt>
                <c:pt idx="25">
                  <c:v>25.41728</c:v>
                </c:pt>
                <c:pt idx="26">
                  <c:v>25.87808</c:v>
                </c:pt>
                <c:pt idx="27">
                  <c:v>26.33888</c:v>
                </c:pt>
                <c:pt idx="28">
                  <c:v>26.79968</c:v>
                </c:pt>
                <c:pt idx="29">
                  <c:v>27.26048</c:v>
                </c:pt>
                <c:pt idx="30">
                  <c:v>27.72128</c:v>
                </c:pt>
                <c:pt idx="31">
                  <c:v>28.18208000000001</c:v>
                </c:pt>
                <c:pt idx="32">
                  <c:v>28.64288000000001</c:v>
                </c:pt>
                <c:pt idx="33">
                  <c:v>29.10368000000001</c:v>
                </c:pt>
                <c:pt idx="34">
                  <c:v>29.56448000000001</c:v>
                </c:pt>
                <c:pt idx="35">
                  <c:v>30.02528000000001</c:v>
                </c:pt>
                <c:pt idx="36">
                  <c:v>30.48608000000002</c:v>
                </c:pt>
                <c:pt idx="37">
                  <c:v>30.94688000000002</c:v>
                </c:pt>
                <c:pt idx="38">
                  <c:v>31.40768000000002</c:v>
                </c:pt>
                <c:pt idx="39">
                  <c:v>31.86848000000002</c:v>
                </c:pt>
                <c:pt idx="40">
                  <c:v>32.32928000000003</c:v>
                </c:pt>
                <c:pt idx="41">
                  <c:v>32.79008000000002</c:v>
                </c:pt>
                <c:pt idx="42">
                  <c:v>33.25088000000002</c:v>
                </c:pt>
                <c:pt idx="43">
                  <c:v>33.71168000000003</c:v>
                </c:pt>
                <c:pt idx="44">
                  <c:v>34.17248000000003</c:v>
                </c:pt>
                <c:pt idx="45">
                  <c:v>34.63328000000003</c:v>
                </c:pt>
              </c:numCache>
            </c:numRef>
          </c:val>
          <c:smooth val="0"/>
        </c:ser>
        <c:ser>
          <c:idx val="1"/>
          <c:order val="4"/>
          <c:tx>
            <c:strRef>
              <c:f>'EIA-derived'!$A$63</c:f>
              <c:strCache>
                <c:ptCount val="1"/>
                <c:pt idx="0">
                  <c:v>LSFO</c:v>
                </c:pt>
              </c:strCache>
            </c:strRef>
          </c:tx>
          <c:spPr>
            <a:ln w="50800" cap="rnd">
              <a:solidFill>
                <a:srgbClr val="999999"/>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'EIA-derived'!$B$63:$AU$63</c:f>
              <c:numCache>
                <c:formatCode>General</c:formatCode>
                <c:ptCount val="46"/>
                <c:pt idx="0">
                  <c:v>13.34916111111111</c:v>
                </c:pt>
                <c:pt idx="1">
                  <c:v>12.88916111111111</c:v>
                </c:pt>
                <c:pt idx="2">
                  <c:v>11.87916111111111</c:v>
                </c:pt>
                <c:pt idx="3">
                  <c:v>11.92916111111111</c:v>
                </c:pt>
                <c:pt idx="4">
                  <c:v>13.07916111111111</c:v>
                </c:pt>
                <c:pt idx="5">
                  <c:v>13.32916111111111</c:v>
                </c:pt>
                <c:pt idx="6">
                  <c:v>13.66916111111111</c:v>
                </c:pt>
                <c:pt idx="7">
                  <c:v>14.02916111111111</c:v>
                </c:pt>
                <c:pt idx="8">
                  <c:v>14.38916111111111</c:v>
                </c:pt>
                <c:pt idx="9">
                  <c:v>14.76916111111111</c:v>
                </c:pt>
                <c:pt idx="10">
                  <c:v>15.14916111111111</c:v>
                </c:pt>
                <c:pt idx="11">
                  <c:v>15.55916111111111</c:v>
                </c:pt>
                <c:pt idx="12">
                  <c:v>15.95916111111111</c:v>
                </c:pt>
                <c:pt idx="13">
                  <c:v>16.37916111111111</c:v>
                </c:pt>
                <c:pt idx="14">
                  <c:v>16.80916111111111</c:v>
                </c:pt>
                <c:pt idx="15">
                  <c:v>17.25916111111111</c:v>
                </c:pt>
                <c:pt idx="16">
                  <c:v>17.73916111111111</c:v>
                </c:pt>
                <c:pt idx="17">
                  <c:v>18.21916111111111</c:v>
                </c:pt>
                <c:pt idx="18">
                  <c:v>18.67916111111111</c:v>
                </c:pt>
                <c:pt idx="19">
                  <c:v>19.20916111111111</c:v>
                </c:pt>
                <c:pt idx="20">
                  <c:v>19.72916111111111</c:v>
                </c:pt>
                <c:pt idx="21">
                  <c:v>20.24916111111111</c:v>
                </c:pt>
                <c:pt idx="22">
                  <c:v>20.77916111111111</c:v>
                </c:pt>
                <c:pt idx="23">
                  <c:v>21.34916111111111</c:v>
                </c:pt>
                <c:pt idx="24">
                  <c:v>22.31916111111111</c:v>
                </c:pt>
                <c:pt idx="25">
                  <c:v>23.46916111111111</c:v>
                </c:pt>
                <c:pt idx="26">
                  <c:v>23.87396111111111</c:v>
                </c:pt>
                <c:pt idx="27">
                  <c:v>24.27876111111112</c:v>
                </c:pt>
                <c:pt idx="28">
                  <c:v>24.68356111111112</c:v>
                </c:pt>
                <c:pt idx="29">
                  <c:v>25.08836111111112</c:v>
                </c:pt>
                <c:pt idx="30">
                  <c:v>25.49316111111112</c:v>
                </c:pt>
                <c:pt idx="31">
                  <c:v>25.89796111111112</c:v>
                </c:pt>
                <c:pt idx="32">
                  <c:v>26.30276111111112</c:v>
                </c:pt>
                <c:pt idx="33">
                  <c:v>26.70756111111113</c:v>
                </c:pt>
                <c:pt idx="34">
                  <c:v>27.11236111111113</c:v>
                </c:pt>
                <c:pt idx="35">
                  <c:v>27.51716111111113</c:v>
                </c:pt>
                <c:pt idx="36">
                  <c:v>27.92196111111113</c:v>
                </c:pt>
                <c:pt idx="37">
                  <c:v>28.32676111111113</c:v>
                </c:pt>
                <c:pt idx="38">
                  <c:v>28.73156111111113</c:v>
                </c:pt>
                <c:pt idx="39">
                  <c:v>29.13636111111114</c:v>
                </c:pt>
                <c:pt idx="40">
                  <c:v>29.54116111111114</c:v>
                </c:pt>
                <c:pt idx="41">
                  <c:v>29.94596111111114</c:v>
                </c:pt>
                <c:pt idx="42">
                  <c:v>30.35076111111114</c:v>
                </c:pt>
                <c:pt idx="43">
                  <c:v>30.75556111111114</c:v>
                </c:pt>
                <c:pt idx="44">
                  <c:v>31.16036111111114</c:v>
                </c:pt>
                <c:pt idx="45">
                  <c:v>31.56516111111114</c:v>
                </c:pt>
              </c:numCache>
            </c:numRef>
          </c:val>
          <c:smooth val="0"/>
        </c:ser>
        <c:ser>
          <c:idx val="7"/>
          <c:order val="5"/>
          <c:tx>
            <c:strRef>
              <c:f>'EIA-derived'!$A$71</c:f>
              <c:strCache>
                <c:ptCount val="1"/>
                <c:pt idx="0">
                  <c:v>Bulk LNG @200 Mwa</c:v>
                </c:pt>
              </c:strCache>
            </c:strRef>
          </c:tx>
          <c:spPr>
            <a:ln w="50800" cap="rnd">
              <a:solidFill>
                <a:srgbClr val="FF0000"/>
              </a:solidFill>
              <a:prstDash val="sysDash"/>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'EIA-derived'!$B$71:$AU$71</c:f>
              <c:numCache>
                <c:formatCode>General</c:formatCode>
                <c:ptCount val="46"/>
                <c:pt idx="0">
                  <c:v>14.52706321114396</c:v>
                </c:pt>
                <c:pt idx="1">
                  <c:v>14.56706321114396</c:v>
                </c:pt>
                <c:pt idx="2">
                  <c:v>14.54706321114396</c:v>
                </c:pt>
                <c:pt idx="3">
                  <c:v>14.67706321114396</c:v>
                </c:pt>
                <c:pt idx="4">
                  <c:v>15.10706321114396</c:v>
                </c:pt>
                <c:pt idx="5">
                  <c:v>15.53706321114396</c:v>
                </c:pt>
                <c:pt idx="6">
                  <c:v>15.79706321114396</c:v>
                </c:pt>
                <c:pt idx="7">
                  <c:v>15.94706321114396</c:v>
                </c:pt>
                <c:pt idx="8">
                  <c:v>16.11706321114396</c:v>
                </c:pt>
                <c:pt idx="9">
                  <c:v>16.24706321114396</c:v>
                </c:pt>
                <c:pt idx="10">
                  <c:v>16.41706321114396</c:v>
                </c:pt>
                <c:pt idx="11">
                  <c:v>16.58706321114396</c:v>
                </c:pt>
                <c:pt idx="12">
                  <c:v>16.54706321114396</c:v>
                </c:pt>
                <c:pt idx="13">
                  <c:v>16.42706321114396</c:v>
                </c:pt>
                <c:pt idx="14">
                  <c:v>16.40706321114396</c:v>
                </c:pt>
                <c:pt idx="15">
                  <c:v>16.36706321114396</c:v>
                </c:pt>
                <c:pt idx="16">
                  <c:v>16.52706321114396</c:v>
                </c:pt>
                <c:pt idx="17">
                  <c:v>16.67706321114396</c:v>
                </c:pt>
                <c:pt idx="18">
                  <c:v>16.82706321114396</c:v>
                </c:pt>
                <c:pt idx="19">
                  <c:v>16.97706321114396</c:v>
                </c:pt>
                <c:pt idx="20">
                  <c:v>17.12706321114396</c:v>
                </c:pt>
                <c:pt idx="21">
                  <c:v>17.29706321114396</c:v>
                </c:pt>
                <c:pt idx="22">
                  <c:v>17.46706321114396</c:v>
                </c:pt>
                <c:pt idx="23">
                  <c:v>17.67706321114396</c:v>
                </c:pt>
                <c:pt idx="24">
                  <c:v>18.02706321114396</c:v>
                </c:pt>
                <c:pt idx="25">
                  <c:v>18.42706321114396</c:v>
                </c:pt>
                <c:pt idx="26">
                  <c:v>18.58306321114396</c:v>
                </c:pt>
                <c:pt idx="27">
                  <c:v>18.73906321114396</c:v>
                </c:pt>
                <c:pt idx="28">
                  <c:v>18.89506321114396</c:v>
                </c:pt>
                <c:pt idx="29">
                  <c:v>19.05106321114396</c:v>
                </c:pt>
                <c:pt idx="30">
                  <c:v>19.20706321114396</c:v>
                </c:pt>
                <c:pt idx="31">
                  <c:v>19.36306321114396</c:v>
                </c:pt>
                <c:pt idx="32">
                  <c:v>19.51906321114397</c:v>
                </c:pt>
                <c:pt idx="33">
                  <c:v>19.67506321114396</c:v>
                </c:pt>
                <c:pt idx="34">
                  <c:v>19.83106321114397</c:v>
                </c:pt>
                <c:pt idx="35">
                  <c:v>19.98706321114397</c:v>
                </c:pt>
                <c:pt idx="36">
                  <c:v>20.14306321114397</c:v>
                </c:pt>
                <c:pt idx="37">
                  <c:v>20.29906321114397</c:v>
                </c:pt>
                <c:pt idx="38">
                  <c:v>20.45506321114397</c:v>
                </c:pt>
                <c:pt idx="39">
                  <c:v>20.61106321114397</c:v>
                </c:pt>
                <c:pt idx="40">
                  <c:v>20.76706321114397</c:v>
                </c:pt>
                <c:pt idx="41">
                  <c:v>20.92306321114397</c:v>
                </c:pt>
                <c:pt idx="42">
                  <c:v>21.07906321114397</c:v>
                </c:pt>
                <c:pt idx="43">
                  <c:v>21.23506321114397</c:v>
                </c:pt>
                <c:pt idx="44">
                  <c:v>21.39106321114397</c:v>
                </c:pt>
                <c:pt idx="45">
                  <c:v>21.54706321114397</c:v>
                </c:pt>
              </c:numCache>
            </c:numRef>
          </c:val>
          <c:smooth val="0"/>
        </c:ser>
        <c:ser>
          <c:idx val="4"/>
          <c:order val="6"/>
          <c:tx>
            <c:strRef>
              <c:f>'EIA-derived'!$A$66</c:f>
              <c:strCache>
                <c:ptCount val="1"/>
                <c:pt idx="0">
                  <c:v>LNG, bulk</c:v>
                </c:pt>
              </c:strCache>
            </c:strRef>
          </c:tx>
          <c:spPr>
            <a:ln w="50800" cap="rnd">
              <a:solidFill>
                <a:srgbClr val="FF0000"/>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'EIA-derived'!$B$66:$AU$66</c:f>
              <c:numCache>
                <c:formatCode>General</c:formatCode>
                <c:ptCount val="46"/>
                <c:pt idx="0">
                  <c:v>9.57706321114396</c:v>
                </c:pt>
                <c:pt idx="1">
                  <c:v>9.61706321114396</c:v>
                </c:pt>
                <c:pt idx="2">
                  <c:v>9.59706321114396</c:v>
                </c:pt>
                <c:pt idx="3">
                  <c:v>9.727063211143962</c:v>
                </c:pt>
                <c:pt idx="4">
                  <c:v>10.15706321114396</c:v>
                </c:pt>
                <c:pt idx="5">
                  <c:v>10.58706321114396</c:v>
                </c:pt>
                <c:pt idx="6">
                  <c:v>10.84706321114396</c:v>
                </c:pt>
                <c:pt idx="7">
                  <c:v>10.99706321114396</c:v>
                </c:pt>
                <c:pt idx="8">
                  <c:v>11.16706321114396</c:v>
                </c:pt>
                <c:pt idx="9">
                  <c:v>11.29706321114396</c:v>
                </c:pt>
                <c:pt idx="10">
                  <c:v>11.46706321114396</c:v>
                </c:pt>
                <c:pt idx="11">
                  <c:v>11.63706321114396</c:v>
                </c:pt>
                <c:pt idx="12">
                  <c:v>11.59706321114396</c:v>
                </c:pt>
                <c:pt idx="13">
                  <c:v>11.47706321114396</c:v>
                </c:pt>
                <c:pt idx="14">
                  <c:v>11.45706321114396</c:v>
                </c:pt>
                <c:pt idx="15">
                  <c:v>11.41706321114396</c:v>
                </c:pt>
                <c:pt idx="16">
                  <c:v>11.57706321114396</c:v>
                </c:pt>
                <c:pt idx="17">
                  <c:v>11.72706321114396</c:v>
                </c:pt>
                <c:pt idx="18">
                  <c:v>11.87706321114396</c:v>
                </c:pt>
                <c:pt idx="19">
                  <c:v>12.02706321114396</c:v>
                </c:pt>
                <c:pt idx="20">
                  <c:v>12.17706321114396</c:v>
                </c:pt>
                <c:pt idx="21">
                  <c:v>12.34706321114396</c:v>
                </c:pt>
                <c:pt idx="22">
                  <c:v>12.51706321114396</c:v>
                </c:pt>
                <c:pt idx="23">
                  <c:v>12.72706321114396</c:v>
                </c:pt>
                <c:pt idx="24">
                  <c:v>13.07706321114396</c:v>
                </c:pt>
                <c:pt idx="25">
                  <c:v>13.47706321114396</c:v>
                </c:pt>
                <c:pt idx="26">
                  <c:v>13.63306321114396</c:v>
                </c:pt>
                <c:pt idx="27">
                  <c:v>13.78906321114396</c:v>
                </c:pt>
                <c:pt idx="28">
                  <c:v>13.94506321114396</c:v>
                </c:pt>
                <c:pt idx="29">
                  <c:v>14.10106321114396</c:v>
                </c:pt>
                <c:pt idx="30">
                  <c:v>14.25706321114396</c:v>
                </c:pt>
                <c:pt idx="31">
                  <c:v>14.41306321114396</c:v>
                </c:pt>
                <c:pt idx="32">
                  <c:v>14.56906321114397</c:v>
                </c:pt>
                <c:pt idx="33">
                  <c:v>14.72506321114396</c:v>
                </c:pt>
                <c:pt idx="34">
                  <c:v>14.88106321114397</c:v>
                </c:pt>
                <c:pt idx="35">
                  <c:v>15.03706321114397</c:v>
                </c:pt>
                <c:pt idx="36">
                  <c:v>15.19306321114397</c:v>
                </c:pt>
                <c:pt idx="37">
                  <c:v>15.34906321114397</c:v>
                </c:pt>
                <c:pt idx="38">
                  <c:v>15.50506321114397</c:v>
                </c:pt>
                <c:pt idx="39">
                  <c:v>15.66106321114397</c:v>
                </c:pt>
                <c:pt idx="40">
                  <c:v>15.81706321114397</c:v>
                </c:pt>
                <c:pt idx="41">
                  <c:v>15.97306321114397</c:v>
                </c:pt>
                <c:pt idx="42">
                  <c:v>16.12906321114397</c:v>
                </c:pt>
                <c:pt idx="43">
                  <c:v>16.28506321114397</c:v>
                </c:pt>
                <c:pt idx="44">
                  <c:v>16.44106321114397</c:v>
                </c:pt>
                <c:pt idx="45">
                  <c:v>16.59706321114397</c:v>
                </c:pt>
              </c:numCache>
            </c:numRef>
          </c:val>
          <c:smooth val="0"/>
        </c:ser>
        <c:ser>
          <c:idx val="8"/>
          <c:order val="7"/>
          <c:tx>
            <c:strRef>
              <c:f>'EIA-derived'!$A$68</c:f>
              <c:strCache>
                <c:ptCount val="1"/>
                <c:pt idx="0">
                  <c:v>Pellet-Biomass</c:v>
                </c:pt>
              </c:strCache>
            </c:strRef>
          </c:tx>
          <c:spPr>
            <a:ln w="50800" cap="rnd">
              <a:solidFill>
                <a:srgbClr val="006600"/>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'EIA-derived'!$B$68:$AU$68</c:f>
              <c:numCache>
                <c:formatCode>General</c:formatCode>
                <c:ptCount val="46"/>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pt idx="29">
                  <c:v>13.0</c:v>
                </c:pt>
                <c:pt idx="30">
                  <c:v>13.0</c:v>
                </c:pt>
                <c:pt idx="31">
                  <c:v>13.0</c:v>
                </c:pt>
                <c:pt idx="32">
                  <c:v>13.0</c:v>
                </c:pt>
                <c:pt idx="33">
                  <c:v>13.0</c:v>
                </c:pt>
                <c:pt idx="34">
                  <c:v>13.0</c:v>
                </c:pt>
                <c:pt idx="35">
                  <c:v>13.0</c:v>
                </c:pt>
                <c:pt idx="36">
                  <c:v>13.0</c:v>
                </c:pt>
                <c:pt idx="37">
                  <c:v>13.0</c:v>
                </c:pt>
                <c:pt idx="38">
                  <c:v>13.0</c:v>
                </c:pt>
                <c:pt idx="39">
                  <c:v>13.0</c:v>
                </c:pt>
                <c:pt idx="40">
                  <c:v>13.0</c:v>
                </c:pt>
                <c:pt idx="41">
                  <c:v>13.0</c:v>
                </c:pt>
                <c:pt idx="42">
                  <c:v>13.0</c:v>
                </c:pt>
                <c:pt idx="43">
                  <c:v>13.0</c:v>
                </c:pt>
                <c:pt idx="44">
                  <c:v>13.0</c:v>
                </c:pt>
                <c:pt idx="45">
                  <c:v>13.0</c:v>
                </c:pt>
              </c:numCache>
            </c:numRef>
          </c:val>
          <c:smooth val="0"/>
        </c:ser>
        <c:ser>
          <c:idx val="5"/>
          <c:order val="8"/>
          <c:tx>
            <c:strRef>
              <c:f>'EIA-derived'!$A$67</c:f>
              <c:strCache>
                <c:ptCount val="1"/>
                <c:pt idx="0">
                  <c:v>Coal</c:v>
                </c:pt>
              </c:strCache>
            </c:strRef>
          </c:tx>
          <c:spPr>
            <a:ln w="50800" cap="rnd">
              <a:solidFill>
                <a:srgbClr val="323232"/>
              </a:solidFill>
              <a:round/>
            </a:ln>
            <a:effectLst/>
          </c:spPr>
          <c:marker>
            <c:symbol val="none"/>
          </c:marker>
          <c:cat>
            <c:numRef>
              <c:f>'EIA-derived'!$B$61:$AU$61</c:f>
              <c:numCache>
                <c:formatCode>General</c:formatCode>
                <c:ptCount val="4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pt idx="36">
                  <c:v>2051.0</c:v>
                </c:pt>
                <c:pt idx="37">
                  <c:v>2052.0</c:v>
                </c:pt>
                <c:pt idx="38">
                  <c:v>2053.0</c:v>
                </c:pt>
                <c:pt idx="39">
                  <c:v>2054.0</c:v>
                </c:pt>
                <c:pt idx="40">
                  <c:v>2055.0</c:v>
                </c:pt>
                <c:pt idx="41">
                  <c:v>2056.0</c:v>
                </c:pt>
                <c:pt idx="42">
                  <c:v>2057.0</c:v>
                </c:pt>
                <c:pt idx="43">
                  <c:v>2058.0</c:v>
                </c:pt>
                <c:pt idx="44">
                  <c:v>2059.0</c:v>
                </c:pt>
                <c:pt idx="45">
                  <c:v>2060.0</c:v>
                </c:pt>
              </c:numCache>
            </c:numRef>
          </c:cat>
          <c:val>
            <c:numRef>
              <c:f>'EIA-derived'!$B$67:$AU$67</c:f>
              <c:numCache>
                <c:formatCode>General</c:formatCode>
                <c:ptCount val="46"/>
                <c:pt idx="0">
                  <c:v>2.551</c:v>
                </c:pt>
                <c:pt idx="1">
                  <c:v>2.541</c:v>
                </c:pt>
                <c:pt idx="2">
                  <c:v>2.561</c:v>
                </c:pt>
                <c:pt idx="3">
                  <c:v>2.591</c:v>
                </c:pt>
                <c:pt idx="4">
                  <c:v>2.631</c:v>
                </c:pt>
                <c:pt idx="5">
                  <c:v>2.671</c:v>
                </c:pt>
                <c:pt idx="6">
                  <c:v>2.711</c:v>
                </c:pt>
                <c:pt idx="7">
                  <c:v>2.741</c:v>
                </c:pt>
                <c:pt idx="8">
                  <c:v>2.771</c:v>
                </c:pt>
                <c:pt idx="9">
                  <c:v>2.801</c:v>
                </c:pt>
                <c:pt idx="10">
                  <c:v>2.831</c:v>
                </c:pt>
                <c:pt idx="11">
                  <c:v>2.861</c:v>
                </c:pt>
                <c:pt idx="12">
                  <c:v>2.891</c:v>
                </c:pt>
                <c:pt idx="13">
                  <c:v>2.911</c:v>
                </c:pt>
                <c:pt idx="14">
                  <c:v>2.941</c:v>
                </c:pt>
                <c:pt idx="15">
                  <c:v>2.961</c:v>
                </c:pt>
                <c:pt idx="16">
                  <c:v>2.981</c:v>
                </c:pt>
                <c:pt idx="17">
                  <c:v>3.001</c:v>
                </c:pt>
                <c:pt idx="18">
                  <c:v>3.031</c:v>
                </c:pt>
                <c:pt idx="19">
                  <c:v>3.051</c:v>
                </c:pt>
                <c:pt idx="20">
                  <c:v>3.081</c:v>
                </c:pt>
                <c:pt idx="21">
                  <c:v>3.101</c:v>
                </c:pt>
                <c:pt idx="22">
                  <c:v>3.131</c:v>
                </c:pt>
                <c:pt idx="23">
                  <c:v>3.151</c:v>
                </c:pt>
                <c:pt idx="24">
                  <c:v>3.181</c:v>
                </c:pt>
                <c:pt idx="25">
                  <c:v>3.211</c:v>
                </c:pt>
                <c:pt idx="26">
                  <c:v>3.2374</c:v>
                </c:pt>
                <c:pt idx="27">
                  <c:v>3.2638</c:v>
                </c:pt>
                <c:pt idx="28">
                  <c:v>3.2902</c:v>
                </c:pt>
                <c:pt idx="29">
                  <c:v>3.316600000000001</c:v>
                </c:pt>
                <c:pt idx="30">
                  <c:v>3.343000000000001</c:v>
                </c:pt>
                <c:pt idx="31">
                  <c:v>3.369400000000001</c:v>
                </c:pt>
                <c:pt idx="32">
                  <c:v>3.395800000000001</c:v>
                </c:pt>
                <c:pt idx="33">
                  <c:v>3.422200000000001</c:v>
                </c:pt>
                <c:pt idx="34">
                  <c:v>3.448600000000002</c:v>
                </c:pt>
                <c:pt idx="35">
                  <c:v>3.475000000000002</c:v>
                </c:pt>
                <c:pt idx="36">
                  <c:v>3.501400000000002</c:v>
                </c:pt>
                <c:pt idx="37">
                  <c:v>3.527800000000002</c:v>
                </c:pt>
                <c:pt idx="38">
                  <c:v>3.554200000000002</c:v>
                </c:pt>
                <c:pt idx="39">
                  <c:v>3.580600000000003</c:v>
                </c:pt>
                <c:pt idx="40">
                  <c:v>3.607000000000003</c:v>
                </c:pt>
                <c:pt idx="41">
                  <c:v>3.633400000000003</c:v>
                </c:pt>
                <c:pt idx="42">
                  <c:v>3.659800000000003</c:v>
                </c:pt>
                <c:pt idx="43">
                  <c:v>3.686200000000003</c:v>
                </c:pt>
                <c:pt idx="44">
                  <c:v>3.712600000000004</c:v>
                </c:pt>
                <c:pt idx="45">
                  <c:v>3.739000000000004</c:v>
                </c:pt>
              </c:numCache>
            </c:numRef>
          </c:val>
          <c:smooth val="0"/>
        </c:ser>
        <c:dLbls>
          <c:showLegendKey val="0"/>
          <c:showVal val="0"/>
          <c:showCatName val="0"/>
          <c:showSerName val="0"/>
          <c:showPercent val="0"/>
          <c:showBubbleSize val="0"/>
        </c:dLbls>
        <c:marker val="1"/>
        <c:smooth val="0"/>
        <c:axId val="2100493144"/>
        <c:axId val="2103560872"/>
      </c:lineChart>
      <c:catAx>
        <c:axId val="2100493144"/>
        <c:scaling>
          <c:orientation val="minMax"/>
        </c:scaling>
        <c:delete val="0"/>
        <c:axPos val="b"/>
        <c:title>
          <c:tx>
            <c:rich>
              <a:bodyPr rot="0" vert="horz"/>
              <a:lstStyle/>
              <a:p>
                <a:pPr>
                  <a:defRPr/>
                </a:pPr>
                <a:r>
                  <a:rPr lang="en-US"/>
                  <a:t>Year</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60000000" vert="horz"/>
          <a:lstStyle/>
          <a:p>
            <a:pPr>
              <a:defRPr/>
            </a:pPr>
            <a:endParaRPr lang="en-US"/>
          </a:p>
        </c:txPr>
        <c:crossAx val="2103560872"/>
        <c:crosses val="autoZero"/>
        <c:auto val="1"/>
        <c:lblAlgn val="ctr"/>
        <c:lblOffset val="100"/>
        <c:tickLblSkip val="10"/>
        <c:tickMarkSkip val="5"/>
        <c:noMultiLvlLbl val="0"/>
      </c:catAx>
      <c:valAx>
        <c:axId val="2103560872"/>
        <c:scaling>
          <c:orientation val="minMax"/>
          <c:max val="75.0"/>
        </c:scaling>
        <c:delete val="0"/>
        <c:axPos val="l"/>
        <c:title>
          <c:tx>
            <c:rich>
              <a:bodyPr rot="-5400000" vert="horz"/>
              <a:lstStyle/>
              <a:p>
                <a:pPr>
                  <a:defRPr/>
                </a:pPr>
                <a:r>
                  <a:rPr lang="en-US"/>
                  <a:t>Delivered Fuel Price (2015$/MMBtu)</a:t>
                </a:r>
              </a:p>
            </c:rich>
          </c:tx>
          <c:layout>
            <c:manualLayout>
              <c:xMode val="edge"/>
              <c:yMode val="edge"/>
              <c:x val="0.000480924732893237"/>
              <c:y val="0.0709851798828177"/>
            </c:manualLayout>
          </c:layout>
          <c:overlay val="0"/>
          <c:spPr>
            <a:noFill/>
            <a:ln>
              <a:noFill/>
            </a:ln>
            <a:effectLst/>
          </c:spPr>
        </c:title>
        <c:numFmt formatCode="&quot;$&quot;#,##0" sourceLinked="0"/>
        <c:majorTickMark val="out"/>
        <c:minorTickMark val="none"/>
        <c:tickLblPos val="nextTo"/>
        <c:spPr>
          <a:noFill/>
          <a:ln>
            <a:solidFill>
              <a:schemeClr val="tx1"/>
            </a:solidFill>
          </a:ln>
          <a:effectLst/>
        </c:spPr>
        <c:txPr>
          <a:bodyPr rot="-60000000" vert="horz"/>
          <a:lstStyle/>
          <a:p>
            <a:pPr>
              <a:defRPr/>
            </a:pPr>
            <a:endParaRPr lang="en-US"/>
          </a:p>
        </c:txPr>
        <c:crossAx val="2100493144"/>
        <c:crosses val="autoZero"/>
        <c:crossBetween val="midCat"/>
        <c:majorUnit val="25.0"/>
      </c:valAx>
      <c:spPr>
        <a:noFill/>
        <a:ln>
          <a:noFill/>
        </a:ln>
        <a:effectLst/>
      </c:spPr>
    </c:plotArea>
    <c:legend>
      <c:legendPos val="b"/>
      <c:layout>
        <c:manualLayout>
          <c:xMode val="edge"/>
          <c:yMode val="edge"/>
          <c:x val="0.611274498903298"/>
          <c:y val="0.108341367024939"/>
          <c:w val="0.388725501096702"/>
          <c:h val="0.725150444597467"/>
        </c:manualLayout>
      </c:layout>
      <c:overlay val="0"/>
      <c:spPr>
        <a:noFill/>
        <a:ln>
          <a:noFill/>
        </a:ln>
        <a:effectLst/>
      </c:spPr>
      <c:txPr>
        <a:bodyPr rot="0" vert="horz"/>
        <a:lstStyle/>
        <a:p>
          <a:pPr>
            <a:defRPr/>
          </a:pPr>
          <a:endParaRPr lang="en-US"/>
        </a:p>
      </c:txPr>
    </c:legend>
    <c:plotVisOnly val="1"/>
    <c:dispBlanksAs val="gap"/>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488950</xdr:colOff>
      <xdr:row>42</xdr:row>
      <xdr:rowOff>44450</xdr:rowOff>
    </xdr:from>
    <xdr:to>
      <xdr:col>20</xdr:col>
      <xdr:colOff>381000</xdr:colOff>
      <xdr:row>67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42</xdr:row>
      <xdr:rowOff>101600</xdr:rowOff>
    </xdr:from>
    <xdr:to>
      <xdr:col>13</xdr:col>
      <xdr:colOff>196850</xdr:colOff>
      <xdr:row>63</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21</xdr:row>
      <xdr:rowOff>177800</xdr:rowOff>
    </xdr:from>
    <xdr:to>
      <xdr:col>6</xdr:col>
      <xdr:colOff>95250</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565150</xdr:colOff>
      <xdr:row>73</xdr:row>
      <xdr:rowOff>177800</xdr:rowOff>
    </xdr:from>
    <xdr:to>
      <xdr:col>10</xdr:col>
      <xdr:colOff>558800</xdr:colOff>
      <xdr:row>91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8" sqref="E8"/>
    </sheetView>
  </sheetViews>
  <sheetFormatPr baseColWidth="10" defaultRowHeight="15" x14ac:dyDescent="0"/>
  <cols>
    <col min="1" max="1" width="27.1640625" bestFit="1" customWidth="1"/>
    <col min="2" max="2" width="13.5" bestFit="1" customWidth="1"/>
    <col min="4" max="4" width="31" bestFit="1" customWidth="1"/>
    <col min="5" max="5" width="11.1640625" bestFit="1" customWidth="1"/>
    <col min="6" max="6" width="11.6640625" bestFit="1" customWidth="1"/>
  </cols>
  <sheetData>
    <row r="1" spans="1:8">
      <c r="A1" t="s">
        <v>0</v>
      </c>
      <c r="D1" t="s">
        <v>12</v>
      </c>
      <c r="G1" t="s">
        <v>144</v>
      </c>
    </row>
    <row r="2" spans="1:8">
      <c r="B2" t="s">
        <v>5</v>
      </c>
    </row>
    <row r="3" spans="1:8">
      <c r="A3" t="s">
        <v>2</v>
      </c>
      <c r="B3">
        <v>4.3099999999999996</v>
      </c>
      <c r="D3" t="s">
        <v>6</v>
      </c>
      <c r="E3">
        <v>0.85</v>
      </c>
      <c r="F3" t="s">
        <v>7</v>
      </c>
      <c r="G3" t="s">
        <v>8</v>
      </c>
    </row>
    <row r="4" spans="1:8">
      <c r="A4" t="s">
        <v>1</v>
      </c>
      <c r="B4">
        <f>8.3-4.31</f>
        <v>3.9900000000000011</v>
      </c>
      <c r="D4" t="s">
        <v>9</v>
      </c>
      <c r="E4">
        <v>76000000</v>
      </c>
      <c r="F4" t="s">
        <v>11</v>
      </c>
      <c r="G4" t="s">
        <v>10</v>
      </c>
    </row>
    <row r="5" spans="1:8">
      <c r="A5" t="s">
        <v>3</v>
      </c>
      <c r="B5">
        <v>1.89</v>
      </c>
      <c r="D5" t="s">
        <v>14</v>
      </c>
      <c r="E5" s="1">
        <v>51113806</v>
      </c>
      <c r="F5" t="s">
        <v>13</v>
      </c>
      <c r="G5" t="s">
        <v>18</v>
      </c>
    </row>
    <row r="6" spans="1:8">
      <c r="A6" t="s">
        <v>4</v>
      </c>
      <c r="B6">
        <v>2.54</v>
      </c>
      <c r="D6" t="s">
        <v>15</v>
      </c>
      <c r="E6">
        <f>E5*E3</f>
        <v>43446735.100000001</v>
      </c>
      <c r="F6" t="s">
        <v>16</v>
      </c>
    </row>
    <row r="7" spans="1:8">
      <c r="A7" t="s">
        <v>36</v>
      </c>
      <c r="B7">
        <f>SUM(B3:B6)</f>
        <v>12.73</v>
      </c>
      <c r="D7" t="s">
        <v>17</v>
      </c>
      <c r="E7">
        <f>E4/E6</f>
        <v>1.7492683817339361</v>
      </c>
      <c r="G7" t="s">
        <v>142</v>
      </c>
    </row>
    <row r="8" spans="1:8">
      <c r="D8" t="s">
        <v>37</v>
      </c>
      <c r="E8">
        <f>E6*1000000/8000/1000/8760</f>
        <v>619.95911957762564</v>
      </c>
      <c r="G8" t="s">
        <v>143</v>
      </c>
    </row>
    <row r="10" spans="1:8">
      <c r="D10" t="s">
        <v>100</v>
      </c>
      <c r="E10">
        <v>200</v>
      </c>
    </row>
    <row r="11" spans="1:8">
      <c r="D11" t="str">
        <f>"Cost per MMBtu per year (@ " &amp; E10 &amp; " MWa)"</f>
        <v>Cost per MMBtu per year (@ 200 MWa)</v>
      </c>
      <c r="E11">
        <f>E7*E8/E10</f>
        <v>5.422374429223745</v>
      </c>
    </row>
    <row r="14" spans="1:8">
      <c r="D14" t="s">
        <v>69</v>
      </c>
      <c r="E14">
        <v>2015</v>
      </c>
      <c r="F14">
        <v>2020</v>
      </c>
      <c r="G14">
        <v>2025</v>
      </c>
      <c r="H14">
        <v>2030</v>
      </c>
    </row>
    <row r="15" spans="1:8">
      <c r="D15" t="s">
        <v>65</v>
      </c>
      <c r="E15">
        <v>8.6300000000000008</v>
      </c>
      <c r="F15">
        <v>8.98</v>
      </c>
      <c r="G15">
        <v>10.23</v>
      </c>
      <c r="H15">
        <v>11.02</v>
      </c>
    </row>
    <row r="16" spans="1:8">
      <c r="D16" t="s">
        <v>66</v>
      </c>
      <c r="E16">
        <v>26.22</v>
      </c>
      <c r="F16">
        <v>26.57</v>
      </c>
      <c r="G16">
        <v>27.82</v>
      </c>
      <c r="H16">
        <v>28.61</v>
      </c>
    </row>
    <row r="17" spans="4:8">
      <c r="D17" t="s">
        <v>67</v>
      </c>
      <c r="E17">
        <v>11.13</v>
      </c>
      <c r="F17">
        <v>11.48</v>
      </c>
      <c r="G17">
        <v>12.73</v>
      </c>
      <c r="H17">
        <v>13.52</v>
      </c>
    </row>
    <row r="18" spans="4:8">
      <c r="D18" t="s">
        <v>68</v>
      </c>
      <c r="E18">
        <v>28.72</v>
      </c>
      <c r="F18">
        <v>29.07</v>
      </c>
      <c r="G18">
        <v>30.3</v>
      </c>
      <c r="H18">
        <v>31.11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workbookViewId="0">
      <selection activeCell="V46" sqref="V46"/>
    </sheetView>
  </sheetViews>
  <sheetFormatPr baseColWidth="10" defaultRowHeight="15" x14ac:dyDescent="0"/>
  <cols>
    <col min="7" max="7" width="13.33203125" customWidth="1"/>
    <col min="11" max="11" width="3.6640625" customWidth="1"/>
    <col min="15" max="15" width="7" customWidth="1"/>
    <col min="18" max="18" width="6" customWidth="1"/>
  </cols>
  <sheetData>
    <row r="1" spans="1:24">
      <c r="A1" t="s">
        <v>152</v>
      </c>
      <c r="H1" t="s">
        <v>153</v>
      </c>
      <c r="P1" t="s">
        <v>167</v>
      </c>
      <c r="S1" t="s">
        <v>157</v>
      </c>
    </row>
    <row r="2" spans="1:24" ht="60">
      <c r="B2" s="8" t="s">
        <v>149</v>
      </c>
      <c r="C2" s="8" t="s">
        <v>150</v>
      </c>
      <c r="D2" s="8" t="s">
        <v>151</v>
      </c>
      <c r="E2" s="8" t="s">
        <v>146</v>
      </c>
      <c r="F2" s="8" t="s">
        <v>145</v>
      </c>
      <c r="G2" s="8"/>
      <c r="H2" s="8" t="s">
        <v>158</v>
      </c>
      <c r="I2" s="8" t="s">
        <v>159</v>
      </c>
      <c r="J2" s="8" t="s">
        <v>154</v>
      </c>
      <c r="K2" s="8"/>
      <c r="L2" s="8" t="s">
        <v>164</v>
      </c>
      <c r="M2" s="8" t="s">
        <v>165</v>
      </c>
      <c r="N2" s="8" t="s">
        <v>148</v>
      </c>
      <c r="O2" s="8"/>
      <c r="P2" s="8" t="str">
        <f>I2</f>
        <v>Brent Crude per MMBtu</v>
      </c>
      <c r="Q2" s="8" t="str">
        <f>J2</f>
        <v>Henry Hub</v>
      </c>
      <c r="R2" s="8"/>
      <c r="S2" s="8" t="str">
        <f>B2</f>
        <v>Oahu LSFO</v>
      </c>
      <c r="T2" s="8" t="str">
        <f>C2</f>
        <v>Oahu Diesel</v>
      </c>
      <c r="U2" s="8" t="str">
        <f>F2</f>
        <v>containerized LNG, delivered</v>
      </c>
      <c r="V2" s="8"/>
      <c r="W2" t="s">
        <v>162</v>
      </c>
      <c r="X2" s="8" t="s">
        <v>155</v>
      </c>
    </row>
    <row r="3" spans="1:24">
      <c r="A3">
        <v>2013</v>
      </c>
      <c r="B3" s="8"/>
      <c r="C3" s="8"/>
      <c r="D3" s="8"/>
      <c r="E3" s="8"/>
      <c r="F3" s="8"/>
      <c r="G3" s="8"/>
      <c r="H3" s="8"/>
      <c r="I3" s="8"/>
      <c r="J3" s="8"/>
      <c r="K3" s="8"/>
      <c r="L3" s="8">
        <v>1.0673950000000001</v>
      </c>
      <c r="M3">
        <f>L3/$L$3</f>
        <v>1</v>
      </c>
      <c r="N3">
        <f>L3/$L$6</f>
        <v>0.9475481610431068</v>
      </c>
      <c r="P3" s="8"/>
      <c r="Q3" s="8"/>
      <c r="R3" s="8"/>
      <c r="S3" s="8"/>
      <c r="T3" s="8"/>
      <c r="U3" s="8"/>
      <c r="V3" s="8"/>
      <c r="X3" s="8"/>
    </row>
    <row r="4" spans="1:24">
      <c r="A4">
        <v>2014</v>
      </c>
      <c r="B4" s="8"/>
      <c r="C4" s="8"/>
      <c r="D4" s="8"/>
      <c r="E4" s="8"/>
      <c r="F4" s="8"/>
      <c r="G4" s="8"/>
      <c r="H4" s="8"/>
      <c r="I4" s="8"/>
      <c r="J4" s="8"/>
      <c r="K4" s="8"/>
      <c r="L4" s="8">
        <v>1.0843449999999999</v>
      </c>
      <c r="M4">
        <f t="shared" ref="M4:M35" si="0">L4/$L$3</f>
        <v>1.0158797820862939</v>
      </c>
      <c r="N4">
        <f t="shared" ref="N4:N5" si="1">L4/$L$6</f>
        <v>0.96259501935673997</v>
      </c>
      <c r="O4" s="8"/>
      <c r="P4" s="8"/>
      <c r="Q4" s="8"/>
      <c r="R4" s="8"/>
      <c r="S4" s="8"/>
      <c r="T4" s="8"/>
      <c r="U4" s="8"/>
      <c r="V4" s="8"/>
      <c r="X4" s="8"/>
    </row>
    <row r="5" spans="1:24">
      <c r="A5">
        <v>2015</v>
      </c>
      <c r="B5" s="8"/>
      <c r="C5" s="8"/>
      <c r="D5" s="8"/>
      <c r="E5" s="8"/>
      <c r="F5" s="8"/>
      <c r="G5" s="8"/>
      <c r="H5" s="8"/>
      <c r="I5" s="8"/>
      <c r="J5" s="8"/>
      <c r="K5" s="8"/>
      <c r="L5" s="8">
        <v>1.105016</v>
      </c>
      <c r="M5">
        <f t="shared" si="0"/>
        <v>1.0352456213491725</v>
      </c>
      <c r="N5">
        <f t="shared" si="1"/>
        <v>0.98094508473733688</v>
      </c>
      <c r="O5" s="8"/>
      <c r="P5" s="8"/>
      <c r="Q5" s="8"/>
      <c r="R5" s="8"/>
      <c r="S5" s="8"/>
      <c r="T5" s="8"/>
      <c r="U5" s="8"/>
      <c r="V5" s="8"/>
      <c r="X5" s="8"/>
    </row>
    <row r="6" spans="1:24">
      <c r="A6">
        <v>2016</v>
      </c>
      <c r="B6" s="5">
        <v>13.65</v>
      </c>
      <c r="C6" s="5">
        <v>16.29</v>
      </c>
      <c r="D6" s="5">
        <v>17.39</v>
      </c>
      <c r="H6">
        <v>71.066115999999994</v>
      </c>
      <c r="I6">
        <f>H6/6.115</f>
        <v>11.621605233033522</v>
      </c>
      <c r="J6">
        <v>3.6981470000000001</v>
      </c>
      <c r="L6">
        <v>1.1264810000000001</v>
      </c>
      <c r="M6">
        <f t="shared" si="0"/>
        <v>1.0553553276903114</v>
      </c>
      <c r="N6">
        <f>L6/$L$6</f>
        <v>1</v>
      </c>
      <c r="P6">
        <f>I6*$M$6</f>
        <v>12.26492299899553</v>
      </c>
      <c r="Q6">
        <f>J6*$M$6</f>
        <v>3.9028591390319418</v>
      </c>
      <c r="S6" s="5">
        <f t="shared" ref="S6:T35" si="2">B6/$N6</f>
        <v>13.65</v>
      </c>
      <c r="T6" s="5">
        <f t="shared" si="2"/>
        <v>16.29</v>
      </c>
      <c r="V6" s="5"/>
      <c r="W6">
        <f t="shared" ref="W6:W35" si="3">I6*$M6</f>
        <v>12.26492299899553</v>
      </c>
      <c r="X6">
        <f t="shared" ref="X6:X35" si="4">J6*$M6</f>
        <v>3.9028591390319418</v>
      </c>
    </row>
    <row r="7" spans="1:24">
      <c r="A7">
        <f>A6+1</f>
        <v>2017</v>
      </c>
      <c r="B7" s="5">
        <v>14.92</v>
      </c>
      <c r="C7" s="5">
        <v>17.63</v>
      </c>
      <c r="D7" s="5">
        <v>18.77</v>
      </c>
      <c r="H7">
        <v>76.353560999999999</v>
      </c>
      <c r="I7">
        <f t="shared" ref="I7:I35" si="5">H7/6.115</f>
        <v>12.486273262469338</v>
      </c>
      <c r="J7">
        <v>3.8043559999999998</v>
      </c>
      <c r="L7">
        <v>1.146142</v>
      </c>
      <c r="M7">
        <f t="shared" si="0"/>
        <v>1.0737749380501125</v>
      </c>
      <c r="N7">
        <f t="shared" ref="N7:N35" si="6">L7/$L$6</f>
        <v>1.0174534679235601</v>
      </c>
      <c r="P7">
        <f t="shared" ref="P7:P35" si="7">I7*$M$6</f>
        <v>13.177455010544101</v>
      </c>
      <c r="Q7">
        <f t="shared" ref="Q7:Q35" si="8">J7*$M$6</f>
        <v>4.0149473730306022</v>
      </c>
      <c r="S7" s="5">
        <f t="shared" si="2"/>
        <v>14.664061276874945</v>
      </c>
      <c r="T7" s="5">
        <f t="shared" si="2"/>
        <v>17.327573747406518</v>
      </c>
      <c r="V7" s="5"/>
      <c r="W7">
        <f t="shared" si="3"/>
        <v>13.407447298884788</v>
      </c>
      <c r="X7">
        <f t="shared" si="4"/>
        <v>4.0850221282205732</v>
      </c>
    </row>
    <row r="8" spans="1:24">
      <c r="A8">
        <f t="shared" ref="A8:A35" si="9">A7+1</f>
        <v>2018</v>
      </c>
      <c r="B8" s="5">
        <v>15.18</v>
      </c>
      <c r="C8" s="5">
        <v>17.940000000000001</v>
      </c>
      <c r="D8" s="5">
        <v>19.100000000000001</v>
      </c>
      <c r="H8">
        <v>76.245338000000004</v>
      </c>
      <c r="I8">
        <f t="shared" si="5"/>
        <v>12.468575306623059</v>
      </c>
      <c r="J8">
        <v>4.211246</v>
      </c>
      <c r="L8">
        <v>1.1677329999999999</v>
      </c>
      <c r="M8">
        <f t="shared" si="0"/>
        <v>1.094002688789061</v>
      </c>
      <c r="N8">
        <f t="shared" si="6"/>
        <v>1.036620235938289</v>
      </c>
      <c r="P8">
        <f t="shared" si="7"/>
        <v>13.158777378552504</v>
      </c>
      <c r="Q8">
        <f t="shared" si="8"/>
        <v>4.4443609023145134</v>
      </c>
      <c r="S8" s="5">
        <f t="shared" si="2"/>
        <v>14.643742687754823</v>
      </c>
      <c r="T8" s="5">
        <f t="shared" si="2"/>
        <v>17.306241358255701</v>
      </c>
      <c r="V8" s="5"/>
      <c r="W8">
        <f t="shared" si="3"/>
        <v>13.640654910814517</v>
      </c>
      <c r="X8">
        <f t="shared" si="4"/>
        <v>4.6071144471521785</v>
      </c>
    </row>
    <row r="9" spans="1:24">
      <c r="A9">
        <f t="shared" si="9"/>
        <v>2019</v>
      </c>
      <c r="B9" s="5">
        <v>15.76</v>
      </c>
      <c r="C9" s="5">
        <v>18.579999999999998</v>
      </c>
      <c r="D9" s="5">
        <v>19.77</v>
      </c>
      <c r="H9">
        <v>77.689269999999993</v>
      </c>
      <c r="I9">
        <f t="shared" si="5"/>
        <v>12.704704824202778</v>
      </c>
      <c r="J9">
        <v>4.551641</v>
      </c>
      <c r="L9">
        <v>1.189538</v>
      </c>
      <c r="M9">
        <f t="shared" si="0"/>
        <v>1.114430927632226</v>
      </c>
      <c r="N9">
        <f t="shared" si="6"/>
        <v>1.0559769760874795</v>
      </c>
      <c r="P9">
        <f t="shared" si="7"/>
        <v>13.407977922955203</v>
      </c>
      <c r="Q9">
        <f t="shared" si="8"/>
        <v>4.8035985790836566</v>
      </c>
      <c r="S9" s="5">
        <f t="shared" si="2"/>
        <v>14.924567823810587</v>
      </c>
      <c r="T9" s="5">
        <f t="shared" si="2"/>
        <v>17.595080594314766</v>
      </c>
      <c r="V9" s="5"/>
      <c r="W9">
        <f t="shared" si="3"/>
        <v>14.158515982529918</v>
      </c>
      <c r="X9">
        <f t="shared" si="4"/>
        <v>5.0724895018788727</v>
      </c>
    </row>
    <row r="10" spans="1:24">
      <c r="A10">
        <f t="shared" si="9"/>
        <v>2020</v>
      </c>
      <c r="B10" s="5">
        <v>16.34</v>
      </c>
      <c r="C10" s="5">
        <v>19.21</v>
      </c>
      <c r="D10" s="5">
        <v>20.43</v>
      </c>
      <c r="H10">
        <v>79.133178999999998</v>
      </c>
      <c r="I10">
        <f t="shared" si="5"/>
        <v>12.940830580539656</v>
      </c>
      <c r="J10">
        <v>4.8806750000000001</v>
      </c>
      <c r="L10">
        <v>1.2105939999999999</v>
      </c>
      <c r="M10">
        <f t="shared" si="0"/>
        <v>1.1341574581106337</v>
      </c>
      <c r="N10">
        <f t="shared" si="6"/>
        <v>1.0746688137660554</v>
      </c>
      <c r="P10">
        <f t="shared" si="7"/>
        <v>13.65717449791023</v>
      </c>
      <c r="Q10">
        <f t="shared" si="8"/>
        <v>5.1508463639749102</v>
      </c>
      <c r="S10" s="5">
        <f t="shared" si="2"/>
        <v>15.204684262436459</v>
      </c>
      <c r="T10" s="5">
        <f t="shared" si="2"/>
        <v>17.875274460306265</v>
      </c>
      <c r="V10" s="5"/>
      <c r="W10">
        <f t="shared" si="3"/>
        <v>14.676939517065213</v>
      </c>
      <c r="X10">
        <f t="shared" si="4"/>
        <v>5.5354539518641177</v>
      </c>
    </row>
    <row r="11" spans="1:24">
      <c r="A11">
        <f t="shared" si="9"/>
        <v>2021</v>
      </c>
      <c r="B11" s="5">
        <v>17.07</v>
      </c>
      <c r="C11" s="5">
        <v>20</v>
      </c>
      <c r="D11" s="5">
        <v>21.25</v>
      </c>
      <c r="E11" s="5">
        <v>8.93</v>
      </c>
      <c r="F11" s="6">
        <v>15.2</v>
      </c>
      <c r="G11" s="5"/>
      <c r="H11">
        <v>81.286972000000006</v>
      </c>
      <c r="I11">
        <f t="shared" si="5"/>
        <v>13.293045298446444</v>
      </c>
      <c r="J11">
        <v>5.0184519999999999</v>
      </c>
      <c r="L11">
        <v>1.23139</v>
      </c>
      <c r="M11">
        <f t="shared" si="0"/>
        <v>1.1536404049110216</v>
      </c>
      <c r="N11">
        <f t="shared" si="6"/>
        <v>1.0931298441784636</v>
      </c>
      <c r="P11">
        <f t="shared" si="7"/>
        <v>14.0288861769441</v>
      </c>
      <c r="Q11">
        <f t="shared" si="8"/>
        <v>5.2962500549580982</v>
      </c>
      <c r="S11" s="5">
        <f t="shared" si="2"/>
        <v>15.615711245015797</v>
      </c>
      <c r="T11" s="5">
        <f t="shared" si="2"/>
        <v>18.296088160534033</v>
      </c>
      <c r="U11" s="5">
        <f t="shared" ref="U11:U35" si="10">F11/$N11</f>
        <v>13.905027002005864</v>
      </c>
      <c r="V11" s="5"/>
      <c r="W11">
        <f t="shared" si="3"/>
        <v>15.335394160600307</v>
      </c>
      <c r="X11">
        <f t="shared" si="4"/>
        <v>5.7894889973065258</v>
      </c>
    </row>
    <row r="12" spans="1:24">
      <c r="A12">
        <f t="shared" si="9"/>
        <v>2022</v>
      </c>
      <c r="B12" s="5">
        <v>17.86</v>
      </c>
      <c r="C12" s="5">
        <v>20.85</v>
      </c>
      <c r="D12" s="5">
        <v>22.13</v>
      </c>
      <c r="E12" s="5">
        <v>8.48</v>
      </c>
      <c r="F12" s="6">
        <v>14.79</v>
      </c>
      <c r="G12" s="5"/>
      <c r="H12">
        <v>83.635468000000003</v>
      </c>
      <c r="I12">
        <f t="shared" si="5"/>
        <v>13.677100245298446</v>
      </c>
      <c r="J12">
        <v>5.0896080000000001</v>
      </c>
      <c r="L12">
        <v>1.251797</v>
      </c>
      <c r="M12">
        <f t="shared" si="0"/>
        <v>1.1727589130546798</v>
      </c>
      <c r="N12">
        <f t="shared" si="6"/>
        <v>1.1112455514118746</v>
      </c>
      <c r="P12">
        <f t="shared" si="7"/>
        <v>14.43420061123018</v>
      </c>
      <c r="Q12">
        <f t="shared" si="8"/>
        <v>5.3713449186552307</v>
      </c>
      <c r="S12" s="5">
        <f t="shared" si="2"/>
        <v>16.07205534124143</v>
      </c>
      <c r="T12" s="5">
        <f t="shared" si="2"/>
        <v>18.762729779668749</v>
      </c>
      <c r="U12" s="5">
        <f t="shared" si="10"/>
        <v>13.309389613491645</v>
      </c>
      <c r="V12" s="5"/>
      <c r="W12">
        <f t="shared" si="3"/>
        <v>16.0399412174161</v>
      </c>
      <c r="X12">
        <f t="shared" si="4"/>
        <v>5.9688831459544032</v>
      </c>
    </row>
    <row r="13" spans="1:24">
      <c r="A13">
        <f t="shared" si="9"/>
        <v>2023</v>
      </c>
      <c r="B13" s="5">
        <v>18.690000000000001</v>
      </c>
      <c r="C13" s="5">
        <v>21.73</v>
      </c>
      <c r="D13" s="5">
        <v>23.05</v>
      </c>
      <c r="E13" s="5">
        <v>8.77</v>
      </c>
      <c r="F13" s="6">
        <v>15.13</v>
      </c>
      <c r="G13" s="5"/>
      <c r="H13">
        <v>86.087494000000007</v>
      </c>
      <c r="I13">
        <f t="shared" si="5"/>
        <v>14.078085690923958</v>
      </c>
      <c r="J13">
        <v>5.2471930000000002</v>
      </c>
      <c r="L13">
        <v>1.2721880000000001</v>
      </c>
      <c r="M13">
        <f t="shared" si="0"/>
        <v>1.1918624314335369</v>
      </c>
      <c r="N13">
        <f t="shared" si="6"/>
        <v>1.1293470551212137</v>
      </c>
      <c r="P13">
        <f t="shared" si="7"/>
        <v>14.857382737597337</v>
      </c>
      <c r="Q13">
        <f t="shared" si="8"/>
        <v>5.537653087969308</v>
      </c>
      <c r="S13" s="5">
        <f t="shared" si="2"/>
        <v>16.54938569613925</v>
      </c>
      <c r="T13" s="5">
        <f t="shared" si="2"/>
        <v>19.241206590535363</v>
      </c>
      <c r="U13" s="5">
        <f t="shared" si="10"/>
        <v>13.397121754017489</v>
      </c>
      <c r="V13" s="5"/>
      <c r="W13">
        <f t="shared" si="3"/>
        <v>16.779141441514312</v>
      </c>
      <c r="X13">
        <f t="shared" si="4"/>
        <v>6.2539322071810348</v>
      </c>
    </row>
    <row r="14" spans="1:24">
      <c r="A14">
        <f t="shared" si="9"/>
        <v>2024</v>
      </c>
      <c r="B14" s="5">
        <v>19.54</v>
      </c>
      <c r="C14" s="5">
        <v>22.65</v>
      </c>
      <c r="D14" s="5">
        <v>24</v>
      </c>
      <c r="E14" s="5">
        <v>9</v>
      </c>
      <c r="F14" s="6">
        <v>15.42</v>
      </c>
      <c r="G14" s="5"/>
      <c r="H14">
        <v>88.602538999999993</v>
      </c>
      <c r="I14">
        <f t="shared" si="5"/>
        <v>14.489376778413735</v>
      </c>
      <c r="J14">
        <v>5.3485769999999997</v>
      </c>
      <c r="L14">
        <v>1.292627</v>
      </c>
      <c r="M14">
        <f t="shared" si="0"/>
        <v>1.2110109191067973</v>
      </c>
      <c r="N14">
        <f t="shared" si="6"/>
        <v>1.1474911694027683</v>
      </c>
      <c r="P14">
        <f t="shared" si="7"/>
        <v>15.291440978011217</v>
      </c>
      <c r="Q14">
        <f t="shared" si="8"/>
        <v>5.6446492325118625</v>
      </c>
      <c r="S14" s="5">
        <f t="shared" si="2"/>
        <v>17.028453482713886</v>
      </c>
      <c r="T14" s="5">
        <f t="shared" si="2"/>
        <v>19.738713990965685</v>
      </c>
      <c r="U14" s="5">
        <f t="shared" si="10"/>
        <v>13.438011909081276</v>
      </c>
      <c r="V14" s="5"/>
      <c r="W14">
        <f t="shared" si="3"/>
        <v>17.546793489711504</v>
      </c>
      <c r="X14">
        <f t="shared" si="4"/>
        <v>6.4771851486834757</v>
      </c>
    </row>
    <row r="15" spans="1:24">
      <c r="A15">
        <f t="shared" si="9"/>
        <v>2025</v>
      </c>
      <c r="B15" s="5">
        <v>20.440000000000001</v>
      </c>
      <c r="C15" s="5">
        <v>23.61</v>
      </c>
      <c r="D15" s="5">
        <v>24.99</v>
      </c>
      <c r="E15" s="5">
        <v>9.26</v>
      </c>
      <c r="F15" s="6">
        <v>15.72</v>
      </c>
      <c r="G15" s="5"/>
      <c r="H15">
        <v>91.129149999999996</v>
      </c>
      <c r="I15">
        <f t="shared" si="5"/>
        <v>14.90255928045789</v>
      </c>
      <c r="J15">
        <v>5.4570069999999999</v>
      </c>
      <c r="L15">
        <v>1.314176</v>
      </c>
      <c r="M15">
        <f t="shared" si="0"/>
        <v>1.2311993217131427</v>
      </c>
      <c r="N15">
        <f t="shared" si="6"/>
        <v>1.1666206531668089</v>
      </c>
      <c r="P15">
        <f t="shared" si="7"/>
        <v>15.727495332851927</v>
      </c>
      <c r="Q15">
        <f t="shared" si="8"/>
        <v>5.759081410693323</v>
      </c>
      <c r="S15" s="5">
        <f t="shared" si="2"/>
        <v>17.520691018554594</v>
      </c>
      <c r="T15" s="5">
        <f t="shared" si="2"/>
        <v>20.237941044426318</v>
      </c>
      <c r="U15" s="5">
        <f t="shared" si="10"/>
        <v>13.474817162997955</v>
      </c>
      <c r="V15" s="5"/>
      <c r="W15">
        <f t="shared" si="3"/>
        <v>18.348020877889656</v>
      </c>
      <c r="X15">
        <f t="shared" si="4"/>
        <v>6.7186633169838714</v>
      </c>
    </row>
    <row r="16" spans="1:24">
      <c r="A16">
        <f t="shared" si="9"/>
        <v>2026</v>
      </c>
      <c r="B16" s="5">
        <v>21.41</v>
      </c>
      <c r="C16" s="5">
        <v>24.64</v>
      </c>
      <c r="D16" s="5">
        <v>26.06</v>
      </c>
      <c r="E16" s="5">
        <v>9.6300000000000008</v>
      </c>
      <c r="F16" s="6">
        <v>16.14</v>
      </c>
      <c r="G16" s="5"/>
      <c r="H16">
        <v>93.863028999999997</v>
      </c>
      <c r="I16">
        <f t="shared" si="5"/>
        <v>15.349636794766965</v>
      </c>
      <c r="J16">
        <v>5.6663100000000002</v>
      </c>
      <c r="L16">
        <v>1.336141</v>
      </c>
      <c r="M16">
        <f t="shared" si="0"/>
        <v>1.2517774582043197</v>
      </c>
      <c r="N16">
        <f t="shared" si="6"/>
        <v>1.1861194285567178</v>
      </c>
      <c r="P16">
        <f t="shared" si="7"/>
        <v>16.199320969468552</v>
      </c>
      <c r="Q16">
        <f t="shared" si="8"/>
        <v>5.979970446844888</v>
      </c>
      <c r="S16" s="5">
        <f t="shared" si="2"/>
        <v>18.05045890366361</v>
      </c>
      <c r="T16" s="5">
        <f t="shared" si="2"/>
        <v>20.773624819536263</v>
      </c>
      <c r="U16" s="5">
        <f t="shared" si="10"/>
        <v>13.607398725134548</v>
      </c>
      <c r="V16" s="5"/>
      <c r="W16">
        <f t="shared" si="3"/>
        <v>19.214329331312893</v>
      </c>
      <c r="X16">
        <f t="shared" si="4"/>
        <v>7.0929591291977188</v>
      </c>
    </row>
    <row r="17" spans="1:24">
      <c r="A17">
        <f t="shared" si="9"/>
        <v>2027</v>
      </c>
      <c r="B17" s="5">
        <v>22.42</v>
      </c>
      <c r="C17" s="5">
        <v>25.73</v>
      </c>
      <c r="D17" s="5">
        <v>27.19</v>
      </c>
      <c r="E17" s="5">
        <v>9.7799999999999994</v>
      </c>
      <c r="F17" s="6">
        <v>16.350000000000001</v>
      </c>
      <c r="G17" s="5"/>
      <c r="H17">
        <v>96.678916999999998</v>
      </c>
      <c r="I17">
        <f t="shared" si="5"/>
        <v>15.810125429272281</v>
      </c>
      <c r="J17">
        <v>5.6650489999999998</v>
      </c>
      <c r="L17">
        <v>1.358711</v>
      </c>
      <c r="M17">
        <f t="shared" si="0"/>
        <v>1.272922395177043</v>
      </c>
      <c r="N17">
        <f t="shared" si="6"/>
        <v>1.2061552747005941</v>
      </c>
      <c r="P17">
        <f t="shared" si="7"/>
        <v>16.685300103234574</v>
      </c>
      <c r="Q17">
        <f t="shared" si="8"/>
        <v>5.9786396437766705</v>
      </c>
      <c r="S17" s="5">
        <f t="shared" si="2"/>
        <v>18.587988188805422</v>
      </c>
      <c r="T17" s="5">
        <f t="shared" si="2"/>
        <v>21.332245142638868</v>
      </c>
      <c r="U17" s="5">
        <f t="shared" si="10"/>
        <v>13.555468639026255</v>
      </c>
      <c r="V17" s="5"/>
      <c r="W17">
        <f t="shared" si="3"/>
        <v>20.125062729478746</v>
      </c>
      <c r="X17">
        <f t="shared" si="4"/>
        <v>7.211167741875312</v>
      </c>
    </row>
    <row r="18" spans="1:24">
      <c r="A18">
        <f t="shared" si="9"/>
        <v>2028</v>
      </c>
      <c r="B18" s="5">
        <v>23.49</v>
      </c>
      <c r="C18" s="5">
        <v>26.87</v>
      </c>
      <c r="D18" s="5">
        <v>28.37</v>
      </c>
      <c r="E18" s="5">
        <v>9.94</v>
      </c>
      <c r="F18" s="6">
        <v>16.559999999999999</v>
      </c>
      <c r="G18" s="5"/>
      <c r="H18">
        <v>99.579284999999999</v>
      </c>
      <c r="I18">
        <f t="shared" si="5"/>
        <v>16.284429272281276</v>
      </c>
      <c r="J18">
        <v>5.6677179999999998</v>
      </c>
      <c r="L18">
        <v>1.381942</v>
      </c>
      <c r="M18">
        <f t="shared" si="0"/>
        <v>1.2946865968081169</v>
      </c>
      <c r="N18">
        <f t="shared" si="6"/>
        <v>1.2267779039326894</v>
      </c>
      <c r="P18">
        <f t="shared" si="7"/>
        <v>17.185859190898103</v>
      </c>
      <c r="Q18">
        <f t="shared" si="8"/>
        <v>5.9814563871462756</v>
      </c>
      <c r="S18" s="5">
        <f t="shared" si="2"/>
        <v>19.147720157575353</v>
      </c>
      <c r="T18" s="5">
        <f t="shared" si="2"/>
        <v>21.902905092977857</v>
      </c>
      <c r="U18" s="5">
        <f t="shared" si="10"/>
        <v>13.498775896528219</v>
      </c>
      <c r="V18" s="5"/>
      <c r="W18">
        <f t="shared" si="3"/>
        <v>21.083232315492324</v>
      </c>
      <c r="X18">
        <f t="shared" si="4"/>
        <v>7.3379185290881068</v>
      </c>
    </row>
    <row r="19" spans="1:24">
      <c r="A19">
        <f t="shared" si="9"/>
        <v>2029</v>
      </c>
      <c r="B19" s="5">
        <v>24.62</v>
      </c>
      <c r="C19" s="5">
        <v>28.06</v>
      </c>
      <c r="D19" s="5">
        <v>29.61</v>
      </c>
      <c r="E19" s="5">
        <v>10.15</v>
      </c>
      <c r="F19" s="6">
        <v>16.829999999999998</v>
      </c>
      <c r="G19" s="5"/>
      <c r="H19">
        <v>102.566666</v>
      </c>
      <c r="I19">
        <f t="shared" si="5"/>
        <v>16.772962551103841</v>
      </c>
      <c r="J19">
        <v>5.7105360000000003</v>
      </c>
      <c r="L19">
        <v>1.405797</v>
      </c>
      <c r="M19">
        <f t="shared" si="0"/>
        <v>1.3170353992664383</v>
      </c>
      <c r="N19">
        <f t="shared" si="6"/>
        <v>1.2479544706035874</v>
      </c>
      <c r="P19">
        <f t="shared" si="7"/>
        <v>17.701435389457515</v>
      </c>
      <c r="Q19">
        <f t="shared" si="8"/>
        <v>6.0266445915673206</v>
      </c>
      <c r="S19" s="5">
        <f t="shared" si="2"/>
        <v>19.728283827608116</v>
      </c>
      <c r="T19" s="5">
        <f t="shared" si="2"/>
        <v>22.484794646737761</v>
      </c>
      <c r="U19" s="5">
        <f t="shared" si="10"/>
        <v>13.486068920334871</v>
      </c>
      <c r="V19" s="5"/>
      <c r="W19">
        <f t="shared" si="3"/>
        <v>22.090585430374066</v>
      </c>
      <c r="X19">
        <f t="shared" si="4"/>
        <v>7.52097806078537</v>
      </c>
    </row>
    <row r="20" spans="1:24">
      <c r="A20">
        <f t="shared" si="9"/>
        <v>2030</v>
      </c>
      <c r="B20" s="5">
        <v>25.81</v>
      </c>
      <c r="C20" s="5">
        <v>29.33</v>
      </c>
      <c r="D20" s="5">
        <v>30.92</v>
      </c>
      <c r="E20" s="5">
        <v>10.3</v>
      </c>
      <c r="F20" s="6">
        <v>17.03</v>
      </c>
      <c r="G20" s="5"/>
      <c r="H20">
        <v>105.64366099999999</v>
      </c>
      <c r="I20">
        <f t="shared" si="5"/>
        <v>17.276150613246113</v>
      </c>
      <c r="J20">
        <v>5.6898799999999996</v>
      </c>
      <c r="L20">
        <v>1.430833</v>
      </c>
      <c r="M20">
        <f t="shared" si="0"/>
        <v>1.3404906337391498</v>
      </c>
      <c r="N20">
        <f t="shared" si="6"/>
        <v>1.2701794348950404</v>
      </c>
      <c r="P20">
        <f t="shared" si="7"/>
        <v>18.232477591669525</v>
      </c>
      <c r="Q20">
        <f t="shared" si="8"/>
        <v>6.0048451719185483</v>
      </c>
      <c r="S20" s="5">
        <f t="shared" si="2"/>
        <v>20.319963692478435</v>
      </c>
      <c r="T20" s="5">
        <f t="shared" si="2"/>
        <v>23.091225691607615</v>
      </c>
      <c r="U20" s="5">
        <f t="shared" si="10"/>
        <v>13.407554501468725</v>
      </c>
      <c r="V20" s="5"/>
      <c r="W20">
        <f t="shared" si="3"/>
        <v>23.158518084123283</v>
      </c>
      <c r="X20">
        <f t="shared" si="4"/>
        <v>7.627230847099713</v>
      </c>
    </row>
    <row r="21" spans="1:24">
      <c r="A21">
        <f t="shared" si="9"/>
        <v>2031</v>
      </c>
      <c r="B21" s="5">
        <v>27.09</v>
      </c>
      <c r="C21" s="5">
        <v>30.69</v>
      </c>
      <c r="D21" s="5">
        <v>32.33</v>
      </c>
      <c r="E21" s="5">
        <v>10.73</v>
      </c>
      <c r="F21" s="6">
        <v>17.52</v>
      </c>
      <c r="G21" s="5"/>
      <c r="H21">
        <v>108.812973</v>
      </c>
      <c r="I21">
        <f t="shared" si="5"/>
        <v>17.794435486508586</v>
      </c>
      <c r="J21">
        <v>5.9125300000000003</v>
      </c>
      <c r="L21">
        <v>1.457554</v>
      </c>
      <c r="M21">
        <f t="shared" si="0"/>
        <v>1.3655244778174902</v>
      </c>
      <c r="N21">
        <f t="shared" si="6"/>
        <v>1.2939002078153115</v>
      </c>
      <c r="P21">
        <f t="shared" si="7"/>
        <v>18.779452293928376</v>
      </c>
      <c r="Q21">
        <f t="shared" si="8"/>
        <v>6.2398200356287967</v>
      </c>
      <c r="S21" s="5">
        <f t="shared" si="2"/>
        <v>20.936699628281357</v>
      </c>
      <c r="T21" s="5">
        <f t="shared" si="2"/>
        <v>23.718985293169244</v>
      </c>
      <c r="U21" s="5">
        <f t="shared" si="10"/>
        <v>13.540456902454387</v>
      </c>
      <c r="V21" s="5"/>
      <c r="W21">
        <f t="shared" si="3"/>
        <v>24.298737225771653</v>
      </c>
      <c r="X21">
        <f t="shared" si="4"/>
        <v>8.0737044408302463</v>
      </c>
    </row>
    <row r="22" spans="1:24">
      <c r="A22">
        <f t="shared" si="9"/>
        <v>2032</v>
      </c>
      <c r="B22" s="5">
        <v>28.42</v>
      </c>
      <c r="C22" s="5">
        <v>32.11</v>
      </c>
      <c r="D22" s="5">
        <v>33.79</v>
      </c>
      <c r="E22" s="5">
        <v>11.13</v>
      </c>
      <c r="F22" s="6">
        <v>17.98</v>
      </c>
      <c r="G22" s="5"/>
      <c r="H22">
        <v>112.07736199999999</v>
      </c>
      <c r="I22">
        <f t="shared" si="5"/>
        <v>18.328268520032704</v>
      </c>
      <c r="J22">
        <v>6.0935389999999998</v>
      </c>
      <c r="L22">
        <v>1.484742</v>
      </c>
      <c r="M22">
        <f t="shared" si="0"/>
        <v>1.390995835655966</v>
      </c>
      <c r="N22">
        <f t="shared" si="6"/>
        <v>1.3180355460944302</v>
      </c>
      <c r="P22">
        <f t="shared" si="7"/>
        <v>19.342835829955135</v>
      </c>
      <c r="Q22">
        <f t="shared" si="8"/>
        <v>6.4308488481386918</v>
      </c>
      <c r="S22" s="5">
        <f t="shared" si="2"/>
        <v>21.562392671588739</v>
      </c>
      <c r="T22" s="5">
        <f t="shared" si="2"/>
        <v>24.362013676450186</v>
      </c>
      <c r="U22" s="5">
        <f t="shared" si="10"/>
        <v>13.641513731005119</v>
      </c>
      <c r="V22" s="5"/>
      <c r="W22">
        <f t="shared" si="3"/>
        <v>25.494545186149825</v>
      </c>
      <c r="X22">
        <f t="shared" si="4"/>
        <v>8.4760873734072195</v>
      </c>
    </row>
    <row r="23" spans="1:24">
      <c r="A23">
        <f t="shared" si="9"/>
        <v>2033</v>
      </c>
      <c r="B23" s="5">
        <v>29.83</v>
      </c>
      <c r="C23" s="5">
        <v>33.590000000000003</v>
      </c>
      <c r="D23" s="5">
        <v>35.33</v>
      </c>
      <c r="E23" s="5">
        <v>11.54</v>
      </c>
      <c r="F23" s="6">
        <v>18.440000000000001</v>
      </c>
      <c r="G23" s="5"/>
      <c r="H23">
        <v>115.43383799999999</v>
      </c>
      <c r="I23">
        <f t="shared" si="5"/>
        <v>18.877160752248567</v>
      </c>
      <c r="J23">
        <v>6.271903</v>
      </c>
      <c r="L23">
        <v>1.512554</v>
      </c>
      <c r="M23">
        <f t="shared" si="0"/>
        <v>1.4170517943216896</v>
      </c>
      <c r="N23">
        <f t="shared" si="6"/>
        <v>1.3427248218123518</v>
      </c>
      <c r="P23">
        <f t="shared" si="7"/>
        <v>19.922112171551973</v>
      </c>
      <c r="Q23">
        <f t="shared" si="8"/>
        <v>6.6190862458068471</v>
      </c>
      <c r="S23" s="5">
        <f t="shared" si="2"/>
        <v>22.216018885937295</v>
      </c>
      <c r="T23" s="5">
        <f t="shared" si="2"/>
        <v>25.016294816581759</v>
      </c>
      <c r="U23" s="5">
        <f t="shared" si="10"/>
        <v>13.733268127947831</v>
      </c>
      <c r="V23" s="5"/>
      <c r="W23">
        <f t="shared" si="3"/>
        <v>26.74991451567281</v>
      </c>
      <c r="X23">
        <f t="shared" si="4"/>
        <v>8.8876113999615871</v>
      </c>
    </row>
    <row r="24" spans="1:24">
      <c r="A24">
        <f t="shared" si="9"/>
        <v>2034</v>
      </c>
      <c r="B24" s="5">
        <v>31.24</v>
      </c>
      <c r="C24" s="5">
        <v>35.090000000000003</v>
      </c>
      <c r="D24" s="5">
        <v>36.89</v>
      </c>
      <c r="E24" s="5">
        <v>11.96</v>
      </c>
      <c r="F24" s="6">
        <v>18.920000000000002</v>
      </c>
      <c r="G24" s="5"/>
      <c r="H24">
        <v>118.711304</v>
      </c>
      <c r="I24">
        <f t="shared" si="5"/>
        <v>19.413132297628781</v>
      </c>
      <c r="J24">
        <v>6.4518789999999999</v>
      </c>
      <c r="L24">
        <v>1.5403659999999999</v>
      </c>
      <c r="M24">
        <f t="shared" si="0"/>
        <v>1.443107752987413</v>
      </c>
      <c r="N24">
        <f t="shared" si="6"/>
        <v>1.3674140975302733</v>
      </c>
      <c r="P24">
        <f t="shared" si="7"/>
        <v>20.487752597459391</v>
      </c>
      <c r="Q24">
        <f t="shared" si="8"/>
        <v>6.8090248762632379</v>
      </c>
      <c r="S24" s="5">
        <f t="shared" si="2"/>
        <v>22.846042070520905</v>
      </c>
      <c r="T24" s="5">
        <f t="shared" si="2"/>
        <v>25.661575424282287</v>
      </c>
      <c r="U24" s="5">
        <f t="shared" si="10"/>
        <v>13.836335338484492</v>
      </c>
      <c r="V24" s="5"/>
      <c r="W24">
        <f t="shared" si="3"/>
        <v>28.015241728478443</v>
      </c>
      <c r="X24">
        <f t="shared" si="4"/>
        <v>9.3107566062366764</v>
      </c>
    </row>
    <row r="25" spans="1:24">
      <c r="A25">
        <f t="shared" si="9"/>
        <v>2035</v>
      </c>
      <c r="B25" s="5">
        <v>32.76</v>
      </c>
      <c r="C25" s="5">
        <v>36.700000000000003</v>
      </c>
      <c r="D25" s="5">
        <v>38.549999999999997</v>
      </c>
      <c r="E25" s="5">
        <v>12.35</v>
      </c>
      <c r="F25" s="6">
        <v>19.38</v>
      </c>
      <c r="G25" s="5"/>
      <c r="H25">
        <v>122.203247</v>
      </c>
      <c r="I25">
        <f t="shared" si="5"/>
        <v>19.984177759607523</v>
      </c>
      <c r="J25">
        <v>6.5998010000000003</v>
      </c>
      <c r="L25">
        <v>1.5689360000000001</v>
      </c>
      <c r="M25">
        <f t="shared" si="0"/>
        <v>1.4698738517605947</v>
      </c>
      <c r="N25">
        <f t="shared" si="6"/>
        <v>1.3927762652010998</v>
      </c>
      <c r="P25">
        <f t="shared" si="7"/>
        <v>21.090408468112031</v>
      </c>
      <c r="Q25">
        <f t="shared" si="8"/>
        <v>6.9651351470458449</v>
      </c>
      <c r="S25" s="5">
        <f t="shared" si="2"/>
        <v>23.521365791848741</v>
      </c>
      <c r="T25" s="5">
        <f t="shared" si="2"/>
        <v>26.350248002467914</v>
      </c>
      <c r="U25" s="5">
        <f t="shared" si="10"/>
        <v>13.914654122284146</v>
      </c>
      <c r="V25" s="5"/>
      <c r="W25">
        <f t="shared" si="3"/>
        <v>29.37422033778272</v>
      </c>
      <c r="X25">
        <f t="shared" si="4"/>
        <v>9.7008749167234249</v>
      </c>
    </row>
    <row r="26" spans="1:24">
      <c r="A26">
        <f t="shared" si="9"/>
        <v>2036</v>
      </c>
      <c r="B26" s="5">
        <v>34.36</v>
      </c>
      <c r="C26" s="5">
        <v>38.4</v>
      </c>
      <c r="D26" s="5">
        <v>40.31</v>
      </c>
      <c r="E26" s="5">
        <v>12.76</v>
      </c>
      <c r="F26" s="6">
        <v>19.850000000000001</v>
      </c>
      <c r="G26" s="5"/>
      <c r="H26">
        <v>125.813187</v>
      </c>
      <c r="I26">
        <f t="shared" si="5"/>
        <v>20.574519542109567</v>
      </c>
      <c r="J26">
        <v>6.7564070000000003</v>
      </c>
      <c r="L26">
        <v>1.5984700000000001</v>
      </c>
      <c r="M26">
        <f t="shared" si="0"/>
        <v>1.4975430838630497</v>
      </c>
      <c r="N26">
        <f t="shared" si="6"/>
        <v>1.4189941951972558</v>
      </c>
      <c r="P26">
        <f t="shared" si="7"/>
        <v>21.713428813433758</v>
      </c>
      <c r="Q26">
        <f t="shared" si="8"/>
        <v>7.130410123494114</v>
      </c>
      <c r="S26" s="5">
        <f t="shared" si="2"/>
        <v>24.214334432300888</v>
      </c>
      <c r="T26" s="5">
        <f t="shared" si="2"/>
        <v>27.061421484294357</v>
      </c>
      <c r="U26" s="5">
        <f t="shared" si="10"/>
        <v>13.988781678730287</v>
      </c>
      <c r="V26" s="5"/>
      <c r="W26">
        <f t="shared" si="3"/>
        <v>30.811229444091342</v>
      </c>
      <c r="X26">
        <f t="shared" si="4"/>
        <v>10.118010574613896</v>
      </c>
    </row>
    <row r="27" spans="1:24">
      <c r="A27">
        <f t="shared" si="9"/>
        <v>2037</v>
      </c>
      <c r="B27" s="5">
        <v>36</v>
      </c>
      <c r="C27" s="5">
        <v>40.130000000000003</v>
      </c>
      <c r="D27" s="5">
        <v>42.09</v>
      </c>
      <c r="E27" s="5">
        <v>13.1</v>
      </c>
      <c r="F27" s="6">
        <v>20.25</v>
      </c>
      <c r="G27" s="5"/>
      <c r="H27">
        <v>129.326111</v>
      </c>
      <c r="I27">
        <f t="shared" si="5"/>
        <v>21.148996075224854</v>
      </c>
      <c r="J27">
        <v>6.8411419999999996</v>
      </c>
      <c r="L27">
        <v>1.6288199999999999</v>
      </c>
      <c r="M27">
        <f t="shared" si="0"/>
        <v>1.525976793970367</v>
      </c>
      <c r="N27">
        <f t="shared" si="6"/>
        <v>1.4459365049210771</v>
      </c>
      <c r="P27">
        <f t="shared" si="7"/>
        <v>22.319705683290035</v>
      </c>
      <c r="Q27">
        <f t="shared" si="8"/>
        <v>7.2198356571859517</v>
      </c>
      <c r="S27" s="5">
        <f t="shared" si="2"/>
        <v>24.89735882417947</v>
      </c>
      <c r="T27" s="5">
        <f t="shared" si="2"/>
        <v>27.753639155953394</v>
      </c>
      <c r="U27" s="5">
        <f t="shared" si="10"/>
        <v>14.004764338600951</v>
      </c>
      <c r="V27" s="5"/>
      <c r="W27">
        <f t="shared" si="3"/>
        <v>32.272877226563494</v>
      </c>
      <c r="X27">
        <f t="shared" si="4"/>
        <v>10.439423936256023</v>
      </c>
    </row>
    <row r="28" spans="1:24">
      <c r="A28">
        <f t="shared" si="9"/>
        <v>2038</v>
      </c>
      <c r="B28" s="5">
        <v>37.799999999999997</v>
      </c>
      <c r="C28" s="5">
        <v>42.03</v>
      </c>
      <c r="D28" s="5">
        <v>44.06</v>
      </c>
      <c r="E28" s="5">
        <v>13.57</v>
      </c>
      <c r="F28" s="6">
        <v>20.79</v>
      </c>
      <c r="G28" s="5"/>
      <c r="H28">
        <v>133.17593400000001</v>
      </c>
      <c r="I28">
        <f t="shared" si="5"/>
        <v>21.778566475878986</v>
      </c>
      <c r="J28">
        <v>7.0190950000000001</v>
      </c>
      <c r="L28">
        <v>1.660722</v>
      </c>
      <c r="M28">
        <f t="shared" si="0"/>
        <v>1.5558645112634029</v>
      </c>
      <c r="N28">
        <f t="shared" si="6"/>
        <v>1.4742565564798695</v>
      </c>
      <c r="P28">
        <f t="shared" si="7"/>
        <v>22.984126159776498</v>
      </c>
      <c r="Q28">
        <f t="shared" si="8"/>
        <v>7.4076393038144266</v>
      </c>
      <c r="S28" s="5">
        <f t="shared" si="2"/>
        <v>25.64004198174047</v>
      </c>
      <c r="T28" s="5">
        <f t="shared" si="2"/>
        <v>28.509284774935242</v>
      </c>
      <c r="U28" s="5">
        <f t="shared" si="10"/>
        <v>14.10202308995726</v>
      </c>
      <c r="V28" s="5"/>
      <c r="W28">
        <f t="shared" si="3"/>
        <v>33.884498686010986</v>
      </c>
      <c r="X28">
        <f t="shared" si="4"/>
        <v>10.920760811686394</v>
      </c>
    </row>
    <row r="29" spans="1:24">
      <c r="A29">
        <f t="shared" si="9"/>
        <v>2039</v>
      </c>
      <c r="B29" s="5">
        <v>39.81</v>
      </c>
      <c r="C29" s="5">
        <v>44.15</v>
      </c>
      <c r="D29" s="5">
        <v>46.25</v>
      </c>
      <c r="E29" s="5">
        <v>14.31</v>
      </c>
      <c r="F29" s="6">
        <v>21.6</v>
      </c>
      <c r="G29" s="5"/>
      <c r="H29">
        <v>137.41243</v>
      </c>
      <c r="I29">
        <f t="shared" si="5"/>
        <v>22.471370400654127</v>
      </c>
      <c r="J29">
        <v>7.3771659999999999</v>
      </c>
      <c r="L29">
        <v>1.6948799999999999</v>
      </c>
      <c r="M29">
        <f t="shared" si="0"/>
        <v>1.5878657853934108</v>
      </c>
      <c r="N29">
        <f t="shared" si="6"/>
        <v>1.5045793049327949</v>
      </c>
      <c r="P29">
        <f t="shared" si="7"/>
        <v>23.715280472832699</v>
      </c>
      <c r="Q29">
        <f t="shared" si="8"/>
        <v>7.7855314413558236</v>
      </c>
      <c r="S29" s="5">
        <f t="shared" si="2"/>
        <v>26.459223431747386</v>
      </c>
      <c r="T29" s="5">
        <f t="shared" si="2"/>
        <v>29.343750678514116</v>
      </c>
      <c r="U29" s="5">
        <f t="shared" si="10"/>
        <v>14.35617247238743</v>
      </c>
      <c r="V29" s="5"/>
      <c r="W29">
        <f t="shared" si="3"/>
        <v>35.681520210100913</v>
      </c>
      <c r="X29">
        <f t="shared" si="4"/>
        <v>11.713949484567566</v>
      </c>
    </row>
    <row r="30" spans="1:24">
      <c r="A30">
        <f t="shared" si="9"/>
        <v>2040</v>
      </c>
      <c r="B30" s="5">
        <v>41.78</v>
      </c>
      <c r="C30" s="5">
        <v>46.24</v>
      </c>
      <c r="D30" s="5">
        <v>48.41</v>
      </c>
      <c r="E30" s="5">
        <v>15.24</v>
      </c>
      <c r="F30" s="6">
        <v>22.59</v>
      </c>
      <c r="G30" s="5"/>
      <c r="H30">
        <v>141.27615399999999</v>
      </c>
      <c r="I30">
        <f t="shared" si="5"/>
        <v>23.103214063777592</v>
      </c>
      <c r="J30">
        <v>7.8508800000000001</v>
      </c>
      <c r="L30">
        <v>1.7302949999999999</v>
      </c>
      <c r="M30">
        <f t="shared" si="0"/>
        <v>1.6210446929206148</v>
      </c>
      <c r="N30">
        <f t="shared" si="6"/>
        <v>1.5360179177456166</v>
      </c>
      <c r="P30">
        <f t="shared" si="7"/>
        <v>24.38210004897741</v>
      </c>
      <c r="Q30">
        <f t="shared" si="8"/>
        <v>8.2854680350573116</v>
      </c>
      <c r="S30" s="5">
        <f t="shared" si="2"/>
        <v>27.200203537547068</v>
      </c>
      <c r="T30" s="5">
        <f t="shared" si="2"/>
        <v>30.103815499669135</v>
      </c>
      <c r="U30" s="5">
        <f t="shared" si="10"/>
        <v>14.706859691555486</v>
      </c>
      <c r="V30" s="5"/>
      <c r="W30">
        <f t="shared" si="3"/>
        <v>37.451342547495578</v>
      </c>
      <c r="X30">
        <f t="shared" si="4"/>
        <v>12.726627358756597</v>
      </c>
    </row>
    <row r="31" spans="1:24">
      <c r="A31">
        <f t="shared" si="9"/>
        <v>2041</v>
      </c>
      <c r="B31" s="5">
        <v>43.86</v>
      </c>
      <c r="C31" s="5">
        <v>48.43</v>
      </c>
      <c r="D31" s="5">
        <v>50.67</v>
      </c>
      <c r="E31" s="7">
        <f t="shared" ref="E31:F35" si="11">E30*(E$30/E$25)^0.2</f>
        <v>15.894562151752922</v>
      </c>
      <c r="F31" s="7">
        <f t="shared" si="11"/>
        <v>23.293176772043289</v>
      </c>
      <c r="G31" s="5"/>
      <c r="H31" s="7">
        <f>H30*(H$30/H$25)^0.2</f>
        <v>145.43404621447252</v>
      </c>
      <c r="I31">
        <f t="shared" si="5"/>
        <v>23.783163730903109</v>
      </c>
      <c r="J31" s="7">
        <f>J30*(J$30/J$25)^0.2</f>
        <v>8.128227283661742</v>
      </c>
      <c r="L31" s="7">
        <f>L30*(L$30/L$25)^0.2</f>
        <v>1.7645059929407876</v>
      </c>
      <c r="M31">
        <f t="shared" si="0"/>
        <v>1.6530956140330313</v>
      </c>
      <c r="N31">
        <f t="shared" si="6"/>
        <v>1.5663877091054244</v>
      </c>
      <c r="P31">
        <f t="shared" si="7"/>
        <v>25.099688552739579</v>
      </c>
      <c r="Q31">
        <f t="shared" si="8"/>
        <v>8.5781679684901668</v>
      </c>
      <c r="S31" s="5">
        <f t="shared" si="2"/>
        <v>28.000730435409743</v>
      </c>
      <c r="T31" s="5">
        <f t="shared" si="2"/>
        <v>30.918271203531553</v>
      </c>
      <c r="U31" s="5">
        <f t="shared" si="10"/>
        <v>14.870633009081892</v>
      </c>
      <c r="V31" s="5"/>
      <c r="W31">
        <f t="shared" si="3"/>
        <v>39.315843651385393</v>
      </c>
      <c r="X31">
        <f t="shared" si="4"/>
        <v>13.436736872484845</v>
      </c>
    </row>
    <row r="32" spans="1:24">
      <c r="A32">
        <f t="shared" si="9"/>
        <v>2042</v>
      </c>
      <c r="B32" s="5">
        <v>46.04</v>
      </c>
      <c r="C32" s="5">
        <v>50.72</v>
      </c>
      <c r="D32" s="5">
        <v>53.04</v>
      </c>
      <c r="E32" s="7">
        <f t="shared" si="11"/>
        <v>16.57723792624255</v>
      </c>
      <c r="F32" s="7">
        <f t="shared" si="11"/>
        <v>24.018241882853342</v>
      </c>
      <c r="G32" s="5"/>
      <c r="H32" s="7">
        <f>H31*(H$30/H$25)^0.2</f>
        <v>149.71430917006225</v>
      </c>
      <c r="I32">
        <f t="shared" si="5"/>
        <v>24.483124966486059</v>
      </c>
      <c r="J32" s="7">
        <f>J31*(J$30/J$25)^0.2</f>
        <v>8.415372388173445</v>
      </c>
      <c r="L32" s="7">
        <f>L31*(L$30/L$25)^0.2</f>
        <v>1.7993933977292629</v>
      </c>
      <c r="M32">
        <f t="shared" si="0"/>
        <v>1.6857802385520475</v>
      </c>
      <c r="N32">
        <f t="shared" si="6"/>
        <v>1.5973579649628025</v>
      </c>
      <c r="P32">
        <f t="shared" si="7"/>
        <v>25.838396371888738</v>
      </c>
      <c r="Q32">
        <f t="shared" si="8"/>
        <v>8.8812080843567838</v>
      </c>
      <c r="S32" s="5">
        <f t="shared" si="2"/>
        <v>28.822593939406769</v>
      </c>
      <c r="T32" s="5">
        <f t="shared" si="2"/>
        <v>31.752431898495033</v>
      </c>
      <c r="U32" s="5">
        <f t="shared" si="10"/>
        <v>15.036230080971645</v>
      </c>
      <c r="V32" s="5"/>
      <c r="W32">
        <f t="shared" si="3"/>
        <v>41.273168246502458</v>
      </c>
      <c r="X32">
        <f t="shared" si="4"/>
        <v>14.186468472039344</v>
      </c>
    </row>
    <row r="33" spans="1:24">
      <c r="A33">
        <f t="shared" si="9"/>
        <v>2043</v>
      </c>
      <c r="B33" s="5">
        <v>48.32</v>
      </c>
      <c r="C33" s="5">
        <v>53.12</v>
      </c>
      <c r="D33" s="5">
        <v>55.52</v>
      </c>
      <c r="E33" s="7">
        <f t="shared" si="11"/>
        <v>17.289234811224272</v>
      </c>
      <c r="F33" s="7">
        <f t="shared" si="11"/>
        <v>24.76587666803881</v>
      </c>
      <c r="G33" s="5"/>
      <c r="H33" s="7">
        <f>H32*(H$30/H$25)^0.2</f>
        <v>154.1205443546167</v>
      </c>
      <c r="I33">
        <f t="shared" si="5"/>
        <v>25.203686730109027</v>
      </c>
      <c r="J33" s="7">
        <f>J32*(J$30/J$25)^0.2</f>
        <v>8.7126614402111677</v>
      </c>
      <c r="L33" s="7">
        <f>L32*(L$30/L$25)^0.2</f>
        <v>1.8349705882241876</v>
      </c>
      <c r="M33">
        <f t="shared" si="0"/>
        <v>1.7191110959149962</v>
      </c>
      <c r="N33">
        <f t="shared" si="6"/>
        <v>1.6289405575630547</v>
      </c>
      <c r="P33">
        <f t="shared" si="7"/>
        <v>26.598845068058164</v>
      </c>
      <c r="Q33">
        <f t="shared" si="8"/>
        <v>9.1949536692887968</v>
      </c>
      <c r="S33" s="5">
        <f t="shared" si="2"/>
        <v>29.663451975367479</v>
      </c>
      <c r="T33" s="5">
        <f t="shared" si="2"/>
        <v>32.610152502721867</v>
      </c>
      <c r="U33" s="5">
        <f t="shared" si="10"/>
        <v>15.203671216271591</v>
      </c>
      <c r="V33" s="5"/>
      <c r="W33">
        <f t="shared" si="3"/>
        <v>43.327937515695979</v>
      </c>
      <c r="X33">
        <f t="shared" si="4"/>
        <v>14.978032956817749</v>
      </c>
    </row>
    <row r="34" spans="1:24">
      <c r="A34">
        <f t="shared" si="9"/>
        <v>2044</v>
      </c>
      <c r="B34" s="5">
        <v>50.73</v>
      </c>
      <c r="C34" s="5">
        <v>55.64</v>
      </c>
      <c r="D34" s="5">
        <v>58.11</v>
      </c>
      <c r="E34" s="7">
        <f t="shared" si="11"/>
        <v>18.03181215638152</v>
      </c>
      <c r="F34" s="7">
        <f t="shared" si="11"/>
        <v>25.536783671679967</v>
      </c>
      <c r="G34" s="5"/>
      <c r="H34" s="7">
        <f>H33*(H$30/H$25)^0.2</f>
        <v>158.65645925121225</v>
      </c>
      <c r="I34">
        <f t="shared" si="5"/>
        <v>25.945455314997915</v>
      </c>
      <c r="J34" s="7">
        <f>J33*(J$30/J$25)^0.2</f>
        <v>9.02045279403481</v>
      </c>
      <c r="L34" s="7">
        <f>L33*(L$30/L$25)^0.2</f>
        <v>1.8712512027091688</v>
      </c>
      <c r="M34">
        <f t="shared" si="0"/>
        <v>1.7531009632883503</v>
      </c>
      <c r="N34">
        <f t="shared" si="6"/>
        <v>1.6611475938867755</v>
      </c>
      <c r="P34">
        <f t="shared" si="7"/>
        <v>27.381674496033956</v>
      </c>
      <c r="Q34">
        <f t="shared" si="8"/>
        <v>9.5197829143635921</v>
      </c>
      <c r="S34" s="5">
        <f t="shared" si="2"/>
        <v>30.539128604040091</v>
      </c>
      <c r="T34" s="5">
        <f t="shared" si="2"/>
        <v>33.494916529248783</v>
      </c>
      <c r="U34" s="5">
        <f t="shared" si="10"/>
        <v>15.372976950186983</v>
      </c>
      <c r="V34" s="5"/>
      <c r="W34">
        <f t="shared" si="3"/>
        <v>45.485002705677694</v>
      </c>
      <c r="X34">
        <f t="shared" si="4"/>
        <v>15.813764482519517</v>
      </c>
    </row>
    <row r="35" spans="1:24">
      <c r="A35">
        <f t="shared" si="9"/>
        <v>2045</v>
      </c>
      <c r="B35" s="5">
        <v>53.25</v>
      </c>
      <c r="C35" s="5">
        <v>58.27</v>
      </c>
      <c r="D35" s="5">
        <v>60.82</v>
      </c>
      <c r="E35" s="7">
        <f t="shared" si="11"/>
        <v>18.806283400809708</v>
      </c>
      <c r="F35" s="7">
        <f t="shared" si="11"/>
        <v>26.331687306501557</v>
      </c>
      <c r="G35" s="5"/>
      <c r="H35" s="7">
        <f>H34*(H$30/H$25)^0.2</f>
        <v>163.32587045769506</v>
      </c>
      <c r="I35">
        <f t="shared" si="5"/>
        <v>26.709054858167629</v>
      </c>
      <c r="J35" s="7">
        <f>J34*(J$30/J$25)^0.2</f>
        <v>9.3391174634507887</v>
      </c>
      <c r="L35" s="7">
        <f>L34*(L$30/L$25)^0.2</f>
        <v>1.908249149120806</v>
      </c>
      <c r="M35">
        <f t="shared" si="0"/>
        <v>1.7877628704657655</v>
      </c>
      <c r="N35">
        <f t="shared" si="6"/>
        <v>1.6939914202909823</v>
      </c>
      <c r="P35">
        <f t="shared" si="7"/>
        <v>28.187543342140003</v>
      </c>
      <c r="Q35">
        <f t="shared" si="8"/>
        <v>9.8560873709784165</v>
      </c>
      <c r="S35" s="5">
        <f t="shared" si="2"/>
        <v>31.434633825272314</v>
      </c>
      <c r="T35" s="5">
        <f t="shared" si="2"/>
        <v>34.398049070396581</v>
      </c>
      <c r="U35" s="5">
        <f t="shared" si="10"/>
        <v>15.544168046599953</v>
      </c>
      <c r="V35" s="5"/>
      <c r="W35">
        <f t="shared" si="3"/>
        <v>47.74945658066536</v>
      </c>
      <c r="X35">
        <f t="shared" si="4"/>
        <v>16.696127444075742</v>
      </c>
    </row>
    <row r="37" spans="1:24">
      <c r="O37" t="s">
        <v>160</v>
      </c>
      <c r="P37">
        <f>(P30/P6)^(1/(ROWS(P6:P30)-1))-1</f>
        <v>2.904317150736202E-2</v>
      </c>
      <c r="Q37">
        <f>(Q30/Q6)^(1/(ROWS(Q6:Q30)-1))-1</f>
        <v>3.1863515614021898E-2</v>
      </c>
    </row>
    <row r="38" spans="1:24">
      <c r="O38" t="s">
        <v>161</v>
      </c>
      <c r="P38">
        <f>(P30/P6)^(1/(ROWS(P6:P30)-1)/12)-1</f>
        <v>2.3886324803101822E-3</v>
      </c>
      <c r="Q38">
        <f>(Q30/Q6)^(1/(ROWS(Q6:Q30)-1)/12)-1</f>
        <v>2.6172862959559229E-3</v>
      </c>
    </row>
    <row r="40" spans="1:24">
      <c r="H40" t="s">
        <v>156</v>
      </c>
      <c r="J40" t="s">
        <v>147</v>
      </c>
      <c r="L40" t="s">
        <v>163</v>
      </c>
      <c r="M40" t="s">
        <v>166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selection activeCell="J23" sqref="J23"/>
    </sheetView>
  </sheetViews>
  <sheetFormatPr baseColWidth="10" defaultRowHeight="15" x14ac:dyDescent="0"/>
  <sheetData>
    <row r="1" spans="1:32">
      <c r="A1" t="s">
        <v>19</v>
      </c>
      <c r="I1" t="s">
        <v>25</v>
      </c>
      <c r="J1" t="s">
        <v>30</v>
      </c>
      <c r="K1" t="s">
        <v>32</v>
      </c>
      <c r="R1" t="s">
        <v>25</v>
      </c>
      <c r="S1" t="s">
        <v>31</v>
      </c>
      <c r="Z1" t="s">
        <v>25</v>
      </c>
      <c r="AA1" t="s">
        <v>38</v>
      </c>
    </row>
    <row r="2" spans="1:32">
      <c r="B2" t="s">
        <v>20</v>
      </c>
      <c r="C2" t="s">
        <v>21</v>
      </c>
      <c r="D2" t="s">
        <v>22</v>
      </c>
      <c r="E2" t="s">
        <v>33</v>
      </c>
      <c r="F2" t="s">
        <v>23</v>
      </c>
      <c r="G2" t="s">
        <v>24</v>
      </c>
      <c r="J2" t="s">
        <v>27</v>
      </c>
      <c r="K2" t="s">
        <v>23</v>
      </c>
      <c r="L2" t="s">
        <v>28</v>
      </c>
      <c r="M2" t="s">
        <v>29</v>
      </c>
      <c r="N2" t="s">
        <v>24</v>
      </c>
      <c r="O2" t="s">
        <v>21</v>
      </c>
      <c r="P2" t="s">
        <v>22</v>
      </c>
      <c r="S2" t="s">
        <v>27</v>
      </c>
      <c r="T2" t="s">
        <v>23</v>
      </c>
      <c r="U2" t="s">
        <v>29</v>
      </c>
      <c r="V2" t="s">
        <v>24</v>
      </c>
      <c r="W2" t="s">
        <v>21</v>
      </c>
      <c r="X2" t="s">
        <v>22</v>
      </c>
      <c r="Z2" t="s">
        <v>26</v>
      </c>
      <c r="AA2" t="s">
        <v>27</v>
      </c>
      <c r="AB2" t="s">
        <v>23</v>
      </c>
      <c r="AC2" t="s">
        <v>29</v>
      </c>
      <c r="AD2" t="s">
        <v>24</v>
      </c>
      <c r="AE2" t="s">
        <v>21</v>
      </c>
      <c r="AF2" t="s">
        <v>22</v>
      </c>
    </row>
    <row r="3" spans="1:32">
      <c r="I3">
        <v>2013</v>
      </c>
      <c r="J3">
        <v>49.104999999999997</v>
      </c>
      <c r="K3">
        <v>47.005000000000003</v>
      </c>
      <c r="L3">
        <v>2.6309999999999998</v>
      </c>
      <c r="M3">
        <v>20.52</v>
      </c>
      <c r="N3">
        <v>100</v>
      </c>
      <c r="O3">
        <v>17.64</v>
      </c>
      <c r="P3">
        <v>21.69</v>
      </c>
      <c r="R3">
        <v>2013</v>
      </c>
      <c r="S3">
        <v>49.4</v>
      </c>
      <c r="T3">
        <v>50.84</v>
      </c>
      <c r="U3">
        <v>20.47</v>
      </c>
      <c r="V3">
        <v>100</v>
      </c>
      <c r="W3">
        <v>17.59</v>
      </c>
      <c r="X3">
        <v>21.64</v>
      </c>
      <c r="Z3">
        <v>2013</v>
      </c>
      <c r="AA3">
        <v>48.81</v>
      </c>
      <c r="AB3">
        <v>43.17</v>
      </c>
      <c r="AC3">
        <v>20.49</v>
      </c>
      <c r="AD3">
        <v>100</v>
      </c>
      <c r="AE3">
        <v>17.61</v>
      </c>
      <c r="AF3">
        <v>21.66</v>
      </c>
    </row>
    <row r="4" spans="1:32">
      <c r="A4">
        <v>2014</v>
      </c>
      <c r="I4">
        <v>2014</v>
      </c>
      <c r="J4">
        <v>47.744999999999997</v>
      </c>
      <c r="K4">
        <v>44.63</v>
      </c>
      <c r="L4">
        <v>2.665</v>
      </c>
      <c r="M4">
        <v>20.85</v>
      </c>
      <c r="N4">
        <v>100</v>
      </c>
      <c r="O4">
        <v>17.920000000000002</v>
      </c>
      <c r="P4">
        <v>22.04</v>
      </c>
      <c r="R4">
        <v>2014</v>
      </c>
      <c r="S4">
        <v>50.75</v>
      </c>
      <c r="T4">
        <v>51.33</v>
      </c>
      <c r="U4">
        <v>25.69</v>
      </c>
      <c r="V4">
        <v>100</v>
      </c>
      <c r="W4">
        <v>22.57</v>
      </c>
      <c r="X4">
        <v>26.98</v>
      </c>
      <c r="Z4">
        <v>2014</v>
      </c>
      <c r="AA4">
        <v>44.74</v>
      </c>
      <c r="AB4">
        <v>37.93</v>
      </c>
      <c r="AC4">
        <v>18.48</v>
      </c>
      <c r="AD4">
        <v>100</v>
      </c>
      <c r="AE4">
        <v>15.66</v>
      </c>
      <c r="AF4">
        <v>19.61</v>
      </c>
    </row>
    <row r="5" spans="1:32">
      <c r="A5">
        <f t="shared" ref="A5:A20" si="0">A4+1</f>
        <v>2015</v>
      </c>
      <c r="I5">
        <v>2015</v>
      </c>
      <c r="J5">
        <v>46.71</v>
      </c>
      <c r="K5">
        <v>43.85</v>
      </c>
      <c r="L5">
        <v>2.698</v>
      </c>
      <c r="M5">
        <v>20.96</v>
      </c>
      <c r="N5">
        <v>13.7</v>
      </c>
      <c r="O5">
        <v>18</v>
      </c>
      <c r="P5">
        <v>22.16</v>
      </c>
      <c r="R5">
        <v>2015</v>
      </c>
      <c r="S5">
        <v>50.71</v>
      </c>
      <c r="T5">
        <v>52.14</v>
      </c>
      <c r="U5">
        <v>28.17</v>
      </c>
      <c r="V5">
        <v>21.11</v>
      </c>
      <c r="W5">
        <v>24.92</v>
      </c>
      <c r="X5">
        <v>29.54</v>
      </c>
      <c r="Z5">
        <v>2015</v>
      </c>
      <c r="AA5">
        <v>42.71</v>
      </c>
      <c r="AB5">
        <v>35.56</v>
      </c>
      <c r="AC5">
        <v>17.63</v>
      </c>
      <c r="AD5">
        <v>9.1790000000000003</v>
      </c>
      <c r="AE5">
        <v>14.8</v>
      </c>
      <c r="AF5">
        <v>18.75</v>
      </c>
    </row>
    <row r="6" spans="1:32">
      <c r="A6">
        <f t="shared" si="0"/>
        <v>2016</v>
      </c>
      <c r="I6">
        <v>2016</v>
      </c>
      <c r="J6">
        <v>46.7</v>
      </c>
      <c r="K6">
        <v>43.49</v>
      </c>
      <c r="L6">
        <v>2.7309999999999999</v>
      </c>
      <c r="M6">
        <v>21.5</v>
      </c>
      <c r="N6">
        <v>14.4</v>
      </c>
      <c r="O6">
        <v>18.48</v>
      </c>
      <c r="P6">
        <v>22.72</v>
      </c>
      <c r="R6">
        <v>2016</v>
      </c>
      <c r="S6">
        <v>50.9</v>
      </c>
      <c r="T6">
        <v>52.23</v>
      </c>
      <c r="U6">
        <v>30.27</v>
      </c>
      <c r="V6">
        <v>21.53</v>
      </c>
      <c r="W6">
        <v>26.91</v>
      </c>
      <c r="X6">
        <v>31.69</v>
      </c>
      <c r="Z6">
        <v>2016</v>
      </c>
      <c r="AA6">
        <v>42.5</v>
      </c>
      <c r="AB6">
        <v>34.75</v>
      </c>
      <c r="AC6">
        <v>16.96</v>
      </c>
      <c r="AD6">
        <v>9.6479999999999997</v>
      </c>
      <c r="AE6">
        <v>14.12</v>
      </c>
      <c r="AF6">
        <v>18.079999999999998</v>
      </c>
    </row>
    <row r="7" spans="1:32">
      <c r="A7">
        <f t="shared" si="0"/>
        <v>2017</v>
      </c>
      <c r="B7">
        <v>20.56</v>
      </c>
      <c r="C7">
        <v>17.760000000000002</v>
      </c>
      <c r="D7">
        <v>21.76</v>
      </c>
      <c r="E7">
        <v>18.84</v>
      </c>
      <c r="F7">
        <v>30.54</v>
      </c>
      <c r="G7">
        <v>15.71</v>
      </c>
      <c r="H7" t="s">
        <v>34</v>
      </c>
      <c r="I7">
        <v>2017</v>
      </c>
      <c r="J7">
        <v>46.465000000000003</v>
      </c>
      <c r="K7">
        <v>43.34</v>
      </c>
      <c r="L7">
        <v>2.7639999999999998</v>
      </c>
      <c r="M7">
        <v>22.24</v>
      </c>
      <c r="N7">
        <v>14.6</v>
      </c>
      <c r="O7">
        <v>19.16</v>
      </c>
      <c r="P7">
        <v>23.49</v>
      </c>
      <c r="R7">
        <v>2017</v>
      </c>
      <c r="S7">
        <v>50.63</v>
      </c>
      <c r="T7">
        <v>52.46</v>
      </c>
      <c r="U7">
        <v>31.23</v>
      </c>
      <c r="V7">
        <v>22.12</v>
      </c>
      <c r="W7">
        <v>27.81</v>
      </c>
      <c r="X7">
        <v>32.68</v>
      </c>
      <c r="Z7">
        <v>2017</v>
      </c>
      <c r="AA7">
        <v>42.3</v>
      </c>
      <c r="AB7">
        <v>34.22</v>
      </c>
      <c r="AC7">
        <v>16.329999999999998</v>
      </c>
      <c r="AD7">
        <v>9.782</v>
      </c>
      <c r="AE7">
        <v>13.48</v>
      </c>
      <c r="AF7">
        <v>17.45</v>
      </c>
    </row>
    <row r="8" spans="1:32">
      <c r="A8">
        <f t="shared" si="0"/>
        <v>2018</v>
      </c>
      <c r="G8">
        <v>15.81</v>
      </c>
      <c r="H8" t="s">
        <v>34</v>
      </c>
      <c r="I8">
        <v>2018</v>
      </c>
      <c r="J8">
        <v>46.39</v>
      </c>
      <c r="K8">
        <v>43.04</v>
      </c>
      <c r="L8">
        <v>2.7970000000000002</v>
      </c>
      <c r="M8">
        <v>23.03</v>
      </c>
      <c r="N8">
        <v>15</v>
      </c>
      <c r="O8">
        <v>19.88</v>
      </c>
      <c r="P8">
        <v>24.31</v>
      </c>
      <c r="R8">
        <v>2018</v>
      </c>
      <c r="S8">
        <v>50.68</v>
      </c>
      <c r="T8">
        <v>52.51</v>
      </c>
      <c r="U8">
        <v>32.26</v>
      </c>
      <c r="V8">
        <v>22.75</v>
      </c>
      <c r="W8">
        <v>28.77</v>
      </c>
      <c r="X8">
        <v>33.75</v>
      </c>
      <c r="Z8">
        <v>2018</v>
      </c>
      <c r="AA8">
        <v>42.1</v>
      </c>
      <c r="AB8">
        <v>33.57</v>
      </c>
      <c r="AC8">
        <v>16.59</v>
      </c>
      <c r="AD8">
        <v>10.050000000000001</v>
      </c>
      <c r="AE8">
        <v>13.69</v>
      </c>
      <c r="AF8">
        <v>17.73</v>
      </c>
    </row>
    <row r="9" spans="1:32">
      <c r="A9">
        <f t="shared" si="0"/>
        <v>2019</v>
      </c>
      <c r="G9">
        <v>16</v>
      </c>
      <c r="H9" t="s">
        <v>34</v>
      </c>
      <c r="I9">
        <v>2019</v>
      </c>
      <c r="J9">
        <v>46.17</v>
      </c>
      <c r="K9">
        <v>42.825000000000003</v>
      </c>
      <c r="L9">
        <v>2.8290000000000002</v>
      </c>
      <c r="M9">
        <v>23.84</v>
      </c>
      <c r="N9">
        <v>15.2</v>
      </c>
      <c r="O9">
        <v>20.62</v>
      </c>
      <c r="P9">
        <v>25.15</v>
      </c>
      <c r="R9">
        <v>2019</v>
      </c>
      <c r="S9">
        <v>50.45</v>
      </c>
      <c r="T9">
        <v>52.7</v>
      </c>
      <c r="U9">
        <v>33.35</v>
      </c>
      <c r="V9">
        <v>23.4</v>
      </c>
      <c r="W9">
        <v>29.78</v>
      </c>
      <c r="X9">
        <v>34.86</v>
      </c>
      <c r="Z9">
        <v>2019</v>
      </c>
      <c r="AA9">
        <v>41.89</v>
      </c>
      <c r="AB9">
        <v>32.950000000000003</v>
      </c>
      <c r="AC9">
        <v>16.88</v>
      </c>
      <c r="AD9">
        <v>10.183999999999999</v>
      </c>
      <c r="AE9">
        <v>13.92</v>
      </c>
      <c r="AF9">
        <v>18.04</v>
      </c>
    </row>
    <row r="10" spans="1:32">
      <c r="A10">
        <f t="shared" si="0"/>
        <v>2020</v>
      </c>
      <c r="G10">
        <v>16.3</v>
      </c>
      <c r="H10" t="s">
        <v>34</v>
      </c>
      <c r="I10">
        <v>2020</v>
      </c>
      <c r="J10">
        <v>46.115000000000002</v>
      </c>
      <c r="K10">
        <v>42.53</v>
      </c>
      <c r="L10">
        <v>2.8610000000000002</v>
      </c>
      <c r="M10">
        <v>24.69</v>
      </c>
      <c r="N10">
        <v>15.5</v>
      </c>
      <c r="O10">
        <v>21.41</v>
      </c>
      <c r="P10">
        <v>26.04</v>
      </c>
      <c r="R10">
        <v>2020</v>
      </c>
      <c r="S10">
        <v>50.54</v>
      </c>
      <c r="T10">
        <v>52.76</v>
      </c>
      <c r="U10">
        <v>34.520000000000003</v>
      </c>
      <c r="V10">
        <v>24.09</v>
      </c>
      <c r="W10">
        <v>30.87</v>
      </c>
      <c r="X10">
        <v>36.08</v>
      </c>
      <c r="Z10">
        <v>2020</v>
      </c>
      <c r="AA10">
        <v>41.69</v>
      </c>
      <c r="AB10">
        <v>32.299999999999997</v>
      </c>
      <c r="AC10">
        <v>17.239999999999998</v>
      </c>
      <c r="AD10">
        <v>10.385</v>
      </c>
      <c r="AE10">
        <v>14.23</v>
      </c>
      <c r="AF10">
        <v>18.420000000000002</v>
      </c>
    </row>
    <row r="11" spans="1:32">
      <c r="A11">
        <f t="shared" si="0"/>
        <v>2021</v>
      </c>
      <c r="B11">
        <v>23.4</v>
      </c>
      <c r="C11">
        <v>20.39</v>
      </c>
      <c r="D11">
        <v>24.72</v>
      </c>
      <c r="E11">
        <v>21.55</v>
      </c>
      <c r="F11">
        <v>31.54</v>
      </c>
      <c r="G11">
        <v>16.690000000000001</v>
      </c>
      <c r="H11" t="s">
        <v>34</v>
      </c>
      <c r="I11">
        <v>2021</v>
      </c>
      <c r="J11">
        <v>46.14</v>
      </c>
      <c r="K11">
        <v>42.265000000000001</v>
      </c>
      <c r="L11">
        <v>2.8919999999999999</v>
      </c>
      <c r="M11">
        <v>25.6</v>
      </c>
      <c r="N11">
        <v>15.7</v>
      </c>
      <c r="O11">
        <v>22.24</v>
      </c>
      <c r="P11">
        <v>26.98</v>
      </c>
      <c r="R11">
        <v>2021</v>
      </c>
      <c r="S11">
        <v>50.79</v>
      </c>
      <c r="T11">
        <v>53.04</v>
      </c>
      <c r="U11">
        <v>35.770000000000003</v>
      </c>
      <c r="V11">
        <v>24.82</v>
      </c>
      <c r="W11">
        <v>32.03</v>
      </c>
      <c r="X11">
        <v>37.369999999999997</v>
      </c>
      <c r="Z11">
        <v>2021</v>
      </c>
      <c r="AA11">
        <v>41.49</v>
      </c>
      <c r="AB11">
        <v>31.49</v>
      </c>
      <c r="AC11">
        <v>17.62</v>
      </c>
      <c r="AD11">
        <v>10.519</v>
      </c>
      <c r="AE11">
        <v>14.55</v>
      </c>
      <c r="AF11">
        <v>18.829999999999998</v>
      </c>
    </row>
    <row r="12" spans="1:32">
      <c r="A12">
        <f t="shared" si="0"/>
        <v>2022</v>
      </c>
      <c r="G12">
        <v>12.73</v>
      </c>
      <c r="H12" t="s">
        <v>35</v>
      </c>
      <c r="I12">
        <v>2022</v>
      </c>
      <c r="J12">
        <v>46.085000000000001</v>
      </c>
      <c r="K12">
        <v>42.174999999999997</v>
      </c>
      <c r="L12">
        <v>2.923</v>
      </c>
      <c r="M12">
        <v>26.56</v>
      </c>
      <c r="N12">
        <v>16.2</v>
      </c>
      <c r="O12">
        <v>23.12</v>
      </c>
      <c r="P12">
        <v>27.98</v>
      </c>
      <c r="R12">
        <v>2022</v>
      </c>
      <c r="S12">
        <v>50.89</v>
      </c>
      <c r="T12">
        <v>53.38</v>
      </c>
      <c r="U12">
        <v>37.18</v>
      </c>
      <c r="V12">
        <v>25.6</v>
      </c>
      <c r="W12">
        <v>33.340000000000003</v>
      </c>
      <c r="X12">
        <v>38.83</v>
      </c>
      <c r="Z12">
        <v>2022</v>
      </c>
      <c r="AA12">
        <v>41.28</v>
      </c>
      <c r="AB12">
        <v>30.97</v>
      </c>
      <c r="AC12">
        <v>18.05</v>
      </c>
      <c r="AD12">
        <v>10.853999999999999</v>
      </c>
      <c r="AE12">
        <v>14.91</v>
      </c>
      <c r="AF12">
        <v>19.28</v>
      </c>
    </row>
    <row r="13" spans="1:32">
      <c r="A13">
        <f t="shared" si="0"/>
        <v>2023</v>
      </c>
      <c r="B13">
        <v>25.32</v>
      </c>
      <c r="C13">
        <v>22.18</v>
      </c>
      <c r="D13">
        <v>26.7</v>
      </c>
      <c r="E13">
        <v>23.39</v>
      </c>
      <c r="F13">
        <v>32.049999999999997</v>
      </c>
      <c r="G13">
        <v>12.95</v>
      </c>
      <c r="H13" t="s">
        <v>35</v>
      </c>
      <c r="I13">
        <v>2023</v>
      </c>
      <c r="J13">
        <v>46.02</v>
      </c>
      <c r="K13">
        <v>41.86</v>
      </c>
      <c r="L13">
        <v>2.9540000000000002</v>
      </c>
      <c r="M13">
        <v>27.56</v>
      </c>
      <c r="N13">
        <v>16.600000000000001</v>
      </c>
      <c r="O13">
        <v>24.03</v>
      </c>
      <c r="P13">
        <v>29.01</v>
      </c>
      <c r="R13">
        <v>2023</v>
      </c>
      <c r="S13">
        <v>50.96</v>
      </c>
      <c r="T13">
        <v>53.65</v>
      </c>
      <c r="U13">
        <v>38.619999999999997</v>
      </c>
      <c r="V13">
        <v>26.42</v>
      </c>
      <c r="W13">
        <v>34.67</v>
      </c>
      <c r="X13">
        <v>40.31</v>
      </c>
      <c r="Z13">
        <v>2023</v>
      </c>
      <c r="AA13">
        <v>41.08</v>
      </c>
      <c r="AB13">
        <v>30.07</v>
      </c>
      <c r="AC13">
        <v>18.45</v>
      </c>
      <c r="AD13">
        <v>11.122</v>
      </c>
      <c r="AE13">
        <v>15.25</v>
      </c>
      <c r="AF13">
        <v>19.71</v>
      </c>
    </row>
    <row r="14" spans="1:32">
      <c r="A14">
        <f t="shared" si="0"/>
        <v>2024</v>
      </c>
      <c r="G14">
        <v>13.12</v>
      </c>
      <c r="H14" t="s">
        <v>35</v>
      </c>
      <c r="I14">
        <v>2024</v>
      </c>
      <c r="J14">
        <v>45.954999999999998</v>
      </c>
      <c r="K14">
        <v>41.62</v>
      </c>
      <c r="L14">
        <v>2.9849999999999999</v>
      </c>
      <c r="M14">
        <v>28.6</v>
      </c>
      <c r="N14">
        <v>16.899999999999999</v>
      </c>
      <c r="O14">
        <v>24.98</v>
      </c>
      <c r="P14">
        <v>30.09</v>
      </c>
      <c r="R14">
        <v>2024</v>
      </c>
      <c r="S14">
        <v>51.03</v>
      </c>
      <c r="T14">
        <v>53.89</v>
      </c>
      <c r="U14">
        <v>40.159999999999997</v>
      </c>
      <c r="V14">
        <v>27.27</v>
      </c>
      <c r="W14">
        <v>36.11</v>
      </c>
      <c r="X14">
        <v>41.9</v>
      </c>
      <c r="Z14">
        <v>2024</v>
      </c>
      <c r="AA14">
        <v>40.880000000000003</v>
      </c>
      <c r="AB14">
        <v>29.35</v>
      </c>
      <c r="AC14">
        <v>18.829999999999998</v>
      </c>
      <c r="AD14">
        <v>11.323</v>
      </c>
      <c r="AE14">
        <v>15.58</v>
      </c>
      <c r="AF14">
        <v>20.11</v>
      </c>
    </row>
    <row r="15" spans="1:32">
      <c r="A15">
        <f t="shared" si="0"/>
        <v>2025</v>
      </c>
      <c r="G15">
        <v>13.33</v>
      </c>
      <c r="H15" t="s">
        <v>35</v>
      </c>
      <c r="I15">
        <v>2025</v>
      </c>
      <c r="J15">
        <v>45.884999999999998</v>
      </c>
      <c r="K15">
        <v>41.375</v>
      </c>
      <c r="L15">
        <v>3.0150000000000001</v>
      </c>
      <c r="M15">
        <v>29.68</v>
      </c>
      <c r="N15">
        <v>17.2</v>
      </c>
      <c r="O15">
        <v>25.97</v>
      </c>
      <c r="P15">
        <v>31.2</v>
      </c>
      <c r="R15">
        <v>2025</v>
      </c>
      <c r="S15">
        <v>51.1</v>
      </c>
      <c r="T15">
        <v>54.12</v>
      </c>
      <c r="U15">
        <v>41.8</v>
      </c>
      <c r="V15">
        <v>28.16</v>
      </c>
      <c r="W15">
        <v>37.630000000000003</v>
      </c>
      <c r="X15">
        <v>43.59</v>
      </c>
      <c r="Z15">
        <v>2025</v>
      </c>
      <c r="AA15">
        <v>40.67</v>
      </c>
      <c r="AB15">
        <v>28.63</v>
      </c>
      <c r="AC15">
        <v>19.25</v>
      </c>
      <c r="AD15">
        <v>11.523999999999999</v>
      </c>
      <c r="AE15">
        <v>15.93</v>
      </c>
      <c r="AF15">
        <v>20.55</v>
      </c>
    </row>
    <row r="16" spans="1:32">
      <c r="A16">
        <f t="shared" si="0"/>
        <v>2026</v>
      </c>
      <c r="G16">
        <v>13.61</v>
      </c>
      <c r="H16" t="s">
        <v>35</v>
      </c>
      <c r="I16">
        <v>2026</v>
      </c>
      <c r="J16">
        <v>45.82</v>
      </c>
      <c r="K16">
        <v>41.14</v>
      </c>
      <c r="L16">
        <v>3.0449999999999999</v>
      </c>
      <c r="M16">
        <v>30.8</v>
      </c>
      <c r="N16">
        <v>17.600000000000001</v>
      </c>
      <c r="O16">
        <v>27</v>
      </c>
      <c r="P16">
        <v>32.369999999999997</v>
      </c>
      <c r="R16">
        <v>2026</v>
      </c>
      <c r="S16">
        <v>51.17</v>
      </c>
      <c r="T16">
        <v>54.36</v>
      </c>
      <c r="U16">
        <v>43.51</v>
      </c>
      <c r="V16">
        <v>29.08</v>
      </c>
      <c r="W16">
        <v>39.22</v>
      </c>
      <c r="X16">
        <v>45.36</v>
      </c>
      <c r="Z16">
        <v>2026</v>
      </c>
      <c r="AA16">
        <v>40.47</v>
      </c>
      <c r="AB16">
        <v>27.92</v>
      </c>
      <c r="AC16">
        <v>19.64</v>
      </c>
      <c r="AD16">
        <v>11.792</v>
      </c>
      <c r="AE16">
        <v>16.260000000000002</v>
      </c>
      <c r="AF16">
        <v>20.97</v>
      </c>
    </row>
    <row r="17" spans="1:32">
      <c r="A17">
        <f t="shared" si="0"/>
        <v>2027</v>
      </c>
      <c r="G17">
        <v>14.02</v>
      </c>
      <c r="H17" t="s">
        <v>35</v>
      </c>
      <c r="I17">
        <v>2027</v>
      </c>
      <c r="J17">
        <v>45.755000000000003</v>
      </c>
      <c r="K17">
        <v>40.9</v>
      </c>
      <c r="L17">
        <v>3.0739999999999998</v>
      </c>
      <c r="M17">
        <v>31.96</v>
      </c>
      <c r="N17">
        <v>17.899999999999999</v>
      </c>
      <c r="O17">
        <v>28.08</v>
      </c>
      <c r="P17">
        <v>33.58</v>
      </c>
      <c r="R17">
        <v>2027</v>
      </c>
      <c r="S17">
        <v>51.24</v>
      </c>
      <c r="T17">
        <v>54.6</v>
      </c>
      <c r="U17">
        <v>45.28</v>
      </c>
      <c r="V17">
        <v>30.04</v>
      </c>
      <c r="W17">
        <v>40.869999999999997</v>
      </c>
      <c r="X17">
        <v>47.19</v>
      </c>
      <c r="Z17">
        <v>2027</v>
      </c>
      <c r="AA17">
        <v>40.270000000000003</v>
      </c>
      <c r="AB17">
        <v>27.2</v>
      </c>
      <c r="AC17">
        <v>20.03</v>
      </c>
      <c r="AD17">
        <v>11.993</v>
      </c>
      <c r="AE17">
        <v>16.600000000000001</v>
      </c>
      <c r="AF17">
        <v>21.38</v>
      </c>
    </row>
    <row r="18" spans="1:32">
      <c r="A18">
        <f t="shared" si="0"/>
        <v>2028</v>
      </c>
      <c r="G18">
        <v>14.39</v>
      </c>
      <c r="H18" t="s">
        <v>35</v>
      </c>
      <c r="I18">
        <v>2028</v>
      </c>
      <c r="J18">
        <v>45.685000000000002</v>
      </c>
      <c r="K18">
        <v>40.659999999999997</v>
      </c>
      <c r="L18">
        <v>3.1030000000000002</v>
      </c>
      <c r="M18">
        <v>33.18</v>
      </c>
      <c r="N18">
        <v>18.2</v>
      </c>
      <c r="O18">
        <v>29.19</v>
      </c>
      <c r="P18">
        <v>34.83</v>
      </c>
      <c r="R18">
        <v>2028</v>
      </c>
      <c r="S18">
        <v>51.31</v>
      </c>
      <c r="T18">
        <v>54.84</v>
      </c>
      <c r="U18">
        <v>47.13</v>
      </c>
      <c r="V18">
        <v>31.04</v>
      </c>
      <c r="W18">
        <v>42.59</v>
      </c>
      <c r="X18">
        <v>49.1</v>
      </c>
      <c r="Z18">
        <v>2028</v>
      </c>
      <c r="AA18">
        <v>40.06</v>
      </c>
      <c r="AB18">
        <v>26.48</v>
      </c>
      <c r="AC18">
        <v>20.440000000000001</v>
      </c>
      <c r="AD18">
        <v>12.194000000000001</v>
      </c>
      <c r="AE18">
        <v>16.95</v>
      </c>
      <c r="AF18">
        <v>21.82</v>
      </c>
    </row>
    <row r="19" spans="1:32">
      <c r="A19">
        <f t="shared" si="0"/>
        <v>2029</v>
      </c>
      <c r="B19">
        <v>31.27</v>
      </c>
      <c r="C19">
        <v>27.7</v>
      </c>
      <c r="D19">
        <v>32.880000000000003</v>
      </c>
      <c r="E19">
        <v>29.08</v>
      </c>
      <c r="F19">
        <v>34.04</v>
      </c>
      <c r="G19">
        <v>14.78</v>
      </c>
      <c r="H19" t="s">
        <v>35</v>
      </c>
      <c r="I19">
        <v>2029</v>
      </c>
      <c r="J19">
        <v>45.62</v>
      </c>
      <c r="K19">
        <v>40.42</v>
      </c>
      <c r="L19">
        <v>3.1320000000000001</v>
      </c>
      <c r="M19">
        <v>34.450000000000003</v>
      </c>
      <c r="N19">
        <v>18.5</v>
      </c>
      <c r="O19">
        <v>30.36</v>
      </c>
      <c r="P19">
        <v>36.15</v>
      </c>
      <c r="R19">
        <v>2029</v>
      </c>
      <c r="S19">
        <v>51.38</v>
      </c>
      <c r="T19">
        <v>55.08</v>
      </c>
      <c r="U19">
        <v>49.03</v>
      </c>
      <c r="V19">
        <v>32.090000000000003</v>
      </c>
      <c r="W19">
        <v>44.36</v>
      </c>
      <c r="X19">
        <v>51.06</v>
      </c>
      <c r="Z19">
        <v>2029</v>
      </c>
      <c r="AA19">
        <v>39.86</v>
      </c>
      <c r="AB19">
        <v>25.76</v>
      </c>
      <c r="AC19">
        <v>20.85</v>
      </c>
      <c r="AD19">
        <v>12.395</v>
      </c>
      <c r="AE19">
        <v>17.3</v>
      </c>
      <c r="AF19">
        <v>22.25</v>
      </c>
    </row>
    <row r="20" spans="1:32">
      <c r="A20">
        <f t="shared" si="0"/>
        <v>2030</v>
      </c>
      <c r="B20">
        <v>32.26</v>
      </c>
      <c r="C20">
        <v>28.62</v>
      </c>
      <c r="D20">
        <v>33.909999999999997</v>
      </c>
      <c r="E20">
        <v>30.02</v>
      </c>
      <c r="F20">
        <v>34.340000000000003</v>
      </c>
      <c r="G20">
        <v>15.21</v>
      </c>
      <c r="H20" t="s">
        <v>35</v>
      </c>
      <c r="I20">
        <v>2030</v>
      </c>
      <c r="J20">
        <v>45.555</v>
      </c>
      <c r="K20">
        <v>40.18</v>
      </c>
      <c r="L20">
        <v>3.161</v>
      </c>
      <c r="M20">
        <v>35.770000000000003</v>
      </c>
      <c r="N20">
        <v>18.899999999999999</v>
      </c>
      <c r="O20">
        <v>31.58</v>
      </c>
      <c r="P20">
        <v>37.520000000000003</v>
      </c>
      <c r="R20">
        <v>2030</v>
      </c>
      <c r="S20">
        <v>51.45</v>
      </c>
      <c r="T20">
        <v>55.32</v>
      </c>
      <c r="U20">
        <v>50.88</v>
      </c>
      <c r="V20">
        <v>33.18</v>
      </c>
      <c r="W20">
        <v>46.09</v>
      </c>
      <c r="X20">
        <v>52.97</v>
      </c>
      <c r="Z20">
        <v>2030</v>
      </c>
      <c r="AA20">
        <v>39.659999999999997</v>
      </c>
      <c r="AB20">
        <v>25.04</v>
      </c>
      <c r="AC20">
        <v>21.26</v>
      </c>
      <c r="AD20">
        <v>12.663</v>
      </c>
      <c r="AE20">
        <v>17.649999999999999</v>
      </c>
      <c r="AF20">
        <v>22.69</v>
      </c>
    </row>
    <row r="21" spans="1:32">
      <c r="B21">
        <f t="shared" ref="B21:E21" si="1">(B20/B7)^(1/(ROWS(B7:B20)-1))</f>
        <v>1.0352597447222447</v>
      </c>
      <c r="C21">
        <f t="shared" si="1"/>
        <v>1.037386311071208</v>
      </c>
      <c r="D21">
        <f t="shared" si="1"/>
        <v>1.0347148559293617</v>
      </c>
      <c r="E21">
        <f t="shared" si="1"/>
        <v>1.036486929772682</v>
      </c>
      <c r="F21">
        <f>(F20/F7)^(1/(ROWS(F7:F20)-1))</f>
        <v>1.0090618549812902</v>
      </c>
      <c r="G21">
        <f>(G20/G12)^(1/(ROWS(G12:G20)-1))</f>
        <v>1.0224983157168064</v>
      </c>
      <c r="I21">
        <v>2031</v>
      </c>
      <c r="J21">
        <v>45.484999999999999</v>
      </c>
      <c r="K21">
        <v>39.935000000000002</v>
      </c>
      <c r="L21">
        <v>3.1890000000000001</v>
      </c>
      <c r="M21">
        <v>37.15</v>
      </c>
      <c r="N21">
        <v>24.5</v>
      </c>
      <c r="O21">
        <v>32.85</v>
      </c>
      <c r="P21">
        <v>38.94</v>
      </c>
      <c r="R21">
        <v>2031</v>
      </c>
      <c r="S21">
        <v>51.52</v>
      </c>
      <c r="T21">
        <v>55.55</v>
      </c>
      <c r="U21">
        <v>52.77</v>
      </c>
      <c r="V21">
        <v>39.51</v>
      </c>
      <c r="W21">
        <v>47.86</v>
      </c>
      <c r="X21">
        <v>54.92</v>
      </c>
      <c r="Z21">
        <v>2031</v>
      </c>
      <c r="AA21">
        <v>39.450000000000003</v>
      </c>
      <c r="AB21">
        <v>24.32</v>
      </c>
      <c r="AC21">
        <v>21.68</v>
      </c>
      <c r="AD21">
        <v>16.414999999999999</v>
      </c>
      <c r="AE21">
        <v>18.010000000000002</v>
      </c>
      <c r="AF21">
        <v>23.13</v>
      </c>
    </row>
    <row r="22" spans="1:32">
      <c r="I22">
        <v>2032</v>
      </c>
      <c r="J22">
        <v>45.42</v>
      </c>
      <c r="K22">
        <v>39.700000000000003</v>
      </c>
      <c r="L22">
        <v>3.2170000000000001</v>
      </c>
      <c r="M22">
        <v>38.57</v>
      </c>
      <c r="N22">
        <v>24.9</v>
      </c>
      <c r="O22">
        <v>34.17</v>
      </c>
      <c r="P22">
        <v>40.42</v>
      </c>
      <c r="R22">
        <v>2032</v>
      </c>
      <c r="S22">
        <v>51.59</v>
      </c>
      <c r="T22">
        <v>55.79</v>
      </c>
      <c r="U22">
        <v>54.74</v>
      </c>
      <c r="V22">
        <v>40.71</v>
      </c>
      <c r="W22">
        <v>49.7</v>
      </c>
      <c r="X22">
        <v>56.94</v>
      </c>
      <c r="Z22">
        <v>2032</v>
      </c>
      <c r="AA22">
        <v>39.25</v>
      </c>
      <c r="AB22">
        <v>23.61</v>
      </c>
      <c r="AC22">
        <v>22.11</v>
      </c>
      <c r="AD22">
        <v>16.683</v>
      </c>
      <c r="AE22">
        <v>18.37</v>
      </c>
      <c r="AF22">
        <v>23.58</v>
      </c>
    </row>
    <row r="23" spans="1:32">
      <c r="I23">
        <v>2033</v>
      </c>
      <c r="J23">
        <v>45.354999999999997</v>
      </c>
      <c r="K23">
        <v>39.46</v>
      </c>
      <c r="L23">
        <v>3.2440000000000002</v>
      </c>
      <c r="M23">
        <v>40.04</v>
      </c>
      <c r="N23">
        <v>25.4</v>
      </c>
      <c r="O23">
        <v>35.53</v>
      </c>
      <c r="P23">
        <v>41.94</v>
      </c>
      <c r="R23">
        <v>2033</v>
      </c>
      <c r="S23">
        <v>51.66</v>
      </c>
      <c r="T23">
        <v>56.03</v>
      </c>
      <c r="U23">
        <v>56.97</v>
      </c>
      <c r="V23">
        <v>41.96</v>
      </c>
      <c r="W23">
        <v>51.78</v>
      </c>
      <c r="X23">
        <v>59.25</v>
      </c>
      <c r="Z23">
        <v>2033</v>
      </c>
      <c r="AA23">
        <v>39.049999999999997</v>
      </c>
      <c r="AB23">
        <v>22.89</v>
      </c>
      <c r="AC23">
        <v>22.62</v>
      </c>
      <c r="AD23">
        <v>17.018000000000001</v>
      </c>
      <c r="AE23">
        <v>18.8</v>
      </c>
      <c r="AF23">
        <v>24.12</v>
      </c>
    </row>
    <row r="24" spans="1:32">
      <c r="I24">
        <v>2034</v>
      </c>
      <c r="L24">
        <v>3.2719999999999998</v>
      </c>
    </row>
    <row r="25" spans="1:32">
      <c r="I25">
        <v>2035</v>
      </c>
      <c r="L25">
        <v>3.2989999999999999</v>
      </c>
    </row>
    <row r="26" spans="1:32">
      <c r="I26">
        <v>2036</v>
      </c>
      <c r="L26">
        <v>3.3250000000000002</v>
      </c>
    </row>
    <row r="27" spans="1:32">
      <c r="I27">
        <v>2037</v>
      </c>
      <c r="L27">
        <v>3.351</v>
      </c>
    </row>
    <row r="28" spans="1:32">
      <c r="I28">
        <v>2038</v>
      </c>
      <c r="L28">
        <v>3.3769999999999998</v>
      </c>
    </row>
    <row r="29" spans="1:32">
      <c r="I29">
        <v>2039</v>
      </c>
      <c r="L29">
        <v>3.403</v>
      </c>
    </row>
    <row r="30" spans="1:32">
      <c r="I30">
        <v>2040</v>
      </c>
      <c r="L30">
        <v>3.4279999999999999</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
  <sheetViews>
    <sheetView workbookViewId="0">
      <selection activeCell="E12" sqref="E12"/>
    </sheetView>
  </sheetViews>
  <sheetFormatPr baseColWidth="10" defaultRowHeight="15" x14ac:dyDescent="0"/>
  <cols>
    <col min="1" max="1" width="47.33203125" customWidth="1"/>
  </cols>
  <sheetData>
    <row r="1" spans="1:34">
      <c r="A1" t="s">
        <v>119</v>
      </c>
    </row>
    <row r="2" spans="1:34">
      <c r="A2" t="s">
        <v>120</v>
      </c>
    </row>
    <row r="4" spans="1:34">
      <c r="A4" t="s">
        <v>121</v>
      </c>
    </row>
    <row r="5" spans="1:34">
      <c r="A5" t="s">
        <v>120</v>
      </c>
    </row>
    <row r="6" spans="1:34">
      <c r="A6" t="s">
        <v>122</v>
      </c>
    </row>
    <row r="7" spans="1:34">
      <c r="A7" t="s">
        <v>123</v>
      </c>
    </row>
    <row r="8" spans="1:34">
      <c r="B8" t="s">
        <v>124</v>
      </c>
      <c r="C8" t="s">
        <v>125</v>
      </c>
      <c r="D8" t="s">
        <v>126</v>
      </c>
      <c r="E8">
        <v>2012</v>
      </c>
      <c r="F8">
        <v>2013</v>
      </c>
      <c r="G8">
        <v>2014</v>
      </c>
      <c r="H8">
        <v>2015</v>
      </c>
      <c r="I8">
        <v>2016</v>
      </c>
      <c r="J8">
        <v>2017</v>
      </c>
      <c r="K8">
        <v>2018</v>
      </c>
      <c r="L8">
        <v>2019</v>
      </c>
      <c r="M8">
        <v>2020</v>
      </c>
      <c r="N8">
        <v>2021</v>
      </c>
      <c r="O8">
        <v>2022</v>
      </c>
      <c r="P8">
        <v>2023</v>
      </c>
      <c r="Q8">
        <v>2024</v>
      </c>
      <c r="R8">
        <v>2025</v>
      </c>
      <c r="S8">
        <v>2026</v>
      </c>
      <c r="T8">
        <v>2027</v>
      </c>
      <c r="U8">
        <v>2028</v>
      </c>
      <c r="V8">
        <v>2029</v>
      </c>
      <c r="W8">
        <v>2030</v>
      </c>
      <c r="X8">
        <v>2031</v>
      </c>
      <c r="Y8">
        <v>2032</v>
      </c>
      <c r="Z8">
        <v>2033</v>
      </c>
      <c r="AA8">
        <v>2034</v>
      </c>
      <c r="AB8">
        <v>2035</v>
      </c>
      <c r="AC8">
        <v>2036</v>
      </c>
      <c r="AD8">
        <v>2037</v>
      </c>
      <c r="AE8">
        <v>2038</v>
      </c>
      <c r="AF8">
        <v>2039</v>
      </c>
      <c r="AG8">
        <v>2040</v>
      </c>
      <c r="AH8" t="s">
        <v>127</v>
      </c>
    </row>
    <row r="9" spans="1:34">
      <c r="A9" t="s">
        <v>56</v>
      </c>
      <c r="C9" t="b">
        <v>1</v>
      </c>
    </row>
    <row r="10" spans="1:34">
      <c r="A10" t="s">
        <v>128</v>
      </c>
      <c r="B10" t="b">
        <v>1</v>
      </c>
      <c r="C10" t="b">
        <v>1</v>
      </c>
      <c r="E10">
        <v>24.11</v>
      </c>
      <c r="F10">
        <v>24.04</v>
      </c>
      <c r="G10">
        <v>23.19</v>
      </c>
      <c r="H10">
        <v>26.46</v>
      </c>
      <c r="I10">
        <v>28.92</v>
      </c>
      <c r="J10">
        <v>29.88</v>
      </c>
      <c r="K10">
        <v>30.68</v>
      </c>
      <c r="L10">
        <v>31.28</v>
      </c>
      <c r="M10">
        <v>31.84</v>
      </c>
      <c r="N10">
        <v>32.6</v>
      </c>
      <c r="O10">
        <v>33.35</v>
      </c>
      <c r="P10">
        <v>34.04</v>
      </c>
      <c r="Q10">
        <v>35.049999999999997</v>
      </c>
      <c r="R10">
        <v>35.97</v>
      </c>
      <c r="S10">
        <v>36.880000000000003</v>
      </c>
      <c r="T10">
        <v>37.82</v>
      </c>
      <c r="U10">
        <v>38.770000000000003</v>
      </c>
      <c r="V10">
        <v>39.700000000000003</v>
      </c>
      <c r="W10">
        <v>40.6</v>
      </c>
      <c r="X10">
        <v>41.49</v>
      </c>
      <c r="Y10">
        <v>42.45</v>
      </c>
      <c r="Z10">
        <v>43.64</v>
      </c>
      <c r="AA10">
        <v>44.7</v>
      </c>
      <c r="AB10">
        <v>45.45</v>
      </c>
      <c r="AC10">
        <v>46.55</v>
      </c>
      <c r="AD10">
        <v>47.61</v>
      </c>
      <c r="AE10">
        <v>48.74</v>
      </c>
      <c r="AF10">
        <v>49.79</v>
      </c>
      <c r="AG10">
        <v>51.01</v>
      </c>
      <c r="AH10" s="3">
        <v>2.8000000000000001E-2</v>
      </c>
    </row>
    <row r="11" spans="1:34">
      <c r="A11" t="s">
        <v>129</v>
      </c>
      <c r="B11" t="b">
        <v>1</v>
      </c>
      <c r="C11" t="b">
        <v>1</v>
      </c>
      <c r="E11">
        <v>24.11</v>
      </c>
      <c r="F11">
        <v>24.04</v>
      </c>
      <c r="G11">
        <v>23.19</v>
      </c>
      <c r="H11">
        <v>13.76</v>
      </c>
      <c r="I11">
        <v>13.78</v>
      </c>
      <c r="J11">
        <v>13.88</v>
      </c>
      <c r="K11">
        <v>14.03</v>
      </c>
      <c r="L11">
        <v>14.36</v>
      </c>
      <c r="M11">
        <v>14.72</v>
      </c>
      <c r="N11">
        <v>15</v>
      </c>
      <c r="O11">
        <v>15.32</v>
      </c>
      <c r="P11">
        <v>15.55</v>
      </c>
      <c r="Q11">
        <v>15.81</v>
      </c>
      <c r="R11">
        <v>16.04</v>
      </c>
      <c r="S11">
        <v>16.27</v>
      </c>
      <c r="T11">
        <v>16.510000000000002</v>
      </c>
      <c r="U11">
        <v>16.59</v>
      </c>
      <c r="V11">
        <v>16.690000000000001</v>
      </c>
      <c r="W11">
        <v>16.739999999999998</v>
      </c>
      <c r="X11">
        <v>16.87</v>
      </c>
      <c r="Y11">
        <v>16.920000000000002</v>
      </c>
      <c r="Z11">
        <v>17.05</v>
      </c>
      <c r="AA11">
        <v>17.11</v>
      </c>
      <c r="AB11">
        <v>17.21</v>
      </c>
      <c r="AC11">
        <v>17.34</v>
      </c>
      <c r="AD11">
        <v>17.440000000000001</v>
      </c>
      <c r="AE11">
        <v>17.52</v>
      </c>
      <c r="AF11">
        <v>17.64</v>
      </c>
      <c r="AG11">
        <v>17.739999999999998</v>
      </c>
      <c r="AH11" s="3">
        <v>-1.0999999999999999E-2</v>
      </c>
    </row>
    <row r="12" spans="1:34">
      <c r="A12" t="s">
        <v>130</v>
      </c>
      <c r="B12" t="b">
        <v>1</v>
      </c>
      <c r="C12" t="b">
        <v>1</v>
      </c>
      <c r="E12">
        <v>24.11</v>
      </c>
      <c r="F12">
        <v>24.04</v>
      </c>
      <c r="G12">
        <v>23.19</v>
      </c>
      <c r="H12">
        <v>16.600000000000001</v>
      </c>
      <c r="I12">
        <v>18.16</v>
      </c>
      <c r="J12">
        <v>18.22</v>
      </c>
      <c r="K12">
        <v>18.23</v>
      </c>
      <c r="L12">
        <v>18.52</v>
      </c>
      <c r="M12">
        <v>18.78</v>
      </c>
      <c r="N12">
        <v>19.170000000000002</v>
      </c>
      <c r="O12">
        <v>19.579999999999998</v>
      </c>
      <c r="P12">
        <v>20.02</v>
      </c>
      <c r="Q12">
        <v>20.46</v>
      </c>
      <c r="R12">
        <v>20.93</v>
      </c>
      <c r="S12">
        <v>21.43</v>
      </c>
      <c r="T12">
        <v>21.95</v>
      </c>
      <c r="U12">
        <v>22.5</v>
      </c>
      <c r="V12">
        <v>23.05</v>
      </c>
      <c r="W12">
        <v>23.63</v>
      </c>
      <c r="X12">
        <v>24.23</v>
      </c>
      <c r="Y12">
        <v>24.82</v>
      </c>
      <c r="Z12">
        <v>25.44</v>
      </c>
      <c r="AA12">
        <v>26.07</v>
      </c>
      <c r="AB12">
        <v>26.71</v>
      </c>
      <c r="AC12">
        <v>27.37</v>
      </c>
      <c r="AD12">
        <v>28.05</v>
      </c>
      <c r="AE12">
        <v>28.81</v>
      </c>
      <c r="AF12">
        <v>29.52</v>
      </c>
      <c r="AG12">
        <v>30.22</v>
      </c>
      <c r="AH12" s="3">
        <v>8.9999999999999993E-3</v>
      </c>
    </row>
    <row r="13" spans="1:34">
      <c r="A13" t="s">
        <v>57</v>
      </c>
      <c r="C13" t="b">
        <v>1</v>
      </c>
    </row>
    <row r="14" spans="1:34">
      <c r="A14" t="s">
        <v>131</v>
      </c>
      <c r="B14" t="b">
        <v>1</v>
      </c>
      <c r="C14" t="b">
        <v>1</v>
      </c>
      <c r="E14">
        <v>20.82</v>
      </c>
      <c r="F14">
        <v>18.89</v>
      </c>
      <c r="G14">
        <v>20.010000000000002</v>
      </c>
      <c r="H14">
        <v>15.97</v>
      </c>
      <c r="I14">
        <v>17.940000000000001</v>
      </c>
      <c r="J14">
        <v>19.399999999999999</v>
      </c>
      <c r="K14">
        <v>19.87</v>
      </c>
      <c r="L14">
        <v>21.26</v>
      </c>
      <c r="M14">
        <v>21.66</v>
      </c>
      <c r="N14">
        <v>22.25</v>
      </c>
      <c r="O14">
        <v>23.01</v>
      </c>
      <c r="P14">
        <v>23.62</v>
      </c>
      <c r="Q14">
        <v>24.4</v>
      </c>
      <c r="R14">
        <v>25.08</v>
      </c>
      <c r="S14">
        <v>25.71</v>
      </c>
      <c r="T14">
        <v>26.62</v>
      </c>
      <c r="U14">
        <v>27.4</v>
      </c>
      <c r="V14">
        <v>28.19</v>
      </c>
      <c r="W14">
        <v>28.92</v>
      </c>
      <c r="X14">
        <v>31.24</v>
      </c>
      <c r="Y14">
        <v>32.159999999999997</v>
      </c>
      <c r="Z14">
        <v>33.020000000000003</v>
      </c>
      <c r="AA14">
        <v>34.03</v>
      </c>
      <c r="AB14">
        <v>34.83</v>
      </c>
      <c r="AC14">
        <v>35.840000000000003</v>
      </c>
      <c r="AD14">
        <v>36.82</v>
      </c>
      <c r="AE14">
        <v>37.880000000000003</v>
      </c>
      <c r="AF14">
        <v>38.880000000000003</v>
      </c>
      <c r="AG14">
        <v>39.96</v>
      </c>
      <c r="AH14" s="3">
        <v>2.8000000000000001E-2</v>
      </c>
    </row>
    <row r="15" spans="1:34">
      <c r="A15" t="s">
        <v>132</v>
      </c>
      <c r="B15" t="b">
        <v>1</v>
      </c>
      <c r="C15" t="b">
        <v>1</v>
      </c>
      <c r="E15">
        <v>20.82</v>
      </c>
      <c r="F15">
        <v>18.89</v>
      </c>
      <c r="G15">
        <v>20</v>
      </c>
      <c r="H15">
        <v>5.47</v>
      </c>
      <c r="I15">
        <v>6.16</v>
      </c>
      <c r="J15">
        <v>6.62</v>
      </c>
      <c r="K15">
        <v>6.79</v>
      </c>
      <c r="L15">
        <v>7.97</v>
      </c>
      <c r="M15">
        <v>8.2799999999999994</v>
      </c>
      <c r="N15">
        <v>8.5299999999999994</v>
      </c>
      <c r="O15">
        <v>8.7799999999999994</v>
      </c>
      <c r="P15">
        <v>8.82</v>
      </c>
      <c r="Q15">
        <v>8.86</v>
      </c>
      <c r="R15">
        <v>9.0299999999999994</v>
      </c>
      <c r="S15">
        <v>9.17</v>
      </c>
      <c r="T15">
        <v>9.25</v>
      </c>
      <c r="U15">
        <v>9.33</v>
      </c>
      <c r="V15">
        <v>9.6</v>
      </c>
      <c r="W15">
        <v>9.7100000000000009</v>
      </c>
      <c r="X15">
        <v>9.68</v>
      </c>
      <c r="Y15">
        <v>9.7200000000000006</v>
      </c>
      <c r="Z15">
        <v>9.85</v>
      </c>
      <c r="AA15">
        <v>9.69</v>
      </c>
      <c r="AB15">
        <v>9.6999999999999993</v>
      </c>
      <c r="AC15">
        <v>9.8800000000000008</v>
      </c>
      <c r="AD15">
        <v>10.1</v>
      </c>
      <c r="AE15">
        <v>10.199999999999999</v>
      </c>
      <c r="AF15">
        <v>10.31</v>
      </c>
      <c r="AG15">
        <v>10.37</v>
      </c>
      <c r="AH15" s="3">
        <v>-2.1999999999999999E-2</v>
      </c>
    </row>
    <row r="16" spans="1:34">
      <c r="A16" t="s">
        <v>133</v>
      </c>
      <c r="B16" t="b">
        <v>1</v>
      </c>
      <c r="C16" t="b">
        <v>1</v>
      </c>
      <c r="E16">
        <v>20.82</v>
      </c>
      <c r="F16">
        <v>18.89</v>
      </c>
      <c r="G16">
        <v>20</v>
      </c>
      <c r="H16">
        <v>11.47</v>
      </c>
      <c r="I16">
        <v>11.01</v>
      </c>
      <c r="J16">
        <v>10</v>
      </c>
      <c r="K16">
        <v>10.050000000000001</v>
      </c>
      <c r="L16">
        <v>11.2</v>
      </c>
      <c r="M16">
        <v>11.45</v>
      </c>
      <c r="N16">
        <v>11.79</v>
      </c>
      <c r="O16">
        <v>12.15</v>
      </c>
      <c r="P16">
        <v>12.51</v>
      </c>
      <c r="Q16">
        <v>12.89</v>
      </c>
      <c r="R16">
        <v>13.27</v>
      </c>
      <c r="S16">
        <v>13.68</v>
      </c>
      <c r="T16">
        <v>14.08</v>
      </c>
      <c r="U16">
        <v>14.5</v>
      </c>
      <c r="V16">
        <v>14.93</v>
      </c>
      <c r="W16">
        <v>15.38</v>
      </c>
      <c r="X16">
        <v>15.86</v>
      </c>
      <c r="Y16">
        <v>16.34</v>
      </c>
      <c r="Z16">
        <v>16.8</v>
      </c>
      <c r="AA16">
        <v>17.329999999999998</v>
      </c>
      <c r="AB16">
        <v>17.850000000000001</v>
      </c>
      <c r="AC16">
        <v>18.37</v>
      </c>
      <c r="AD16">
        <v>18.899999999999999</v>
      </c>
      <c r="AE16">
        <v>19.47</v>
      </c>
      <c r="AF16">
        <v>20.440000000000001</v>
      </c>
      <c r="AG16">
        <v>21.59</v>
      </c>
      <c r="AH16" s="3">
        <v>5.0000000000000001E-3</v>
      </c>
    </row>
    <row r="17" spans="1:34">
      <c r="A17" t="s">
        <v>58</v>
      </c>
      <c r="C17" t="b">
        <v>1</v>
      </c>
    </row>
    <row r="18" spans="1:34">
      <c r="A18" t="s">
        <v>134</v>
      </c>
      <c r="B18" t="b">
        <v>1</v>
      </c>
      <c r="C18" t="b">
        <v>1</v>
      </c>
      <c r="E18">
        <v>3.52</v>
      </c>
      <c r="F18">
        <v>4.4000000000000004</v>
      </c>
      <c r="G18">
        <v>5</v>
      </c>
      <c r="H18">
        <v>4.28</v>
      </c>
      <c r="I18">
        <v>4.22</v>
      </c>
      <c r="J18">
        <v>4.2699999999999996</v>
      </c>
      <c r="K18">
        <v>4.3600000000000003</v>
      </c>
      <c r="L18">
        <v>4.71</v>
      </c>
      <c r="M18">
        <v>5.12</v>
      </c>
      <c r="N18">
        <v>5.62</v>
      </c>
      <c r="O18">
        <v>6.07</v>
      </c>
      <c r="P18">
        <v>6.77</v>
      </c>
      <c r="Q18">
        <v>7.22</v>
      </c>
      <c r="R18">
        <v>7.5</v>
      </c>
      <c r="S18">
        <v>7.65</v>
      </c>
      <c r="T18">
        <v>7.68</v>
      </c>
      <c r="U18">
        <v>7.6</v>
      </c>
      <c r="V18">
        <v>7.72</v>
      </c>
      <c r="W18">
        <v>7.9</v>
      </c>
      <c r="X18">
        <v>8.15</v>
      </c>
      <c r="Y18">
        <v>8.34</v>
      </c>
      <c r="Z18">
        <v>8.36</v>
      </c>
      <c r="AA18">
        <v>8.36</v>
      </c>
      <c r="AB18">
        <v>8.49</v>
      </c>
      <c r="AC18">
        <v>8.74</v>
      </c>
      <c r="AD18">
        <v>8.9600000000000009</v>
      </c>
      <c r="AE18">
        <v>9.36</v>
      </c>
      <c r="AF18">
        <v>9.81</v>
      </c>
      <c r="AG18">
        <v>10.08</v>
      </c>
      <c r="AH18" s="3">
        <v>3.1E-2</v>
      </c>
    </row>
    <row r="19" spans="1:34">
      <c r="A19" t="s">
        <v>135</v>
      </c>
      <c r="B19" t="b">
        <v>1</v>
      </c>
      <c r="C19" t="b">
        <v>1</v>
      </c>
      <c r="E19">
        <v>3.52</v>
      </c>
      <c r="F19">
        <v>4.4000000000000004</v>
      </c>
      <c r="G19">
        <v>5.05</v>
      </c>
      <c r="H19">
        <v>4.38</v>
      </c>
      <c r="I19">
        <v>4.58</v>
      </c>
      <c r="J19">
        <v>4.6399999999999997</v>
      </c>
      <c r="K19">
        <v>4.62</v>
      </c>
      <c r="L19">
        <v>4.83</v>
      </c>
      <c r="M19">
        <v>4.92</v>
      </c>
      <c r="N19">
        <v>5.05</v>
      </c>
      <c r="O19">
        <v>5.15</v>
      </c>
      <c r="P19">
        <v>5.4</v>
      </c>
      <c r="Q19">
        <v>5.65</v>
      </c>
      <c r="R19">
        <v>5.86</v>
      </c>
      <c r="S19">
        <v>6.03</v>
      </c>
      <c r="T19">
        <v>6.27</v>
      </c>
      <c r="U19">
        <v>6.31</v>
      </c>
      <c r="V19">
        <v>6.19</v>
      </c>
      <c r="W19">
        <v>6.18</v>
      </c>
      <c r="X19">
        <v>6.25</v>
      </c>
      <c r="Y19">
        <v>6.37</v>
      </c>
      <c r="Z19">
        <v>6.45</v>
      </c>
      <c r="AA19">
        <v>6.53</v>
      </c>
      <c r="AB19">
        <v>6.62</v>
      </c>
      <c r="AC19">
        <v>6.74</v>
      </c>
      <c r="AD19">
        <v>6.88</v>
      </c>
      <c r="AE19">
        <v>7.09</v>
      </c>
      <c r="AF19">
        <v>7.53</v>
      </c>
      <c r="AG19">
        <v>7.77</v>
      </c>
      <c r="AH19" s="3">
        <v>2.1000000000000001E-2</v>
      </c>
    </row>
    <row r="20" spans="1:34">
      <c r="A20" t="s">
        <v>136</v>
      </c>
      <c r="B20" t="b">
        <v>1</v>
      </c>
      <c r="C20" t="b">
        <v>1</v>
      </c>
      <c r="E20">
        <v>3.52</v>
      </c>
      <c r="F20">
        <v>4.4000000000000004</v>
      </c>
      <c r="G20">
        <v>5.04</v>
      </c>
      <c r="H20">
        <v>4.38</v>
      </c>
      <c r="I20">
        <v>4.42</v>
      </c>
      <c r="J20">
        <v>4.4000000000000004</v>
      </c>
      <c r="K20">
        <v>4.53</v>
      </c>
      <c r="L20">
        <v>4.96</v>
      </c>
      <c r="M20">
        <v>5.39</v>
      </c>
      <c r="N20">
        <v>5.65</v>
      </c>
      <c r="O20">
        <v>5.8</v>
      </c>
      <c r="P20">
        <v>5.97</v>
      </c>
      <c r="Q20">
        <v>6.1</v>
      </c>
      <c r="R20">
        <v>6.27</v>
      </c>
      <c r="S20">
        <v>6.44</v>
      </c>
      <c r="T20">
        <v>6.4</v>
      </c>
      <c r="U20">
        <v>6.28</v>
      </c>
      <c r="V20">
        <v>6.26</v>
      </c>
      <c r="W20">
        <v>6.22</v>
      </c>
      <c r="X20">
        <v>6.38</v>
      </c>
      <c r="Y20">
        <v>6.53</v>
      </c>
      <c r="Z20">
        <v>6.68</v>
      </c>
      <c r="AA20">
        <v>6.83</v>
      </c>
      <c r="AB20">
        <v>6.98</v>
      </c>
      <c r="AC20">
        <v>7.15</v>
      </c>
      <c r="AD20">
        <v>7.32</v>
      </c>
      <c r="AE20">
        <v>7.53</v>
      </c>
      <c r="AF20">
        <v>7.88</v>
      </c>
      <c r="AG20">
        <v>8.2799999999999994</v>
      </c>
      <c r="AH20" s="3">
        <v>2.4E-2</v>
      </c>
    </row>
    <row r="21" spans="1:34">
      <c r="A21" t="s">
        <v>59</v>
      </c>
      <c r="C21" t="b">
        <v>1</v>
      </c>
    </row>
    <row r="22" spans="1:34">
      <c r="A22" t="s">
        <v>137</v>
      </c>
      <c r="B22" t="b">
        <v>1</v>
      </c>
      <c r="C22" t="b">
        <v>1</v>
      </c>
      <c r="E22">
        <v>2.41</v>
      </c>
      <c r="F22">
        <v>2.34</v>
      </c>
      <c r="G22">
        <v>2.27</v>
      </c>
      <c r="H22">
        <v>2.41</v>
      </c>
      <c r="I22">
        <v>2.38</v>
      </c>
      <c r="J22">
        <v>2.4</v>
      </c>
      <c r="K22">
        <v>2.44</v>
      </c>
      <c r="L22">
        <v>2.4900000000000002</v>
      </c>
      <c r="M22">
        <v>2.5499999999999998</v>
      </c>
      <c r="N22">
        <v>2.6</v>
      </c>
      <c r="O22">
        <v>2.64</v>
      </c>
      <c r="P22">
        <v>2.69</v>
      </c>
      <c r="Q22">
        <v>2.73</v>
      </c>
      <c r="R22">
        <v>2.76</v>
      </c>
      <c r="S22">
        <v>2.8</v>
      </c>
      <c r="T22">
        <v>2.84</v>
      </c>
      <c r="U22">
        <v>2.88</v>
      </c>
      <c r="V22">
        <v>2.91</v>
      </c>
      <c r="W22">
        <v>2.96</v>
      </c>
      <c r="X22">
        <v>2.99</v>
      </c>
      <c r="Y22">
        <v>3.02</v>
      </c>
      <c r="Z22">
        <v>3.05</v>
      </c>
      <c r="AA22">
        <v>3.08</v>
      </c>
      <c r="AB22">
        <v>3.12</v>
      </c>
      <c r="AC22">
        <v>3.16</v>
      </c>
      <c r="AD22">
        <v>3.2</v>
      </c>
      <c r="AE22">
        <v>3.24</v>
      </c>
      <c r="AF22">
        <v>3.27</v>
      </c>
      <c r="AG22">
        <v>3.3</v>
      </c>
      <c r="AH22" s="3">
        <v>1.2999999999999999E-2</v>
      </c>
    </row>
    <row r="23" spans="1:34">
      <c r="A23" t="s">
        <v>138</v>
      </c>
      <c r="B23" t="b">
        <v>1</v>
      </c>
      <c r="C23" t="b">
        <v>1</v>
      </c>
      <c r="E23">
        <v>2.41</v>
      </c>
      <c r="F23">
        <v>2.34</v>
      </c>
      <c r="G23">
        <v>2.27</v>
      </c>
      <c r="H23">
        <v>2.23</v>
      </c>
      <c r="I23">
        <v>2.19</v>
      </c>
      <c r="J23">
        <v>2.2200000000000002</v>
      </c>
      <c r="K23">
        <v>2.25</v>
      </c>
      <c r="L23">
        <v>2.2799999999999998</v>
      </c>
      <c r="M23">
        <v>2.31</v>
      </c>
      <c r="N23">
        <v>2.33</v>
      </c>
      <c r="O23">
        <v>2.36</v>
      </c>
      <c r="P23">
        <v>2.4</v>
      </c>
      <c r="Q23">
        <v>2.4300000000000002</v>
      </c>
      <c r="R23">
        <v>2.4500000000000002</v>
      </c>
      <c r="S23">
        <v>2.48</v>
      </c>
      <c r="T23">
        <v>2.5</v>
      </c>
      <c r="U23">
        <v>2.52</v>
      </c>
      <c r="V23">
        <v>2.5299999999999998</v>
      </c>
      <c r="W23">
        <v>2.5499999999999998</v>
      </c>
      <c r="X23">
        <v>2.56</v>
      </c>
      <c r="Y23">
        <v>2.58</v>
      </c>
      <c r="Z23">
        <v>2.59</v>
      </c>
      <c r="AA23">
        <v>2.6</v>
      </c>
      <c r="AB23">
        <v>2.62</v>
      </c>
      <c r="AC23">
        <v>2.64</v>
      </c>
      <c r="AD23">
        <v>2.65</v>
      </c>
      <c r="AE23">
        <v>2.67</v>
      </c>
      <c r="AF23">
        <v>2.69</v>
      </c>
      <c r="AG23">
        <v>2.7</v>
      </c>
      <c r="AH23" s="3">
        <v>5.0000000000000001E-3</v>
      </c>
    </row>
    <row r="24" spans="1:34">
      <c r="A24" t="s">
        <v>139</v>
      </c>
      <c r="B24" t="b">
        <v>1</v>
      </c>
      <c r="C24" t="b">
        <v>1</v>
      </c>
      <c r="E24">
        <v>2.41</v>
      </c>
      <c r="F24">
        <v>2.34</v>
      </c>
      <c r="G24">
        <v>2.27</v>
      </c>
      <c r="H24">
        <v>2.2599999999999998</v>
      </c>
      <c r="I24">
        <v>2.25</v>
      </c>
      <c r="J24">
        <v>2.27</v>
      </c>
      <c r="K24">
        <v>2.2999999999999998</v>
      </c>
      <c r="L24">
        <v>2.34</v>
      </c>
      <c r="M24">
        <v>2.38</v>
      </c>
      <c r="N24">
        <v>2.42</v>
      </c>
      <c r="O24">
        <v>2.4500000000000002</v>
      </c>
      <c r="P24">
        <v>2.48</v>
      </c>
      <c r="Q24">
        <v>2.5099999999999998</v>
      </c>
      <c r="R24">
        <v>2.54</v>
      </c>
      <c r="S24">
        <v>2.57</v>
      </c>
      <c r="T24">
        <v>2.6</v>
      </c>
      <c r="U24">
        <v>2.62</v>
      </c>
      <c r="V24">
        <v>2.65</v>
      </c>
      <c r="W24">
        <v>2.67</v>
      </c>
      <c r="X24">
        <v>2.69</v>
      </c>
      <c r="Y24">
        <v>2.71</v>
      </c>
      <c r="Z24">
        <v>2.74</v>
      </c>
      <c r="AA24">
        <v>2.76</v>
      </c>
      <c r="AB24">
        <v>2.79</v>
      </c>
      <c r="AC24">
        <v>2.81</v>
      </c>
      <c r="AD24">
        <v>2.84</v>
      </c>
      <c r="AE24">
        <v>2.86</v>
      </c>
      <c r="AF24">
        <v>2.89</v>
      </c>
      <c r="AG24">
        <v>2.92</v>
      </c>
      <c r="AH24" s="3">
        <v>8.0000000000000002E-3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6"/>
  <sheetViews>
    <sheetView tabSelected="1" topLeftCell="D39" workbookViewId="0">
      <selection activeCell="D53" sqref="D53"/>
    </sheetView>
  </sheetViews>
  <sheetFormatPr baseColWidth="10" defaultRowHeight="15" x14ac:dyDescent="0"/>
  <cols>
    <col min="1" max="1" width="50.5" customWidth="1"/>
  </cols>
  <sheetData>
    <row r="1" spans="1:12">
      <c r="A1" t="s">
        <v>77</v>
      </c>
    </row>
    <row r="2" spans="1:12">
      <c r="A2" t="s">
        <v>78</v>
      </c>
    </row>
    <row r="3" spans="1:12">
      <c r="A3" t="s">
        <v>98</v>
      </c>
    </row>
    <row r="4" spans="1:12">
      <c r="A4" t="s">
        <v>79</v>
      </c>
    </row>
    <row r="5" spans="1:12">
      <c r="A5" t="s">
        <v>83</v>
      </c>
    </row>
    <row r="6" spans="1:12">
      <c r="A6" t="s">
        <v>84</v>
      </c>
    </row>
    <row r="8" spans="1:12">
      <c r="A8" s="2" t="s">
        <v>81</v>
      </c>
      <c r="C8" t="s">
        <v>39</v>
      </c>
      <c r="E8" t="s">
        <v>44</v>
      </c>
    </row>
    <row r="9" spans="1:12">
      <c r="B9" s="2" t="s">
        <v>54</v>
      </c>
      <c r="C9">
        <v>2011</v>
      </c>
      <c r="D9">
        <v>2012</v>
      </c>
      <c r="E9">
        <v>2013</v>
      </c>
    </row>
    <row r="10" spans="1:12">
      <c r="A10" t="s">
        <v>40</v>
      </c>
      <c r="B10">
        <f>AVERAGE(C10:E10)</f>
        <v>23.723333333333333</v>
      </c>
      <c r="C10">
        <v>23.37</v>
      </c>
      <c r="D10">
        <v>23.76</v>
      </c>
      <c r="E10">
        <v>24.04</v>
      </c>
    </row>
    <row r="11" spans="1:12">
      <c r="A11" t="s">
        <v>41</v>
      </c>
      <c r="B11">
        <f>AVERAGE(C11:E11)</f>
        <v>18.36</v>
      </c>
      <c r="C11">
        <v>15.67</v>
      </c>
      <c r="D11">
        <v>20.52</v>
      </c>
      <c r="E11">
        <v>18.89</v>
      </c>
    </row>
    <row r="12" spans="1:12">
      <c r="A12" t="s">
        <v>42</v>
      </c>
      <c r="B12">
        <f>AVERAGE(C12:E12)</f>
        <v>4.2233333333333336</v>
      </c>
      <c r="C12">
        <v>4.8</v>
      </c>
      <c r="D12">
        <v>3.47</v>
      </c>
      <c r="E12">
        <v>4.4000000000000004</v>
      </c>
    </row>
    <row r="13" spans="1:12">
      <c r="A13" t="s">
        <v>43</v>
      </c>
      <c r="B13">
        <f>AVERAGE(C13:E13)</f>
        <v>2.3633333333333333</v>
      </c>
      <c r="C13">
        <v>2.38</v>
      </c>
      <c r="D13">
        <v>2.37</v>
      </c>
      <c r="E13">
        <v>2.34</v>
      </c>
    </row>
    <row r="15" spans="1:12">
      <c r="A15" t="s">
        <v>89</v>
      </c>
      <c r="B15" t="s">
        <v>82</v>
      </c>
    </row>
    <row r="16" spans="1:12">
      <c r="C16" t="s">
        <v>88</v>
      </c>
      <c r="E16">
        <v>2013</v>
      </c>
      <c r="F16">
        <v>2014</v>
      </c>
      <c r="G16">
        <v>2015</v>
      </c>
      <c r="H16">
        <v>2016</v>
      </c>
      <c r="I16">
        <v>2017</v>
      </c>
      <c r="J16">
        <v>2018</v>
      </c>
      <c r="K16">
        <v>2019</v>
      </c>
      <c r="L16">
        <v>2020</v>
      </c>
    </row>
    <row r="17" spans="1:48">
      <c r="A17" t="s">
        <v>85</v>
      </c>
      <c r="C17">
        <v>0.13849</v>
      </c>
      <c r="E17">
        <v>3.03</v>
      </c>
      <c r="F17">
        <v>2.82</v>
      </c>
      <c r="G17">
        <v>1.73</v>
      </c>
      <c r="H17">
        <v>1.87</v>
      </c>
      <c r="I17">
        <v>2.0299999999999998</v>
      </c>
      <c r="J17">
        <v>2.31</v>
      </c>
      <c r="K17">
        <v>2.54</v>
      </c>
      <c r="L17">
        <v>2.46</v>
      </c>
    </row>
    <row r="18" spans="1:48">
      <c r="A18" t="s">
        <v>86</v>
      </c>
      <c r="C18">
        <v>0.12795999999999999</v>
      </c>
      <c r="E18">
        <v>4.63</v>
      </c>
      <c r="F18">
        <v>3.47</v>
      </c>
      <c r="G18">
        <v>2.96</v>
      </c>
      <c r="H18">
        <v>3.04</v>
      </c>
      <c r="I18">
        <v>3.11</v>
      </c>
      <c r="J18">
        <v>3.17</v>
      </c>
      <c r="K18">
        <v>3.22</v>
      </c>
      <c r="L18">
        <v>3.27</v>
      </c>
    </row>
    <row r="19" spans="1:48">
      <c r="A19" t="s">
        <v>87</v>
      </c>
      <c r="E19">
        <f>E18-E17</f>
        <v>1.6</v>
      </c>
      <c r="F19">
        <f t="shared" ref="F19:L19" si="0">F18-F17</f>
        <v>0.65000000000000036</v>
      </c>
      <c r="G19">
        <f t="shared" si="0"/>
        <v>1.23</v>
      </c>
      <c r="H19">
        <f t="shared" si="0"/>
        <v>1.17</v>
      </c>
      <c r="I19">
        <f t="shared" si="0"/>
        <v>1.08</v>
      </c>
      <c r="J19">
        <f t="shared" si="0"/>
        <v>0.85999999999999988</v>
      </c>
      <c r="K19">
        <f t="shared" si="0"/>
        <v>0.68000000000000016</v>
      </c>
      <c r="L19">
        <f t="shared" si="0"/>
        <v>0.81</v>
      </c>
    </row>
    <row r="20" spans="1:48">
      <c r="A20" t="s">
        <v>90</v>
      </c>
      <c r="E20">
        <v>1.4999999999999999E-2</v>
      </c>
      <c r="F20">
        <v>1.6E-2</v>
      </c>
      <c r="G20">
        <v>2E-3</v>
      </c>
      <c r="H20">
        <v>1.7999999999999999E-2</v>
      </c>
      <c r="I20">
        <v>2.3E-2</v>
      </c>
      <c r="J20">
        <v>2.5000000000000001E-2</v>
      </c>
      <c r="K20">
        <v>2.4E-2</v>
      </c>
      <c r="L20">
        <v>0.02</v>
      </c>
    </row>
    <row r="21" spans="1:48">
      <c r="A21" t="s">
        <v>91</v>
      </c>
      <c r="E21">
        <v>1</v>
      </c>
      <c r="F21">
        <f>(1+F20)*E21</f>
        <v>1.016</v>
      </c>
      <c r="G21">
        <f t="shared" ref="G21:L21" si="1">(1+G20)*F21</f>
        <v>1.018032</v>
      </c>
      <c r="H21">
        <f t="shared" si="1"/>
        <v>1.036356576</v>
      </c>
      <c r="I21">
        <f t="shared" si="1"/>
        <v>1.060192777248</v>
      </c>
      <c r="J21">
        <f t="shared" si="1"/>
        <v>1.0866975966791999</v>
      </c>
      <c r="K21">
        <f t="shared" si="1"/>
        <v>1.1127783389995007</v>
      </c>
      <c r="L21">
        <f t="shared" si="1"/>
        <v>1.1350339057794907</v>
      </c>
    </row>
    <row r="22" spans="1:48">
      <c r="A22" t="s">
        <v>94</v>
      </c>
      <c r="E22">
        <f t="shared" ref="E22:L23" si="2">E17/$C17*E$21</f>
        <v>21.878836017040939</v>
      </c>
      <c r="F22">
        <f t="shared" si="2"/>
        <v>20.688280742291862</v>
      </c>
      <c r="G22">
        <f t="shared" si="2"/>
        <v>12.71713018990541</v>
      </c>
      <c r="H22">
        <f t="shared" si="2"/>
        <v>13.993694830818111</v>
      </c>
      <c r="I22">
        <f t="shared" si="2"/>
        <v>15.540409688883239</v>
      </c>
      <c r="J22">
        <f t="shared" si="2"/>
        <v>18.126012335395711</v>
      </c>
      <c r="K22">
        <f t="shared" si="2"/>
        <v>20.409105213796895</v>
      </c>
      <c r="L22">
        <f t="shared" si="2"/>
        <v>20.161624725377624</v>
      </c>
    </row>
    <row r="23" spans="1:48">
      <c r="A23" t="s">
        <v>95</v>
      </c>
      <c r="E23">
        <f t="shared" si="2"/>
        <v>36.183182244451395</v>
      </c>
      <c r="F23">
        <f t="shared" si="2"/>
        <v>27.551734917161617</v>
      </c>
      <c r="G23">
        <f t="shared" si="2"/>
        <v>23.549349171616132</v>
      </c>
      <c r="H23">
        <f t="shared" si="2"/>
        <v>24.621162793372932</v>
      </c>
      <c r="I23">
        <f t="shared" si="2"/>
        <v>25.767423704605189</v>
      </c>
      <c r="J23">
        <f t="shared" si="2"/>
        <v>26.921158029642577</v>
      </c>
      <c r="K23">
        <f t="shared" si="2"/>
        <v>28.00208074068766</v>
      </c>
      <c r="L23">
        <f t="shared" si="2"/>
        <v>29.005633572201742</v>
      </c>
    </row>
    <row r="24" spans="1:48">
      <c r="A24" t="s">
        <v>96</v>
      </c>
      <c r="E24">
        <f>E23-E22</f>
        <v>14.304346227410456</v>
      </c>
      <c r="F24">
        <f t="shared" ref="F24:L24" si="3">F23-F22</f>
        <v>6.8634541748697551</v>
      </c>
      <c r="G24">
        <f t="shared" si="3"/>
        <v>10.832218981710723</v>
      </c>
      <c r="H24">
        <f t="shared" si="3"/>
        <v>10.627467962554821</v>
      </c>
      <c r="I24">
        <f t="shared" si="3"/>
        <v>10.22701401572195</v>
      </c>
      <c r="J24">
        <f t="shared" si="3"/>
        <v>8.795145694246866</v>
      </c>
      <c r="K24">
        <f t="shared" si="3"/>
        <v>7.5929755268907648</v>
      </c>
      <c r="L24">
        <f t="shared" si="3"/>
        <v>8.8440088468241171</v>
      </c>
    </row>
    <row r="26" spans="1:48">
      <c r="A26" t="s">
        <v>45</v>
      </c>
    </row>
    <row r="27" spans="1:48">
      <c r="A27" t="s">
        <v>46</v>
      </c>
      <c r="C27">
        <v>1</v>
      </c>
      <c r="D27">
        <v>2</v>
      </c>
      <c r="E27">
        <v>3</v>
      </c>
      <c r="F27">
        <v>4</v>
      </c>
      <c r="G27">
        <v>5</v>
      </c>
      <c r="H27">
        <v>6</v>
      </c>
      <c r="I27">
        <v>7</v>
      </c>
      <c r="J27">
        <v>8</v>
      </c>
      <c r="K27">
        <v>9</v>
      </c>
      <c r="L27">
        <v>10</v>
      </c>
      <c r="M27">
        <v>11</v>
      </c>
      <c r="N27">
        <v>12</v>
      </c>
      <c r="O27">
        <v>1</v>
      </c>
      <c r="P27">
        <v>2</v>
      </c>
      <c r="Q27">
        <v>3</v>
      </c>
      <c r="R27">
        <v>4</v>
      </c>
      <c r="S27">
        <v>5</v>
      </c>
      <c r="T27">
        <v>6</v>
      </c>
      <c r="U27">
        <v>7</v>
      </c>
      <c r="V27">
        <v>8</v>
      </c>
      <c r="W27">
        <v>9</v>
      </c>
      <c r="X27">
        <v>10</v>
      </c>
      <c r="Y27">
        <v>11</v>
      </c>
      <c r="Z27">
        <v>12</v>
      </c>
      <c r="AA27">
        <v>1</v>
      </c>
      <c r="AB27">
        <v>2</v>
      </c>
      <c r="AC27">
        <v>3</v>
      </c>
      <c r="AD27">
        <v>4</v>
      </c>
      <c r="AE27">
        <v>5</v>
      </c>
      <c r="AF27">
        <v>6</v>
      </c>
      <c r="AG27">
        <v>7</v>
      </c>
      <c r="AH27">
        <v>8</v>
      </c>
      <c r="AI27">
        <v>9</v>
      </c>
      <c r="AJ27">
        <v>10</v>
      </c>
      <c r="AU27">
        <v>11</v>
      </c>
      <c r="AV27">
        <v>12</v>
      </c>
    </row>
    <row r="28" spans="1:48">
      <c r="A28" t="s">
        <v>47</v>
      </c>
      <c r="C28">
        <v>2011</v>
      </c>
      <c r="D28">
        <v>2011</v>
      </c>
      <c r="E28">
        <v>2011</v>
      </c>
      <c r="F28">
        <v>2011</v>
      </c>
      <c r="G28">
        <v>2011</v>
      </c>
      <c r="H28">
        <v>2011</v>
      </c>
      <c r="I28">
        <v>2011</v>
      </c>
      <c r="J28">
        <v>2011</v>
      </c>
      <c r="K28">
        <v>2011</v>
      </c>
      <c r="L28">
        <v>2011</v>
      </c>
      <c r="M28">
        <v>2011</v>
      </c>
      <c r="N28">
        <v>2011</v>
      </c>
      <c r="O28">
        <v>2012</v>
      </c>
      <c r="P28">
        <v>2012</v>
      </c>
      <c r="Q28">
        <v>2012</v>
      </c>
      <c r="R28">
        <v>2012</v>
      </c>
      <c r="S28">
        <v>2012</v>
      </c>
      <c r="T28">
        <v>2012</v>
      </c>
      <c r="U28">
        <v>2012</v>
      </c>
      <c r="V28">
        <v>2012</v>
      </c>
      <c r="W28">
        <v>2012</v>
      </c>
      <c r="X28">
        <v>2012</v>
      </c>
      <c r="Y28">
        <v>2012</v>
      </c>
      <c r="Z28">
        <v>2012</v>
      </c>
      <c r="AA28">
        <v>2013</v>
      </c>
      <c r="AB28">
        <v>2013</v>
      </c>
      <c r="AC28">
        <v>2013</v>
      </c>
      <c r="AD28">
        <v>2013</v>
      </c>
      <c r="AE28">
        <v>2013</v>
      </c>
      <c r="AF28">
        <v>2013</v>
      </c>
      <c r="AG28">
        <v>2013</v>
      </c>
      <c r="AH28">
        <v>2013</v>
      </c>
      <c r="AI28">
        <v>2013</v>
      </c>
      <c r="AJ28">
        <v>2013</v>
      </c>
      <c r="AU28">
        <v>2013</v>
      </c>
      <c r="AV28">
        <v>2013</v>
      </c>
    </row>
    <row r="29" spans="1:48">
      <c r="A29" t="s">
        <v>49</v>
      </c>
      <c r="C29">
        <v>1809.31</v>
      </c>
      <c r="D29">
        <v>1845.62</v>
      </c>
      <c r="E29">
        <v>1863.55</v>
      </c>
      <c r="F29">
        <v>1969.2</v>
      </c>
      <c r="G29">
        <v>1970.1</v>
      </c>
      <c r="H29">
        <v>1970.1</v>
      </c>
      <c r="I29">
        <v>1970.1</v>
      </c>
      <c r="J29">
        <v>1970.1</v>
      </c>
      <c r="K29">
        <v>2100.6999999999998</v>
      </c>
      <c r="L29">
        <v>2108.25</v>
      </c>
      <c r="M29">
        <v>2197.29</v>
      </c>
      <c r="N29">
        <v>2198.0100000000002</v>
      </c>
      <c r="O29">
        <v>2198.0100000000002</v>
      </c>
      <c r="P29">
        <v>2198.0100000000002</v>
      </c>
      <c r="Q29">
        <v>2254.9299999999998</v>
      </c>
      <c r="R29">
        <v>2255.7800000000002</v>
      </c>
      <c r="S29">
        <v>2255.77</v>
      </c>
      <c r="T29">
        <v>2255.77</v>
      </c>
      <c r="U29">
        <v>2295.2199999999998</v>
      </c>
      <c r="V29">
        <v>2230.23</v>
      </c>
      <c r="W29">
        <v>2234.58</v>
      </c>
      <c r="X29">
        <v>2234</v>
      </c>
      <c r="Y29">
        <v>2234</v>
      </c>
      <c r="Z29">
        <v>2234</v>
      </c>
      <c r="AA29">
        <v>2272.61</v>
      </c>
      <c r="AB29">
        <v>2284.87</v>
      </c>
      <c r="AC29">
        <v>2315.91</v>
      </c>
      <c r="AD29">
        <v>2317.9499999999998</v>
      </c>
      <c r="AE29">
        <v>2318.08</v>
      </c>
      <c r="AF29">
        <v>2318.09</v>
      </c>
      <c r="AG29">
        <v>2318.09</v>
      </c>
      <c r="AH29">
        <v>2300.96</v>
      </c>
      <c r="AI29">
        <v>2322.59</v>
      </c>
      <c r="AJ29">
        <v>2322.5500000000002</v>
      </c>
      <c r="AU29">
        <v>2344.21</v>
      </c>
      <c r="AV29">
        <v>2345.5100000000002</v>
      </c>
    </row>
    <row r="30" spans="1:48">
      <c r="A30" t="s">
        <v>48</v>
      </c>
      <c r="C30">
        <v>1493.15</v>
      </c>
      <c r="D30">
        <v>1548.89</v>
      </c>
      <c r="E30">
        <v>1614.38</v>
      </c>
      <c r="F30">
        <v>1732.09</v>
      </c>
      <c r="G30">
        <v>1842.3</v>
      </c>
      <c r="H30">
        <v>2010.9</v>
      </c>
      <c r="I30">
        <v>2122.59</v>
      </c>
      <c r="J30">
        <v>2062.1999999999998</v>
      </c>
      <c r="K30">
        <v>2064.4499999999998</v>
      </c>
      <c r="L30">
        <v>2097.35</v>
      </c>
      <c r="M30">
        <v>2084.27</v>
      </c>
      <c r="N30">
        <v>2053.0700000000002</v>
      </c>
      <c r="O30">
        <v>2095.2399999999998</v>
      </c>
      <c r="P30">
        <v>2083.42</v>
      </c>
      <c r="Q30">
        <v>2104.58</v>
      </c>
      <c r="R30">
        <v>2197.71</v>
      </c>
      <c r="S30">
        <v>2270.85</v>
      </c>
      <c r="T30">
        <v>2303.02</v>
      </c>
      <c r="U30">
        <v>2313.5700000000002</v>
      </c>
      <c r="V30">
        <v>2182.06</v>
      </c>
      <c r="W30">
        <v>2084.87</v>
      </c>
      <c r="X30">
        <v>2085.13</v>
      </c>
      <c r="Y30">
        <v>2076.1</v>
      </c>
      <c r="Z30">
        <v>2018.85</v>
      </c>
      <c r="AA30">
        <v>2019.02</v>
      </c>
      <c r="AB30">
        <v>1990.13</v>
      </c>
      <c r="AC30">
        <v>1992.65</v>
      </c>
      <c r="AD30">
        <v>2056.19</v>
      </c>
      <c r="AE30">
        <v>2052.94</v>
      </c>
      <c r="AF30">
        <v>2015.29</v>
      </c>
      <c r="AG30">
        <v>1992.61</v>
      </c>
      <c r="AH30">
        <v>2074.6799999999998</v>
      </c>
      <c r="AI30">
        <v>1883.37</v>
      </c>
      <c r="AJ30">
        <v>2037.21</v>
      </c>
      <c r="AU30">
        <v>2109.23</v>
      </c>
      <c r="AV30">
        <v>2096.62</v>
      </c>
    </row>
    <row r="32" spans="1:48">
      <c r="A32" s="2" t="s">
        <v>92</v>
      </c>
    </row>
    <row r="33" spans="1:54">
      <c r="A33" t="s">
        <v>51</v>
      </c>
      <c r="B33" s="2">
        <f>AVERAGE(C33:E33)</f>
        <v>21.842791666666667</v>
      </c>
      <c r="C33">
        <f>AVERAGE(C29:N29)/100</f>
        <v>19.976941666666669</v>
      </c>
      <c r="D33">
        <f>AVERAGE(O29:Z29)/100</f>
        <v>22.40025</v>
      </c>
      <c r="E33">
        <f>AVERAGE(AA29:AV29)/100</f>
        <v>23.151183333333332</v>
      </c>
    </row>
    <row r="34" spans="1:54">
      <c r="A34" t="s">
        <v>50</v>
      </c>
      <c r="B34" s="2">
        <f>AVERAGE(C34:E34)</f>
        <v>20.239161111111112</v>
      </c>
      <c r="C34">
        <f>AVERAGE(C30:N30)/100</f>
        <v>18.938033333333333</v>
      </c>
      <c r="D34">
        <f>AVERAGE(O30:Z30)/100</f>
        <v>21.512833333333333</v>
      </c>
      <c r="E34">
        <f>AVERAGE(AA30:AV30)/100</f>
        <v>20.266616666666668</v>
      </c>
    </row>
    <row r="35" spans="1:54">
      <c r="A35" t="s">
        <v>80</v>
      </c>
      <c r="B35" s="2">
        <f>AVERAGE(C35:E35)</f>
        <v>3.4933333333333336</v>
      </c>
      <c r="C35">
        <v>4</v>
      </c>
      <c r="D35">
        <v>2.75</v>
      </c>
      <c r="E35">
        <v>3.73</v>
      </c>
    </row>
    <row r="36" spans="1:54">
      <c r="A36" t="s">
        <v>72</v>
      </c>
      <c r="B36">
        <v>2.665</v>
      </c>
      <c r="E36">
        <v>2.6309999999999998</v>
      </c>
      <c r="F36">
        <v>2.665</v>
      </c>
      <c r="G36">
        <v>2.698</v>
      </c>
    </row>
    <row r="38" spans="1:54">
      <c r="A38" s="2" t="s">
        <v>93</v>
      </c>
    </row>
    <row r="39" spans="1:54">
      <c r="A39" t="s">
        <v>53</v>
      </c>
      <c r="B39" s="2">
        <f>AVERAGE(C39:E39)</f>
        <v>-1.880541666666667</v>
      </c>
      <c r="C39">
        <f t="shared" ref="C39:E41" si="4">C33-C10</f>
        <v>-3.3930583333333324</v>
      </c>
      <c r="D39">
        <f t="shared" si="4"/>
        <v>-1.3597500000000018</v>
      </c>
      <c r="E39">
        <f t="shared" si="4"/>
        <v>-0.88881666666666703</v>
      </c>
    </row>
    <row r="40" spans="1:54">
      <c r="A40" t="s">
        <v>52</v>
      </c>
      <c r="B40" s="2">
        <f>AVERAGE(C40:E40)</f>
        <v>1.8791611111111113</v>
      </c>
      <c r="C40">
        <f t="shared" si="4"/>
        <v>3.2680333333333333</v>
      </c>
      <c r="D40">
        <f t="shared" si="4"/>
        <v>0.99283333333333346</v>
      </c>
      <c r="E40">
        <f t="shared" si="4"/>
        <v>1.376616666666667</v>
      </c>
    </row>
    <row r="41" spans="1:54">
      <c r="A41" t="s">
        <v>55</v>
      </c>
      <c r="B41" s="2">
        <f>AVERAGE(C41:E41)</f>
        <v>-0.73000000000000009</v>
      </c>
      <c r="C41">
        <f t="shared" si="4"/>
        <v>-0.79999999999999982</v>
      </c>
      <c r="D41">
        <f t="shared" si="4"/>
        <v>-0.7200000000000002</v>
      </c>
      <c r="E41">
        <f t="shared" si="4"/>
        <v>-0.67000000000000037</v>
      </c>
    </row>
    <row r="42" spans="1:54">
      <c r="A42" t="s">
        <v>73</v>
      </c>
      <c r="B42" s="2">
        <f>AVERAGE(C42:E42)</f>
        <v>0.29099999999999993</v>
      </c>
      <c r="E42">
        <f>E36-E13</f>
        <v>0.29099999999999993</v>
      </c>
    </row>
    <row r="43" spans="1:54">
      <c r="A43" t="s">
        <v>97</v>
      </c>
      <c r="B43" s="2">
        <f>AVERAGE(H24:L24)</f>
        <v>9.2173224092477035</v>
      </c>
      <c r="AG43" s="2" t="s">
        <v>74</v>
      </c>
    </row>
    <row r="44" spans="1:54">
      <c r="BB44" t="s">
        <v>75</v>
      </c>
    </row>
    <row r="45" spans="1:54">
      <c r="B45" t="s">
        <v>102</v>
      </c>
      <c r="C45" t="s">
        <v>103</v>
      </c>
    </row>
    <row r="46" spans="1:54">
      <c r="A46" t="s">
        <v>104</v>
      </c>
      <c r="H46">
        <v>13.25</v>
      </c>
      <c r="I46">
        <v>13.52</v>
      </c>
      <c r="J46">
        <v>13.79</v>
      </c>
      <c r="K46">
        <v>14.06</v>
      </c>
      <c r="L46">
        <v>14.34</v>
      </c>
      <c r="M46">
        <v>14.63</v>
      </c>
      <c r="N46">
        <v>14.92</v>
      </c>
      <c r="O46">
        <v>15.22</v>
      </c>
      <c r="P46">
        <v>15.52</v>
      </c>
      <c r="Q46">
        <v>15.83</v>
      </c>
      <c r="R46">
        <v>16.149999999999999</v>
      </c>
      <c r="S46">
        <v>16.47</v>
      </c>
      <c r="T46">
        <v>16.8</v>
      </c>
      <c r="U46">
        <v>17.14</v>
      </c>
      <c r="V46">
        <v>17.48</v>
      </c>
    </row>
    <row r="47" spans="1:54">
      <c r="A47" t="s">
        <v>105</v>
      </c>
      <c r="G47">
        <v>13</v>
      </c>
      <c r="H47">
        <f>G47</f>
        <v>13</v>
      </c>
      <c r="I47">
        <f t="shared" ref="I47:AZ47" si="5">H47</f>
        <v>13</v>
      </c>
      <c r="J47">
        <f t="shared" si="5"/>
        <v>13</v>
      </c>
      <c r="K47">
        <f t="shared" si="5"/>
        <v>13</v>
      </c>
      <c r="L47">
        <f t="shared" si="5"/>
        <v>13</v>
      </c>
      <c r="M47">
        <f t="shared" si="5"/>
        <v>13</v>
      </c>
      <c r="N47">
        <f t="shared" si="5"/>
        <v>13</v>
      </c>
      <c r="O47">
        <f t="shared" si="5"/>
        <v>13</v>
      </c>
      <c r="P47">
        <f t="shared" si="5"/>
        <v>13</v>
      </c>
      <c r="Q47">
        <f t="shared" si="5"/>
        <v>13</v>
      </c>
      <c r="R47">
        <f t="shared" si="5"/>
        <v>13</v>
      </c>
      <c r="S47">
        <f t="shared" si="5"/>
        <v>13</v>
      </c>
      <c r="T47">
        <f t="shared" si="5"/>
        <v>13</v>
      </c>
      <c r="U47">
        <f t="shared" si="5"/>
        <v>13</v>
      </c>
      <c r="V47">
        <f t="shared" si="5"/>
        <v>13</v>
      </c>
      <c r="W47">
        <f t="shared" si="5"/>
        <v>13</v>
      </c>
      <c r="X47">
        <f t="shared" si="5"/>
        <v>13</v>
      </c>
      <c r="Y47">
        <f t="shared" si="5"/>
        <v>13</v>
      </c>
      <c r="Z47">
        <f t="shared" si="5"/>
        <v>13</v>
      </c>
      <c r="AA47">
        <f t="shared" si="5"/>
        <v>13</v>
      </c>
      <c r="AB47">
        <f t="shared" si="5"/>
        <v>13</v>
      </c>
      <c r="AC47">
        <f t="shared" si="5"/>
        <v>13</v>
      </c>
      <c r="AD47">
        <f t="shared" si="5"/>
        <v>13</v>
      </c>
      <c r="AE47">
        <f t="shared" si="5"/>
        <v>13</v>
      </c>
      <c r="AF47">
        <f t="shared" si="5"/>
        <v>13</v>
      </c>
      <c r="AG47">
        <f t="shared" si="5"/>
        <v>13</v>
      </c>
      <c r="AH47">
        <f t="shared" si="5"/>
        <v>13</v>
      </c>
      <c r="AI47">
        <f t="shared" si="5"/>
        <v>13</v>
      </c>
      <c r="AJ47">
        <f t="shared" ref="AJ47" si="6">AI47</f>
        <v>13</v>
      </c>
      <c r="AK47">
        <f t="shared" ref="AK47" si="7">AJ47</f>
        <v>13</v>
      </c>
      <c r="AL47">
        <f t="shared" ref="AL47" si="8">AK47</f>
        <v>13</v>
      </c>
      <c r="AM47">
        <f t="shared" ref="AM47" si="9">AL47</f>
        <v>13</v>
      </c>
      <c r="AN47">
        <f t="shared" ref="AN47" si="10">AM47</f>
        <v>13</v>
      </c>
      <c r="AO47">
        <f t="shared" ref="AO47" si="11">AN47</f>
        <v>13</v>
      </c>
      <c r="AP47">
        <f t="shared" ref="AP47" si="12">AO47</f>
        <v>13</v>
      </c>
      <c r="AQ47">
        <f t="shared" ref="AQ47" si="13">AP47</f>
        <v>13</v>
      </c>
      <c r="AR47">
        <f t="shared" ref="AR47" si="14">AQ47</f>
        <v>13</v>
      </c>
      <c r="AS47">
        <f t="shared" ref="AS47" si="15">AR47</f>
        <v>13</v>
      </c>
      <c r="AT47">
        <f t="shared" ref="AT47" si="16">AS47</f>
        <v>13</v>
      </c>
      <c r="AU47">
        <f t="shared" ref="AU47" si="17">AT47</f>
        <v>13</v>
      </c>
      <c r="AV47">
        <f t="shared" ref="AV47" si="18">AU47</f>
        <v>13</v>
      </c>
      <c r="AW47">
        <f t="shared" ref="AW47" si="19">AV47</f>
        <v>13</v>
      </c>
      <c r="AX47">
        <f t="shared" ref="AX47" si="20">AW47</f>
        <v>13</v>
      </c>
      <c r="AY47">
        <f t="shared" ref="AY47" si="21">AX47</f>
        <v>13</v>
      </c>
      <c r="AZ47">
        <f t="shared" ref="AZ47" si="22">AY47</f>
        <v>13</v>
      </c>
    </row>
    <row r="49" spans="1:55">
      <c r="A49" t="s">
        <v>61</v>
      </c>
      <c r="B49" t="s">
        <v>140</v>
      </c>
      <c r="D49">
        <v>2012</v>
      </c>
      <c r="E49">
        <v>2013</v>
      </c>
      <c r="F49">
        <v>2014</v>
      </c>
      <c r="G49">
        <v>2015</v>
      </c>
      <c r="H49">
        <v>2016</v>
      </c>
      <c r="I49">
        <v>2017</v>
      </c>
      <c r="J49">
        <v>2018</v>
      </c>
      <c r="K49">
        <v>2019</v>
      </c>
      <c r="L49">
        <v>2020</v>
      </c>
      <c r="M49">
        <v>2021</v>
      </c>
      <c r="N49">
        <v>2022</v>
      </c>
      <c r="O49">
        <v>2023</v>
      </c>
      <c r="P49">
        <v>2024</v>
      </c>
      <c r="Q49">
        <v>2025</v>
      </c>
      <c r="R49">
        <v>2026</v>
      </c>
      <c r="S49">
        <v>2027</v>
      </c>
      <c r="T49">
        <v>2028</v>
      </c>
      <c r="U49">
        <v>2029</v>
      </c>
      <c r="V49">
        <v>2030</v>
      </c>
      <c r="W49">
        <v>2031</v>
      </c>
      <c r="X49">
        <v>2032</v>
      </c>
      <c r="Y49">
        <v>2033</v>
      </c>
      <c r="Z49">
        <v>2034</v>
      </c>
      <c r="AA49">
        <v>2035</v>
      </c>
      <c r="AB49">
        <v>2036</v>
      </c>
      <c r="AC49">
        <v>2037</v>
      </c>
      <c r="AD49">
        <v>2038</v>
      </c>
      <c r="AE49">
        <v>2039</v>
      </c>
      <c r="AF49">
        <v>2040</v>
      </c>
      <c r="AG49" s="2">
        <f>AF49+1</f>
        <v>2041</v>
      </c>
      <c r="AH49" s="2">
        <f>AG49+1</f>
        <v>2042</v>
      </c>
      <c r="AI49" s="2">
        <f t="shared" ref="AI49:AZ49" si="23">AH49+1</f>
        <v>2043</v>
      </c>
      <c r="AJ49" s="2">
        <f t="shared" ref="AJ49" si="24">AI49+1</f>
        <v>2044</v>
      </c>
      <c r="AK49" s="2">
        <f t="shared" ref="AK49" si="25">AJ49+1</f>
        <v>2045</v>
      </c>
      <c r="AL49" s="2">
        <f t="shared" ref="AL49" si="26">AK49+1</f>
        <v>2046</v>
      </c>
      <c r="AM49" s="2">
        <f t="shared" ref="AM49" si="27">AL49+1</f>
        <v>2047</v>
      </c>
      <c r="AN49" s="2">
        <f t="shared" ref="AN49" si="28">AM49+1</f>
        <v>2048</v>
      </c>
      <c r="AO49" s="2">
        <f t="shared" ref="AO49" si="29">AN49+1</f>
        <v>2049</v>
      </c>
      <c r="AP49" s="2">
        <f t="shared" ref="AP49" si="30">AO49+1</f>
        <v>2050</v>
      </c>
      <c r="AQ49" s="2">
        <f t="shared" ref="AQ49" si="31">AP49+1</f>
        <v>2051</v>
      </c>
      <c r="AR49" s="2">
        <f t="shared" ref="AR49" si="32">AQ49+1</f>
        <v>2052</v>
      </c>
      <c r="AS49" s="2">
        <f t="shared" ref="AS49" si="33">AR49+1</f>
        <v>2053</v>
      </c>
      <c r="AT49" s="2">
        <f t="shared" ref="AT49" si="34">AS49+1</f>
        <v>2054</v>
      </c>
      <c r="AU49" s="2">
        <f t="shared" ref="AU49" si="35">AT49+1</f>
        <v>2055</v>
      </c>
      <c r="AV49" s="2">
        <f t="shared" ref="AV49" si="36">AU49+1</f>
        <v>2056</v>
      </c>
      <c r="AW49" s="2">
        <f t="shared" ref="AW49" si="37">AV49+1</f>
        <v>2057</v>
      </c>
      <c r="AX49" s="2">
        <f t="shared" ref="AX49" si="38">AW49+1</f>
        <v>2058</v>
      </c>
      <c r="AY49" s="2">
        <f t="shared" ref="AY49" si="39">AX49+1</f>
        <v>2059</v>
      </c>
      <c r="AZ49" s="2">
        <f t="shared" ref="AZ49" si="40">AY49+1</f>
        <v>2060</v>
      </c>
    </row>
    <row r="50" spans="1:55">
      <c r="A50" t="str">
        <f>INDEX('EIA AEO 2015'!A$9:A$24, $B50)</f>
        <v>Energy Prices : Electric Power : Distillate Fuel Oil : Reference case</v>
      </c>
      <c r="B50">
        <v>4</v>
      </c>
      <c r="D50">
        <f>INDEX('EIA AEO 2015'!E$9:E$24, $B50)</f>
        <v>24.11</v>
      </c>
      <c r="E50">
        <f>INDEX('EIA AEO 2015'!F$9:F$24, $B50)</f>
        <v>24.04</v>
      </c>
      <c r="F50">
        <f>INDEX('EIA AEO 2015'!G$9:G$24, $B50)</f>
        <v>23.19</v>
      </c>
      <c r="G50">
        <f>INDEX('EIA AEO 2015'!H$9:H$24, $B50)</f>
        <v>16.600000000000001</v>
      </c>
      <c r="H50">
        <f>INDEX('EIA AEO 2015'!I$9:I$24, $B50)</f>
        <v>18.16</v>
      </c>
      <c r="I50">
        <f>INDEX('EIA AEO 2015'!J$9:J$24, $B50)</f>
        <v>18.22</v>
      </c>
      <c r="J50">
        <f>INDEX('EIA AEO 2015'!K$9:K$24, $B50)</f>
        <v>18.23</v>
      </c>
      <c r="K50">
        <f>INDEX('EIA AEO 2015'!L$9:L$24, $B50)</f>
        <v>18.52</v>
      </c>
      <c r="L50">
        <f>INDEX('EIA AEO 2015'!M$9:M$24, $B50)</f>
        <v>18.78</v>
      </c>
      <c r="M50">
        <f>INDEX('EIA AEO 2015'!N$9:N$24, $B50)</f>
        <v>19.170000000000002</v>
      </c>
      <c r="N50">
        <f>INDEX('EIA AEO 2015'!O$9:O$24, $B50)</f>
        <v>19.579999999999998</v>
      </c>
      <c r="O50">
        <f>INDEX('EIA AEO 2015'!P$9:P$24, $B50)</f>
        <v>20.02</v>
      </c>
      <c r="P50">
        <f>INDEX('EIA AEO 2015'!Q$9:Q$24, $B50)</f>
        <v>20.46</v>
      </c>
      <c r="Q50">
        <f>INDEX('EIA AEO 2015'!R$9:R$24, $B50)</f>
        <v>20.93</v>
      </c>
      <c r="R50">
        <f>INDEX('EIA AEO 2015'!S$9:S$24, $B50)</f>
        <v>21.43</v>
      </c>
      <c r="S50">
        <f>INDEX('EIA AEO 2015'!T$9:T$24, $B50)</f>
        <v>21.95</v>
      </c>
      <c r="T50">
        <f>INDEX('EIA AEO 2015'!U$9:U$24, $B50)</f>
        <v>22.5</v>
      </c>
      <c r="U50">
        <f>INDEX('EIA AEO 2015'!V$9:V$24, $B50)</f>
        <v>23.05</v>
      </c>
      <c r="V50">
        <f>INDEX('EIA AEO 2015'!W$9:W$24, $B50)</f>
        <v>23.63</v>
      </c>
      <c r="W50">
        <f>INDEX('EIA AEO 2015'!X$9:X$24, $B50)</f>
        <v>24.23</v>
      </c>
      <c r="X50">
        <f>INDEX('EIA AEO 2015'!Y$9:Y$24, $B50)</f>
        <v>24.82</v>
      </c>
      <c r="Y50">
        <f>INDEX('EIA AEO 2015'!Z$9:Z$24, $B50)</f>
        <v>25.44</v>
      </c>
      <c r="Z50">
        <f>INDEX('EIA AEO 2015'!AA$9:AA$24, $B50)</f>
        <v>26.07</v>
      </c>
      <c r="AA50">
        <f>INDEX('EIA AEO 2015'!AB$9:AB$24, $B50)</f>
        <v>26.71</v>
      </c>
      <c r="AB50">
        <f>INDEX('EIA AEO 2015'!AC$9:AC$24, $B50)</f>
        <v>27.37</v>
      </c>
      <c r="AC50">
        <f>INDEX('EIA AEO 2015'!AD$9:AD$24, $B50)</f>
        <v>28.05</v>
      </c>
      <c r="AD50">
        <f>INDEX('EIA AEO 2015'!AE$9:AE$24, $B50)</f>
        <v>28.81</v>
      </c>
      <c r="AE50">
        <f>INDEX('EIA AEO 2015'!AF$9:AF$24, $B50)</f>
        <v>29.52</v>
      </c>
      <c r="AF50">
        <f>INDEX('EIA AEO 2015'!AG$9:AG$24, $B50)</f>
        <v>30.22</v>
      </c>
      <c r="AG50" s="2">
        <f>AF50+$BB50</f>
        <v>30.764799999999997</v>
      </c>
      <c r="AH50" s="2">
        <f>AG50+$BB50</f>
        <v>31.309599999999996</v>
      </c>
      <c r="AI50" s="2">
        <f>AH50+$BB50</f>
        <v>31.854399999999995</v>
      </c>
      <c r="AJ50" s="2">
        <f t="shared" ref="AJ50:AZ50" si="41">AI50+$BB50</f>
        <v>32.399199999999993</v>
      </c>
      <c r="AK50" s="2">
        <f t="shared" si="41"/>
        <v>32.943999999999996</v>
      </c>
      <c r="AL50" s="2">
        <f t="shared" si="41"/>
        <v>33.488799999999998</v>
      </c>
      <c r="AM50" s="2">
        <f t="shared" si="41"/>
        <v>34.0336</v>
      </c>
      <c r="AN50" s="2">
        <f t="shared" si="41"/>
        <v>34.578400000000002</v>
      </c>
      <c r="AO50" s="2">
        <f t="shared" si="41"/>
        <v>35.123200000000004</v>
      </c>
      <c r="AP50" s="2">
        <f t="shared" si="41"/>
        <v>35.668000000000006</v>
      </c>
      <c r="AQ50" s="2">
        <f t="shared" si="41"/>
        <v>36.212800000000009</v>
      </c>
      <c r="AR50" s="2">
        <f t="shared" si="41"/>
        <v>36.757600000000011</v>
      </c>
      <c r="AS50" s="2">
        <f t="shared" si="41"/>
        <v>37.302400000000013</v>
      </c>
      <c r="AT50" s="2">
        <f t="shared" si="41"/>
        <v>37.847200000000015</v>
      </c>
      <c r="AU50" s="2">
        <f t="shared" si="41"/>
        <v>38.392000000000017</v>
      </c>
      <c r="AV50" s="2">
        <f t="shared" si="41"/>
        <v>38.936800000000019</v>
      </c>
      <c r="AW50" s="2">
        <f t="shared" si="41"/>
        <v>39.481600000000022</v>
      </c>
      <c r="AX50" s="2">
        <f t="shared" si="41"/>
        <v>40.026400000000024</v>
      </c>
      <c r="AY50" s="2">
        <f t="shared" si="41"/>
        <v>40.571200000000026</v>
      </c>
      <c r="AZ50" s="2">
        <f t="shared" si="41"/>
        <v>41.116000000000028</v>
      </c>
      <c r="BB50">
        <f>(AF50-G50)/(AF$49-G$49)</f>
        <v>0.54479999999999995</v>
      </c>
      <c r="BC50">
        <f>(AF50/G50)^(1/(AF$61-G$61))</f>
        <v>1.0242534957860061</v>
      </c>
    </row>
    <row r="51" spans="1:55">
      <c r="A51" t="str">
        <f>INDEX('EIA AEO 2015'!A$9:A$24, $B51)</f>
        <v>Energy Prices : Electric Power : Residual Fuel Oil : Reference case</v>
      </c>
      <c r="B51">
        <f>B50+4</f>
        <v>8</v>
      </c>
      <c r="D51">
        <f>INDEX('EIA AEO 2015'!E$9:E$24, $B51)</f>
        <v>20.82</v>
      </c>
      <c r="E51">
        <f>INDEX('EIA AEO 2015'!F$9:F$24, $B51)</f>
        <v>18.89</v>
      </c>
      <c r="F51">
        <f>INDEX('EIA AEO 2015'!G$9:G$24, $B51)</f>
        <v>20</v>
      </c>
      <c r="G51">
        <f>INDEX('EIA AEO 2015'!H$9:H$24, $B51)</f>
        <v>11.47</v>
      </c>
      <c r="H51">
        <f>INDEX('EIA AEO 2015'!I$9:I$24, $B51)</f>
        <v>11.01</v>
      </c>
      <c r="I51">
        <f>INDEX('EIA AEO 2015'!J$9:J$24, $B51)</f>
        <v>10</v>
      </c>
      <c r="J51">
        <f>INDEX('EIA AEO 2015'!K$9:K$24, $B51)</f>
        <v>10.050000000000001</v>
      </c>
      <c r="K51">
        <f>INDEX('EIA AEO 2015'!L$9:L$24, $B51)</f>
        <v>11.2</v>
      </c>
      <c r="L51">
        <f>INDEX('EIA AEO 2015'!M$9:M$24, $B51)</f>
        <v>11.45</v>
      </c>
      <c r="M51">
        <f>INDEX('EIA AEO 2015'!N$9:N$24, $B51)</f>
        <v>11.79</v>
      </c>
      <c r="N51">
        <f>INDEX('EIA AEO 2015'!O$9:O$24, $B51)</f>
        <v>12.15</v>
      </c>
      <c r="O51">
        <f>INDEX('EIA AEO 2015'!P$9:P$24, $B51)</f>
        <v>12.51</v>
      </c>
      <c r="P51">
        <f>INDEX('EIA AEO 2015'!Q$9:Q$24, $B51)</f>
        <v>12.89</v>
      </c>
      <c r="Q51">
        <f>INDEX('EIA AEO 2015'!R$9:R$24, $B51)</f>
        <v>13.27</v>
      </c>
      <c r="R51">
        <f>INDEX('EIA AEO 2015'!S$9:S$24, $B51)</f>
        <v>13.68</v>
      </c>
      <c r="S51">
        <f>INDEX('EIA AEO 2015'!T$9:T$24, $B51)</f>
        <v>14.08</v>
      </c>
      <c r="T51">
        <f>INDEX('EIA AEO 2015'!U$9:U$24, $B51)</f>
        <v>14.5</v>
      </c>
      <c r="U51">
        <f>INDEX('EIA AEO 2015'!V$9:V$24, $B51)</f>
        <v>14.93</v>
      </c>
      <c r="V51">
        <f>INDEX('EIA AEO 2015'!W$9:W$24, $B51)</f>
        <v>15.38</v>
      </c>
      <c r="W51">
        <f>INDEX('EIA AEO 2015'!X$9:X$24, $B51)</f>
        <v>15.86</v>
      </c>
      <c r="X51">
        <f>INDEX('EIA AEO 2015'!Y$9:Y$24, $B51)</f>
        <v>16.34</v>
      </c>
      <c r="Y51">
        <f>INDEX('EIA AEO 2015'!Z$9:Z$24, $B51)</f>
        <v>16.8</v>
      </c>
      <c r="Z51">
        <f>INDEX('EIA AEO 2015'!AA$9:AA$24, $B51)</f>
        <v>17.329999999999998</v>
      </c>
      <c r="AA51">
        <f>INDEX('EIA AEO 2015'!AB$9:AB$24, $B51)</f>
        <v>17.850000000000001</v>
      </c>
      <c r="AB51">
        <f>INDEX('EIA AEO 2015'!AC$9:AC$24, $B51)</f>
        <v>18.37</v>
      </c>
      <c r="AC51">
        <f>INDEX('EIA AEO 2015'!AD$9:AD$24, $B51)</f>
        <v>18.899999999999999</v>
      </c>
      <c r="AD51">
        <f>INDEX('EIA AEO 2015'!AE$9:AE$24, $B51)</f>
        <v>19.47</v>
      </c>
      <c r="AE51">
        <f>INDEX('EIA AEO 2015'!AF$9:AF$24, $B51)</f>
        <v>20.440000000000001</v>
      </c>
      <c r="AF51">
        <f>INDEX('EIA AEO 2015'!AG$9:AG$24, $B51)</f>
        <v>21.59</v>
      </c>
      <c r="AG51" s="2">
        <f>AF51+$BB51</f>
        <v>21.994800000000001</v>
      </c>
      <c r="AH51" s="2">
        <f>AG51+$BB51</f>
        <v>22.399600000000003</v>
      </c>
      <c r="AI51" s="2">
        <f>AH51+$BB51</f>
        <v>22.804400000000005</v>
      </c>
      <c r="AJ51" s="2">
        <f t="shared" ref="AJ51:AZ52" si="42">AI51+$BB51</f>
        <v>23.209200000000006</v>
      </c>
      <c r="AK51" s="2">
        <f t="shared" si="42"/>
        <v>23.614000000000008</v>
      </c>
      <c r="AL51" s="2">
        <f t="shared" si="42"/>
        <v>24.018800000000009</v>
      </c>
      <c r="AM51" s="2">
        <f t="shared" si="42"/>
        <v>24.423600000000011</v>
      </c>
      <c r="AN51" s="2">
        <f t="shared" si="42"/>
        <v>24.828400000000013</v>
      </c>
      <c r="AO51" s="2">
        <f t="shared" si="42"/>
        <v>25.233200000000014</v>
      </c>
      <c r="AP51" s="2">
        <f t="shared" si="42"/>
        <v>25.638000000000016</v>
      </c>
      <c r="AQ51" s="2">
        <f t="shared" si="42"/>
        <v>26.042800000000017</v>
      </c>
      <c r="AR51" s="2">
        <f t="shared" si="42"/>
        <v>26.447600000000019</v>
      </c>
      <c r="AS51" s="2">
        <f t="shared" si="42"/>
        <v>26.852400000000021</v>
      </c>
      <c r="AT51" s="2">
        <f t="shared" si="42"/>
        <v>27.257200000000022</v>
      </c>
      <c r="AU51" s="2">
        <f t="shared" si="42"/>
        <v>27.662000000000024</v>
      </c>
      <c r="AV51" s="2">
        <f t="shared" si="42"/>
        <v>28.066800000000026</v>
      </c>
      <c r="AW51" s="2">
        <f t="shared" si="42"/>
        <v>28.471600000000027</v>
      </c>
      <c r="AX51" s="2">
        <f t="shared" si="42"/>
        <v>28.876400000000029</v>
      </c>
      <c r="AY51" s="2">
        <f t="shared" si="42"/>
        <v>29.28120000000003</v>
      </c>
      <c r="AZ51" s="2">
        <f t="shared" si="42"/>
        <v>29.686000000000032</v>
      </c>
      <c r="BB51">
        <f t="shared" ref="BB51:BB53" si="43">(AF51-G51)/(AF$49-G$49)</f>
        <v>0.40479999999999999</v>
      </c>
    </row>
    <row r="52" spans="1:55">
      <c r="A52" s="2" t="s">
        <v>141</v>
      </c>
      <c r="B52" s="4">
        <f t="shared" ref="B52:B53" si="44">B51+4</f>
        <v>12</v>
      </c>
      <c r="C52" s="4"/>
      <c r="D52">
        <f>INDEX('EIA AEO 2015'!E$9:E$24, $B52)</f>
        <v>3.52</v>
      </c>
      <c r="E52">
        <f>INDEX('EIA AEO 2015'!F$9:F$24, $B52)</f>
        <v>4.4000000000000004</v>
      </c>
      <c r="F52">
        <f>INDEX('EIA AEO 2015'!G$9:G$24, $B52)</f>
        <v>5.04</v>
      </c>
      <c r="G52">
        <f>INDEX('EIA AEO 2015'!H$9:H$24, $B52)</f>
        <v>4.38</v>
      </c>
      <c r="H52">
        <f>INDEX('EIA AEO 2015'!I$9:I$24, $B52)</f>
        <v>4.42</v>
      </c>
      <c r="I52">
        <f>INDEX('EIA AEO 2015'!J$9:J$24, $B52)</f>
        <v>4.4000000000000004</v>
      </c>
      <c r="J52">
        <f>INDEX('EIA AEO 2015'!K$9:K$24, $B52)</f>
        <v>4.53</v>
      </c>
      <c r="K52">
        <f>INDEX('EIA AEO 2015'!L$9:L$24, $B52)</f>
        <v>4.96</v>
      </c>
      <c r="L52">
        <f>INDEX('EIA AEO 2015'!M$9:M$24, $B52)</f>
        <v>5.39</v>
      </c>
      <c r="M52">
        <f>INDEX('EIA AEO 2015'!N$9:N$24, $B52)</f>
        <v>5.65</v>
      </c>
      <c r="N52">
        <f>INDEX('EIA AEO 2015'!O$9:O$24, $B52)</f>
        <v>5.8</v>
      </c>
      <c r="O52">
        <f>INDEX('EIA AEO 2015'!P$9:P$24, $B52)</f>
        <v>5.97</v>
      </c>
      <c r="P52">
        <f>INDEX('EIA AEO 2015'!Q$9:Q$24, $B52)</f>
        <v>6.1</v>
      </c>
      <c r="Q52">
        <f>INDEX('EIA AEO 2015'!R$9:R$24, $B52)</f>
        <v>6.27</v>
      </c>
      <c r="R52">
        <f>INDEX('EIA AEO 2015'!S$9:S$24, $B52)</f>
        <v>6.44</v>
      </c>
      <c r="S52">
        <f>INDEX('EIA AEO 2015'!T$9:T$24, $B52)</f>
        <v>6.4</v>
      </c>
      <c r="T52">
        <f>INDEX('EIA AEO 2015'!U$9:U$24, $B52)</f>
        <v>6.28</v>
      </c>
      <c r="U52">
        <f>INDEX('EIA AEO 2015'!V$9:V$24, $B52)</f>
        <v>6.26</v>
      </c>
      <c r="V52">
        <f>INDEX('EIA AEO 2015'!W$9:W$24, $B52)</f>
        <v>6.22</v>
      </c>
      <c r="W52">
        <f>INDEX('EIA AEO 2015'!X$9:X$24, $B52)</f>
        <v>6.38</v>
      </c>
      <c r="X52">
        <f>INDEX('EIA AEO 2015'!Y$9:Y$24, $B52)</f>
        <v>6.53</v>
      </c>
      <c r="Y52">
        <f>INDEX('EIA AEO 2015'!Z$9:Z$24, $B52)</f>
        <v>6.68</v>
      </c>
      <c r="Z52">
        <f>INDEX('EIA AEO 2015'!AA$9:AA$24, $B52)</f>
        <v>6.83</v>
      </c>
      <c r="AA52">
        <f>INDEX('EIA AEO 2015'!AB$9:AB$24, $B52)</f>
        <v>6.98</v>
      </c>
      <c r="AB52">
        <f>INDEX('EIA AEO 2015'!AC$9:AC$24, $B52)</f>
        <v>7.15</v>
      </c>
      <c r="AC52">
        <f>INDEX('EIA AEO 2015'!AD$9:AD$24, $B52)</f>
        <v>7.32</v>
      </c>
      <c r="AD52">
        <f>INDEX('EIA AEO 2015'!AE$9:AE$24, $B52)</f>
        <v>7.53</v>
      </c>
      <c r="AE52">
        <f>INDEX('EIA AEO 2015'!AF$9:AF$24, $B52)</f>
        <v>7.88</v>
      </c>
      <c r="AF52">
        <f>INDEX('EIA AEO 2015'!AG$9:AG$24, $B52)</f>
        <v>8.2799999999999994</v>
      </c>
      <c r="AG52" s="2">
        <f t="shared" ref="AG52" si="45">AF52+$BB52</f>
        <v>8.4359999999999999</v>
      </c>
      <c r="AH52" s="2">
        <f t="shared" ref="AH52" si="46">AG52+$BB52</f>
        <v>8.5920000000000005</v>
      </c>
      <c r="AI52" s="2">
        <f t="shared" ref="AI52" si="47">AH52+$BB52</f>
        <v>8.7480000000000011</v>
      </c>
      <c r="AJ52" s="2">
        <f t="shared" si="42"/>
        <v>8.9040000000000017</v>
      </c>
      <c r="AK52" s="2">
        <f t="shared" si="42"/>
        <v>9.0600000000000023</v>
      </c>
      <c r="AL52" s="2">
        <f t="shared" si="42"/>
        <v>9.2160000000000029</v>
      </c>
      <c r="AM52" s="2">
        <f t="shared" si="42"/>
        <v>9.3720000000000034</v>
      </c>
      <c r="AN52" s="2">
        <f t="shared" si="42"/>
        <v>9.528000000000004</v>
      </c>
      <c r="AO52" s="2">
        <f t="shared" si="42"/>
        <v>9.6840000000000046</v>
      </c>
      <c r="AP52" s="2">
        <f t="shared" si="42"/>
        <v>9.8400000000000052</v>
      </c>
      <c r="AQ52" s="2">
        <f t="shared" si="42"/>
        <v>9.9960000000000058</v>
      </c>
      <c r="AR52" s="2">
        <f t="shared" si="42"/>
        <v>10.152000000000006</v>
      </c>
      <c r="AS52" s="2">
        <f t="shared" si="42"/>
        <v>10.308000000000007</v>
      </c>
      <c r="AT52" s="2">
        <f t="shared" si="42"/>
        <v>10.464000000000008</v>
      </c>
      <c r="AU52" s="2">
        <f t="shared" si="42"/>
        <v>10.620000000000008</v>
      </c>
      <c r="AV52" s="2">
        <f t="shared" si="42"/>
        <v>10.776000000000009</v>
      </c>
      <c r="AW52" s="2">
        <f t="shared" si="42"/>
        <v>10.932000000000009</v>
      </c>
      <c r="AX52" s="2">
        <f t="shared" si="42"/>
        <v>11.08800000000001</v>
      </c>
      <c r="AY52" s="2">
        <f t="shared" si="42"/>
        <v>11.24400000000001</v>
      </c>
      <c r="AZ52" s="2">
        <f t="shared" si="42"/>
        <v>11.400000000000011</v>
      </c>
      <c r="BB52">
        <f t="shared" si="43"/>
        <v>0.15599999999999997</v>
      </c>
    </row>
    <row r="53" spans="1:55">
      <c r="A53" t="str">
        <f>INDEX('EIA AEO 2015'!A$9:A$24, $B53)</f>
        <v>Energy Prices : Electric Power : Steam Coal : Reference case</v>
      </c>
      <c r="B53">
        <f t="shared" si="44"/>
        <v>16</v>
      </c>
      <c r="D53">
        <f>INDEX('EIA AEO 2015'!E$9:E$24, $B53)</f>
        <v>2.41</v>
      </c>
      <c r="E53">
        <f>INDEX('EIA AEO 2015'!F$9:F$24, $B53)</f>
        <v>2.34</v>
      </c>
      <c r="F53">
        <f>INDEX('EIA AEO 2015'!G$9:G$24, $B53)</f>
        <v>2.27</v>
      </c>
      <c r="G53">
        <f>INDEX('EIA AEO 2015'!H$9:H$24, $B53)</f>
        <v>2.2599999999999998</v>
      </c>
      <c r="H53">
        <f>INDEX('EIA AEO 2015'!I$9:I$24, $B53)</f>
        <v>2.25</v>
      </c>
      <c r="I53">
        <f>INDEX('EIA AEO 2015'!J$9:J$24, $B53)</f>
        <v>2.27</v>
      </c>
      <c r="J53">
        <f>INDEX('EIA AEO 2015'!K$9:K$24, $B53)</f>
        <v>2.2999999999999998</v>
      </c>
      <c r="K53">
        <f>INDEX('EIA AEO 2015'!L$9:L$24, $B53)</f>
        <v>2.34</v>
      </c>
      <c r="L53">
        <f>INDEX('EIA AEO 2015'!M$9:M$24, $B53)</f>
        <v>2.38</v>
      </c>
      <c r="M53">
        <f>INDEX('EIA AEO 2015'!N$9:N$24, $B53)</f>
        <v>2.42</v>
      </c>
      <c r="N53">
        <f>INDEX('EIA AEO 2015'!O$9:O$24, $B53)</f>
        <v>2.4500000000000002</v>
      </c>
      <c r="O53">
        <f>INDEX('EIA AEO 2015'!P$9:P$24, $B53)</f>
        <v>2.48</v>
      </c>
      <c r="P53">
        <f>INDEX('EIA AEO 2015'!Q$9:Q$24, $B53)</f>
        <v>2.5099999999999998</v>
      </c>
      <c r="Q53">
        <f>INDEX('EIA AEO 2015'!R$9:R$24, $B53)</f>
        <v>2.54</v>
      </c>
      <c r="R53">
        <f>INDEX('EIA AEO 2015'!S$9:S$24, $B53)</f>
        <v>2.57</v>
      </c>
      <c r="S53">
        <f>INDEX('EIA AEO 2015'!T$9:T$24, $B53)</f>
        <v>2.6</v>
      </c>
      <c r="T53">
        <f>INDEX('EIA AEO 2015'!U$9:U$24, $B53)</f>
        <v>2.62</v>
      </c>
      <c r="U53">
        <f>INDEX('EIA AEO 2015'!V$9:V$24, $B53)</f>
        <v>2.65</v>
      </c>
      <c r="V53">
        <f>INDEX('EIA AEO 2015'!W$9:W$24, $B53)</f>
        <v>2.67</v>
      </c>
      <c r="W53">
        <f>INDEX('EIA AEO 2015'!X$9:X$24, $B53)</f>
        <v>2.69</v>
      </c>
      <c r="X53">
        <f>INDEX('EIA AEO 2015'!Y$9:Y$24, $B53)</f>
        <v>2.71</v>
      </c>
      <c r="Y53">
        <f>INDEX('EIA AEO 2015'!Z$9:Z$24, $B53)</f>
        <v>2.74</v>
      </c>
      <c r="Z53">
        <f>INDEX('EIA AEO 2015'!AA$9:AA$24, $B53)</f>
        <v>2.76</v>
      </c>
      <c r="AA53">
        <f>INDEX('EIA AEO 2015'!AB$9:AB$24, $B53)</f>
        <v>2.79</v>
      </c>
      <c r="AB53">
        <f>INDEX('EIA AEO 2015'!AC$9:AC$24, $B53)</f>
        <v>2.81</v>
      </c>
      <c r="AC53">
        <f>INDEX('EIA AEO 2015'!AD$9:AD$24, $B53)</f>
        <v>2.84</v>
      </c>
      <c r="AD53">
        <f>INDEX('EIA AEO 2015'!AE$9:AE$24, $B53)</f>
        <v>2.86</v>
      </c>
      <c r="AE53">
        <f>INDEX('EIA AEO 2015'!AF$9:AF$24, $B53)</f>
        <v>2.89</v>
      </c>
      <c r="AF53">
        <f>INDEX('EIA AEO 2015'!AG$9:AG$24, $B53)</f>
        <v>2.92</v>
      </c>
      <c r="AG53" s="2">
        <f>AF53+$BB53</f>
        <v>2.9464000000000001</v>
      </c>
      <c r="AH53" s="2">
        <f>AG53+$BB53</f>
        <v>2.9728000000000003</v>
      </c>
      <c r="AI53" s="2">
        <f>AH53+$BB53</f>
        <v>2.9992000000000005</v>
      </c>
      <c r="AJ53" s="2">
        <f t="shared" ref="AJ53:AZ53" si="48">AI53+$BB53</f>
        <v>3.0256000000000007</v>
      </c>
      <c r="AK53" s="2">
        <f t="shared" si="48"/>
        <v>3.0520000000000009</v>
      </c>
      <c r="AL53" s="2">
        <f t="shared" si="48"/>
        <v>3.0784000000000011</v>
      </c>
      <c r="AM53" s="2">
        <f t="shared" si="48"/>
        <v>3.1048000000000013</v>
      </c>
      <c r="AN53" s="2">
        <f t="shared" si="48"/>
        <v>3.1312000000000015</v>
      </c>
      <c r="AO53" s="2">
        <f t="shared" si="48"/>
        <v>3.1576000000000017</v>
      </c>
      <c r="AP53" s="2">
        <f t="shared" si="48"/>
        <v>3.1840000000000019</v>
      </c>
      <c r="AQ53" s="2">
        <f t="shared" si="48"/>
        <v>3.2104000000000021</v>
      </c>
      <c r="AR53" s="2">
        <f t="shared" si="48"/>
        <v>3.2368000000000023</v>
      </c>
      <c r="AS53" s="2">
        <f t="shared" si="48"/>
        <v>3.2632000000000025</v>
      </c>
      <c r="AT53" s="2">
        <f t="shared" si="48"/>
        <v>3.2896000000000027</v>
      </c>
      <c r="AU53" s="2">
        <f t="shared" si="48"/>
        <v>3.3160000000000029</v>
      </c>
      <c r="AV53" s="2">
        <f t="shared" si="48"/>
        <v>3.3424000000000031</v>
      </c>
      <c r="AW53" s="2">
        <f t="shared" si="48"/>
        <v>3.3688000000000033</v>
      </c>
      <c r="AX53" s="2">
        <f t="shared" si="48"/>
        <v>3.3952000000000035</v>
      </c>
      <c r="AY53" s="2">
        <f t="shared" si="48"/>
        <v>3.4216000000000037</v>
      </c>
      <c r="AZ53" s="2">
        <f t="shared" si="48"/>
        <v>3.448000000000004</v>
      </c>
      <c r="BB53">
        <f t="shared" si="43"/>
        <v>2.6400000000000007E-2</v>
      </c>
    </row>
    <row r="54" spans="1:55">
      <c r="A54" t="s">
        <v>60</v>
      </c>
      <c r="AG54" s="2"/>
      <c r="AH54" s="2"/>
      <c r="AI54" s="2"/>
      <c r="AJ54" s="2"/>
      <c r="AK54" s="2"/>
      <c r="AL54" s="2"/>
      <c r="AM54" s="2"/>
      <c r="AN54" s="2"/>
      <c r="AO54" s="2"/>
      <c r="AP54" s="2"/>
      <c r="AQ54" s="2"/>
      <c r="AR54" s="2"/>
      <c r="AS54" s="2"/>
      <c r="AT54" s="2"/>
      <c r="AU54" s="2"/>
      <c r="AV54" s="2"/>
      <c r="AW54" s="2"/>
      <c r="AX54" s="2"/>
      <c r="AY54" s="2"/>
      <c r="AZ54" s="2"/>
    </row>
    <row r="55" spans="1:55">
      <c r="AG55" s="2"/>
      <c r="AH55" s="2"/>
      <c r="AI55" s="2"/>
      <c r="AJ55" s="2"/>
      <c r="AK55" s="2"/>
      <c r="AL55" s="2"/>
      <c r="AM55" s="2"/>
      <c r="AN55" s="2"/>
      <c r="AO55" s="2"/>
      <c r="AP55" s="2"/>
      <c r="AQ55" s="2"/>
      <c r="AR55" s="2"/>
      <c r="AS55" s="2"/>
      <c r="AT55" s="2"/>
      <c r="AU55" s="2"/>
      <c r="AV55" s="2"/>
      <c r="AW55" s="2"/>
      <c r="AX55" s="2"/>
      <c r="AY55" s="2"/>
      <c r="AZ55" s="2"/>
    </row>
    <row r="56" spans="1:55">
      <c r="A56" t="s">
        <v>62</v>
      </c>
      <c r="B56" s="3">
        <v>2.5000000000000001E-2</v>
      </c>
      <c r="AG56" s="2"/>
      <c r="AH56" s="2"/>
      <c r="AI56" s="2"/>
      <c r="AJ56" s="2"/>
      <c r="AK56" s="2"/>
      <c r="AL56" s="2"/>
      <c r="AM56" s="2"/>
      <c r="AN56" s="2"/>
      <c r="AO56" s="2"/>
      <c r="AP56" s="2"/>
      <c r="AQ56" s="2"/>
      <c r="AR56" s="2"/>
      <c r="AS56" s="2"/>
      <c r="AT56" s="2"/>
      <c r="AU56" s="2"/>
      <c r="AV56" s="2"/>
      <c r="AW56" s="2"/>
      <c r="AX56" s="2"/>
      <c r="AY56" s="2"/>
      <c r="AZ56" s="2"/>
    </row>
    <row r="57" spans="1:55">
      <c r="A57" t="s">
        <v>64</v>
      </c>
      <c r="E57">
        <f>'LNG details'!E16-'LNG details'!E15</f>
        <v>17.589999999999996</v>
      </c>
    </row>
    <row r="58" spans="1:55">
      <c r="A58" t="s">
        <v>63</v>
      </c>
      <c r="B58" t="s">
        <v>70</v>
      </c>
      <c r="E58">
        <f>SUM('LNG details'!B4:B5) / (1+B56)^5</f>
        <v>5.1970632111439619</v>
      </c>
    </row>
    <row r="59" spans="1:55">
      <c r="AB59" s="4"/>
      <c r="AC59" s="4"/>
      <c r="AD59" s="4"/>
      <c r="AE59" s="4"/>
      <c r="AF59" s="4"/>
      <c r="AG59" s="4"/>
      <c r="AH59" s="4"/>
      <c r="AI59" s="4"/>
      <c r="AJ59" s="4"/>
      <c r="AK59" s="4"/>
      <c r="AL59" s="4"/>
      <c r="AM59" s="4"/>
      <c r="AN59" s="4"/>
      <c r="AO59" s="4"/>
      <c r="AP59" s="4"/>
      <c r="AQ59" s="4"/>
      <c r="AR59" s="4"/>
      <c r="AS59" s="4"/>
      <c r="AT59" s="4"/>
      <c r="AU59" s="4"/>
    </row>
    <row r="60" spans="1:55">
      <c r="A60" t="s">
        <v>107</v>
      </c>
      <c r="AB60" s="4"/>
      <c r="AC60" s="4"/>
      <c r="AD60" s="4"/>
      <c r="AE60" s="4"/>
      <c r="AF60" s="4"/>
      <c r="AG60" s="4"/>
      <c r="AH60" s="4"/>
      <c r="AI60" s="4"/>
      <c r="AJ60" s="4"/>
      <c r="AK60" s="4"/>
      <c r="AL60" s="4"/>
      <c r="AM60" s="4"/>
      <c r="AN60" s="4"/>
      <c r="AO60" s="4"/>
      <c r="AP60" s="4"/>
      <c r="AQ60" s="4"/>
      <c r="AR60" s="4"/>
      <c r="AS60" s="4"/>
      <c r="AT60" s="4"/>
      <c r="AU60" s="4"/>
    </row>
    <row r="61" spans="1:55">
      <c r="A61" t="s">
        <v>76</v>
      </c>
      <c r="B61">
        <v>2015</v>
      </c>
      <c r="C61">
        <f>B61+1</f>
        <v>2016</v>
      </c>
      <c r="D61">
        <f t="shared" ref="D61:AU61" si="49">C61+1</f>
        <v>2017</v>
      </c>
      <c r="E61">
        <f t="shared" si="49"/>
        <v>2018</v>
      </c>
      <c r="F61">
        <f t="shared" si="49"/>
        <v>2019</v>
      </c>
      <c r="G61">
        <f t="shared" si="49"/>
        <v>2020</v>
      </c>
      <c r="H61">
        <f t="shared" si="49"/>
        <v>2021</v>
      </c>
      <c r="I61">
        <f t="shared" si="49"/>
        <v>2022</v>
      </c>
      <c r="J61">
        <f t="shared" si="49"/>
        <v>2023</v>
      </c>
      <c r="K61">
        <f t="shared" si="49"/>
        <v>2024</v>
      </c>
      <c r="L61">
        <f t="shared" si="49"/>
        <v>2025</v>
      </c>
      <c r="M61">
        <f t="shared" si="49"/>
        <v>2026</v>
      </c>
      <c r="N61">
        <f t="shared" si="49"/>
        <v>2027</v>
      </c>
      <c r="O61">
        <f t="shared" si="49"/>
        <v>2028</v>
      </c>
      <c r="P61">
        <f t="shared" si="49"/>
        <v>2029</v>
      </c>
      <c r="Q61">
        <f t="shared" si="49"/>
        <v>2030</v>
      </c>
      <c r="R61">
        <f t="shared" si="49"/>
        <v>2031</v>
      </c>
      <c r="S61">
        <f t="shared" si="49"/>
        <v>2032</v>
      </c>
      <c r="T61">
        <f t="shared" si="49"/>
        <v>2033</v>
      </c>
      <c r="U61">
        <f t="shared" si="49"/>
        <v>2034</v>
      </c>
      <c r="V61">
        <f t="shared" si="49"/>
        <v>2035</v>
      </c>
      <c r="W61">
        <f t="shared" si="49"/>
        <v>2036</v>
      </c>
      <c r="X61">
        <f t="shared" si="49"/>
        <v>2037</v>
      </c>
      <c r="Y61">
        <f t="shared" si="49"/>
        <v>2038</v>
      </c>
      <c r="Z61">
        <f t="shared" si="49"/>
        <v>2039</v>
      </c>
      <c r="AA61">
        <f t="shared" si="49"/>
        <v>2040</v>
      </c>
      <c r="AB61">
        <f t="shared" si="49"/>
        <v>2041</v>
      </c>
      <c r="AC61">
        <f t="shared" si="49"/>
        <v>2042</v>
      </c>
      <c r="AD61">
        <f t="shared" si="49"/>
        <v>2043</v>
      </c>
      <c r="AE61">
        <f t="shared" si="49"/>
        <v>2044</v>
      </c>
      <c r="AF61">
        <f t="shared" si="49"/>
        <v>2045</v>
      </c>
      <c r="AG61">
        <f t="shared" si="49"/>
        <v>2046</v>
      </c>
      <c r="AH61">
        <f t="shared" si="49"/>
        <v>2047</v>
      </c>
      <c r="AI61">
        <f t="shared" si="49"/>
        <v>2048</v>
      </c>
      <c r="AJ61">
        <f t="shared" si="49"/>
        <v>2049</v>
      </c>
      <c r="AK61">
        <f t="shared" si="49"/>
        <v>2050</v>
      </c>
      <c r="AL61">
        <f t="shared" si="49"/>
        <v>2051</v>
      </c>
      <c r="AM61">
        <f t="shared" si="49"/>
        <v>2052</v>
      </c>
      <c r="AN61">
        <f t="shared" si="49"/>
        <v>2053</v>
      </c>
      <c r="AO61">
        <f t="shared" si="49"/>
        <v>2054</v>
      </c>
      <c r="AP61">
        <f t="shared" si="49"/>
        <v>2055</v>
      </c>
      <c r="AQ61">
        <f t="shared" si="49"/>
        <v>2056</v>
      </c>
      <c r="AR61">
        <f t="shared" si="49"/>
        <v>2057</v>
      </c>
      <c r="AS61">
        <f t="shared" si="49"/>
        <v>2058</v>
      </c>
      <c r="AT61">
        <f t="shared" si="49"/>
        <v>2059</v>
      </c>
      <c r="AU61">
        <f t="shared" si="49"/>
        <v>2060</v>
      </c>
    </row>
    <row r="62" spans="1:55">
      <c r="A62" t="s">
        <v>71</v>
      </c>
      <c r="B62">
        <f t="shared" ref="B62:K63" si="50">G50+$B39</f>
        <v>14.719458333333334</v>
      </c>
      <c r="C62">
        <f t="shared" si="50"/>
        <v>16.279458333333334</v>
      </c>
      <c r="D62">
        <f t="shared" si="50"/>
        <v>16.339458333333333</v>
      </c>
      <c r="E62">
        <f t="shared" si="50"/>
        <v>16.349458333333335</v>
      </c>
      <c r="F62">
        <f t="shared" si="50"/>
        <v>16.639458333333334</v>
      </c>
      <c r="G62">
        <f t="shared" si="50"/>
        <v>16.899458333333335</v>
      </c>
      <c r="H62">
        <f t="shared" si="50"/>
        <v>17.289458333333336</v>
      </c>
      <c r="I62">
        <f t="shared" si="50"/>
        <v>17.699458333333332</v>
      </c>
      <c r="J62">
        <f t="shared" si="50"/>
        <v>18.139458333333334</v>
      </c>
      <c r="K62">
        <f t="shared" si="50"/>
        <v>18.579458333333335</v>
      </c>
      <c r="L62">
        <f t="shared" ref="L62:U63" si="51">Q50+$B39</f>
        <v>19.049458333333334</v>
      </c>
      <c r="M62">
        <f t="shared" si="51"/>
        <v>19.549458333333334</v>
      </c>
      <c r="N62">
        <f t="shared" si="51"/>
        <v>20.069458333333333</v>
      </c>
      <c r="O62">
        <f t="shared" si="51"/>
        <v>20.619458333333334</v>
      </c>
      <c r="P62">
        <f t="shared" si="51"/>
        <v>21.169458333333335</v>
      </c>
      <c r="Q62">
        <f t="shared" ref="Q62:Q63" si="52">V50+$B39</f>
        <v>21.749458333333333</v>
      </c>
      <c r="R62">
        <f t="shared" ref="R62:R63" si="53">W50+$B39</f>
        <v>22.349458333333335</v>
      </c>
      <c r="S62">
        <f t="shared" ref="S62:S63" si="54">X50+$B39</f>
        <v>22.939458333333334</v>
      </c>
      <c r="T62">
        <f t="shared" ref="T62:T63" si="55">Y50+$B39</f>
        <v>23.559458333333335</v>
      </c>
      <c r="U62">
        <f t="shared" ref="U62:U63" si="56">Z50+$B39</f>
        <v>24.189458333333334</v>
      </c>
      <c r="V62">
        <f t="shared" ref="V62:V63" si="57">AA50+$B39</f>
        <v>24.829458333333335</v>
      </c>
      <c r="W62">
        <f t="shared" ref="W62:W63" si="58">AB50+$B39</f>
        <v>25.489458333333335</v>
      </c>
      <c r="X62">
        <f t="shared" ref="X62:X63" si="59">AC50+$B39</f>
        <v>26.169458333333335</v>
      </c>
      <c r="Y62">
        <f t="shared" ref="Y62:Y63" si="60">AD50+$B39</f>
        <v>26.929458333333333</v>
      </c>
      <c r="Z62">
        <f t="shared" ref="Z62:Z63" si="61">AE50+$B39</f>
        <v>27.639458333333334</v>
      </c>
      <c r="AA62">
        <f t="shared" ref="AA62:AA63" si="62">AF50+$B39</f>
        <v>28.339458333333333</v>
      </c>
      <c r="AB62">
        <f t="shared" ref="AB62:AB63" si="63">AG50+$B39</f>
        <v>28.884258333333332</v>
      </c>
      <c r="AC62">
        <f t="shared" ref="AC62:AC63" si="64">AH50+$B39</f>
        <v>29.42905833333333</v>
      </c>
      <c r="AD62">
        <f t="shared" ref="AD62:AD63" si="65">AI50+$B39</f>
        <v>29.973858333333329</v>
      </c>
      <c r="AE62">
        <f t="shared" ref="AE62:AE63" si="66">AJ50+$B39</f>
        <v>30.518658333333327</v>
      </c>
      <c r="AF62">
        <f t="shared" ref="AF62:AF63" si="67">AK50+$B39</f>
        <v>31.06345833333333</v>
      </c>
      <c r="AG62">
        <f t="shared" ref="AG62:AG63" si="68">AL50+$B39</f>
        <v>31.608258333333332</v>
      </c>
      <c r="AH62">
        <f t="shared" ref="AH62:AH63" si="69">AM50+$B39</f>
        <v>32.153058333333334</v>
      </c>
      <c r="AI62">
        <f t="shared" ref="AI62:AI63" si="70">AN50+$B39</f>
        <v>32.697858333333336</v>
      </c>
      <c r="AJ62">
        <f t="shared" ref="AJ62:AJ63" si="71">AO50+$B39</f>
        <v>33.242658333333338</v>
      </c>
      <c r="AK62">
        <f t="shared" ref="AK62:AK63" si="72">AP50+$B39</f>
        <v>33.78745833333334</v>
      </c>
      <c r="AL62">
        <f t="shared" ref="AL62:AL63" si="73">AQ50+$B39</f>
        <v>34.332258333333343</v>
      </c>
      <c r="AM62">
        <f t="shared" ref="AM62:AM63" si="74">AR50+$B39</f>
        <v>34.877058333333345</v>
      </c>
      <c r="AN62">
        <f t="shared" ref="AN62:AN63" si="75">AS50+$B39</f>
        <v>35.421858333333347</v>
      </c>
      <c r="AO62">
        <f t="shared" ref="AO62:AO63" si="76">AT50+$B39</f>
        <v>35.966658333333349</v>
      </c>
      <c r="AP62">
        <f t="shared" ref="AP62:AP63" si="77">AU50+$B39</f>
        <v>36.511458333333351</v>
      </c>
      <c r="AQ62">
        <f t="shared" ref="AQ62:AQ63" si="78">AV50+$B39</f>
        <v>37.056258333333354</v>
      </c>
      <c r="AR62">
        <f t="shared" ref="AR62:AR63" si="79">AW50+$B39</f>
        <v>37.601058333333356</v>
      </c>
      <c r="AS62">
        <f t="shared" ref="AS62:AS63" si="80">AX50+$B39</f>
        <v>38.145858333333358</v>
      </c>
      <c r="AT62">
        <f t="shared" ref="AT62:AT63" si="81">AY50+$B39</f>
        <v>38.69065833333336</v>
      </c>
      <c r="AU62">
        <f t="shared" ref="AU62:AU63" si="82">AZ50+$B39</f>
        <v>39.235458333333362</v>
      </c>
    </row>
    <row r="63" spans="1:55">
      <c r="A63" t="s">
        <v>21</v>
      </c>
      <c r="B63">
        <f t="shared" si="50"/>
        <v>13.349161111111112</v>
      </c>
      <c r="C63">
        <f t="shared" si="50"/>
        <v>12.889161111111111</v>
      </c>
      <c r="D63">
        <f t="shared" si="50"/>
        <v>11.879161111111111</v>
      </c>
      <c r="E63">
        <f t="shared" si="50"/>
        <v>11.929161111111112</v>
      </c>
      <c r="F63">
        <f t="shared" si="50"/>
        <v>13.079161111111111</v>
      </c>
      <c r="G63">
        <f t="shared" si="50"/>
        <v>13.329161111111111</v>
      </c>
      <c r="H63">
        <f t="shared" si="50"/>
        <v>13.66916111111111</v>
      </c>
      <c r="I63">
        <f t="shared" si="50"/>
        <v>14.029161111111112</v>
      </c>
      <c r="J63">
        <f t="shared" si="50"/>
        <v>14.389161111111111</v>
      </c>
      <c r="K63">
        <f t="shared" si="50"/>
        <v>14.769161111111112</v>
      </c>
      <c r="L63">
        <f t="shared" si="51"/>
        <v>15.149161111111111</v>
      </c>
      <c r="M63">
        <f t="shared" si="51"/>
        <v>15.559161111111111</v>
      </c>
      <c r="N63">
        <f t="shared" si="51"/>
        <v>15.959161111111111</v>
      </c>
      <c r="O63">
        <f t="shared" si="51"/>
        <v>16.37916111111111</v>
      </c>
      <c r="P63">
        <f t="shared" si="51"/>
        <v>16.809161111111109</v>
      </c>
      <c r="Q63">
        <f t="shared" si="52"/>
        <v>17.259161111111112</v>
      </c>
      <c r="R63">
        <f t="shared" si="53"/>
        <v>17.739161111111109</v>
      </c>
      <c r="S63">
        <f t="shared" si="54"/>
        <v>18.219161111111113</v>
      </c>
      <c r="T63">
        <f t="shared" si="55"/>
        <v>18.679161111111114</v>
      </c>
      <c r="U63">
        <f t="shared" si="56"/>
        <v>19.209161111111108</v>
      </c>
      <c r="V63">
        <f t="shared" si="57"/>
        <v>19.729161111111111</v>
      </c>
      <c r="W63">
        <f t="shared" si="58"/>
        <v>20.249161111111114</v>
      </c>
      <c r="X63">
        <f t="shared" si="59"/>
        <v>20.779161111111108</v>
      </c>
      <c r="Y63">
        <f t="shared" si="60"/>
        <v>21.349161111111108</v>
      </c>
      <c r="Z63">
        <f t="shared" si="61"/>
        <v>22.319161111111114</v>
      </c>
      <c r="AA63">
        <f t="shared" si="62"/>
        <v>23.469161111111113</v>
      </c>
      <c r="AB63">
        <f t="shared" si="63"/>
        <v>23.873961111111115</v>
      </c>
      <c r="AC63">
        <f t="shared" si="64"/>
        <v>24.278761111111116</v>
      </c>
      <c r="AD63">
        <f t="shared" si="65"/>
        <v>24.683561111111118</v>
      </c>
      <c r="AE63">
        <f t="shared" si="66"/>
        <v>25.088361111111119</v>
      </c>
      <c r="AF63">
        <f t="shared" si="67"/>
        <v>25.493161111111121</v>
      </c>
      <c r="AG63">
        <f t="shared" si="68"/>
        <v>25.897961111111123</v>
      </c>
      <c r="AH63">
        <f t="shared" si="69"/>
        <v>26.302761111111124</v>
      </c>
      <c r="AI63">
        <f t="shared" si="70"/>
        <v>26.707561111111126</v>
      </c>
      <c r="AJ63">
        <f t="shared" si="71"/>
        <v>27.112361111111127</v>
      </c>
      <c r="AK63">
        <f t="shared" si="72"/>
        <v>27.517161111111129</v>
      </c>
      <c r="AL63">
        <f t="shared" si="73"/>
        <v>27.921961111111131</v>
      </c>
      <c r="AM63">
        <f t="shared" si="74"/>
        <v>28.326761111111132</v>
      </c>
      <c r="AN63">
        <f t="shared" si="75"/>
        <v>28.731561111111134</v>
      </c>
      <c r="AO63">
        <f t="shared" si="76"/>
        <v>29.136361111111135</v>
      </c>
      <c r="AP63">
        <f t="shared" si="77"/>
        <v>29.541161111111137</v>
      </c>
      <c r="AQ63">
        <f t="shared" si="78"/>
        <v>29.945961111111139</v>
      </c>
      <c r="AR63">
        <f t="shared" si="79"/>
        <v>30.35076111111114</v>
      </c>
      <c r="AS63">
        <f t="shared" si="80"/>
        <v>30.755561111111142</v>
      </c>
      <c r="AT63">
        <f t="shared" si="81"/>
        <v>31.160361111111143</v>
      </c>
      <c r="AU63">
        <f t="shared" si="82"/>
        <v>31.565161111111145</v>
      </c>
    </row>
    <row r="64" spans="1:55">
      <c r="A64" t="s">
        <v>99</v>
      </c>
      <c r="B64">
        <f>0.4*B62+0.6*B63</f>
        <v>13.897280000000002</v>
      </c>
      <c r="C64">
        <f t="shared" ref="C64:AA64" si="83">0.4*C62+0.6*C63</f>
        <v>14.245280000000001</v>
      </c>
      <c r="D64">
        <f t="shared" si="83"/>
        <v>13.66328</v>
      </c>
      <c r="E64">
        <f t="shared" si="83"/>
        <v>13.697280000000001</v>
      </c>
      <c r="F64">
        <f t="shared" si="83"/>
        <v>14.50328</v>
      </c>
      <c r="G64">
        <f t="shared" si="83"/>
        <v>14.757280000000002</v>
      </c>
      <c r="H64">
        <f t="shared" si="83"/>
        <v>15.117280000000001</v>
      </c>
      <c r="I64">
        <f t="shared" si="83"/>
        <v>15.49728</v>
      </c>
      <c r="J64">
        <f t="shared" si="83"/>
        <v>15.889279999999999</v>
      </c>
      <c r="K64">
        <f t="shared" si="83"/>
        <v>16.293280000000003</v>
      </c>
      <c r="L64">
        <f t="shared" si="83"/>
        <v>16.70928</v>
      </c>
      <c r="M64">
        <f t="shared" si="83"/>
        <v>17.155279999999998</v>
      </c>
      <c r="N64">
        <f t="shared" si="83"/>
        <v>17.603279999999998</v>
      </c>
      <c r="O64">
        <f t="shared" si="83"/>
        <v>18.075279999999999</v>
      </c>
      <c r="P64">
        <f t="shared" si="83"/>
        <v>18.553280000000001</v>
      </c>
      <c r="Q64">
        <f t="shared" ref="Q64:AU64" si="84">0.4*Q62+0.6*Q63</f>
        <v>19.055280000000003</v>
      </c>
      <c r="R64">
        <f t="shared" si="84"/>
        <v>19.583280000000002</v>
      </c>
      <c r="S64">
        <f t="shared" si="84"/>
        <v>20.107280000000003</v>
      </c>
      <c r="T64">
        <f t="shared" si="84"/>
        <v>20.631280000000004</v>
      </c>
      <c r="U64">
        <f t="shared" si="84"/>
        <v>21.201279999999997</v>
      </c>
      <c r="V64">
        <f t="shared" si="84"/>
        <v>21.769280000000002</v>
      </c>
      <c r="W64">
        <f t="shared" si="84"/>
        <v>22.345280000000002</v>
      </c>
      <c r="X64">
        <f t="shared" si="84"/>
        <v>22.935279999999999</v>
      </c>
      <c r="Y64">
        <f t="shared" si="84"/>
        <v>23.58128</v>
      </c>
      <c r="Z64">
        <f t="shared" si="84"/>
        <v>24.447280000000003</v>
      </c>
      <c r="AA64">
        <f t="shared" si="84"/>
        <v>25.417280000000002</v>
      </c>
      <c r="AB64">
        <f t="shared" si="84"/>
        <v>25.878080000000001</v>
      </c>
      <c r="AC64">
        <f t="shared" si="84"/>
        <v>26.338880000000003</v>
      </c>
      <c r="AD64">
        <f t="shared" si="84"/>
        <v>26.799680000000002</v>
      </c>
      <c r="AE64">
        <f t="shared" si="84"/>
        <v>27.260480000000001</v>
      </c>
      <c r="AF64">
        <f t="shared" si="84"/>
        <v>27.721280000000004</v>
      </c>
      <c r="AG64">
        <f t="shared" si="84"/>
        <v>28.182080000000006</v>
      </c>
      <c r="AH64">
        <f t="shared" si="84"/>
        <v>28.642880000000009</v>
      </c>
      <c r="AI64">
        <f t="shared" si="84"/>
        <v>29.103680000000008</v>
      </c>
      <c r="AJ64">
        <f t="shared" si="84"/>
        <v>29.56448000000001</v>
      </c>
      <c r="AK64">
        <f t="shared" si="84"/>
        <v>30.025280000000013</v>
      </c>
      <c r="AL64">
        <f t="shared" si="84"/>
        <v>30.486080000000015</v>
      </c>
      <c r="AM64">
        <f t="shared" si="84"/>
        <v>30.946880000000018</v>
      </c>
      <c r="AN64">
        <f t="shared" si="84"/>
        <v>31.407680000000017</v>
      </c>
      <c r="AO64">
        <f t="shared" si="84"/>
        <v>31.868480000000019</v>
      </c>
      <c r="AP64">
        <f t="shared" si="84"/>
        <v>32.329280000000026</v>
      </c>
      <c r="AQ64">
        <f t="shared" si="84"/>
        <v>32.790080000000025</v>
      </c>
      <c r="AR64">
        <f t="shared" si="84"/>
        <v>33.250880000000024</v>
      </c>
      <c r="AS64">
        <f t="shared" si="84"/>
        <v>33.71168000000003</v>
      </c>
      <c r="AT64">
        <f t="shared" si="84"/>
        <v>34.172480000000029</v>
      </c>
      <c r="AU64">
        <f t="shared" si="84"/>
        <v>34.633280000000028</v>
      </c>
    </row>
    <row r="65" spans="1:47">
      <c r="A65" t="s">
        <v>108</v>
      </c>
      <c r="B65">
        <f t="shared" ref="B65:K66" si="85">G$52+$E57</f>
        <v>21.969999999999995</v>
      </c>
      <c r="C65">
        <f t="shared" si="85"/>
        <v>22.009999999999998</v>
      </c>
      <c r="D65">
        <f t="shared" si="85"/>
        <v>21.989999999999995</v>
      </c>
      <c r="E65">
        <f t="shared" si="85"/>
        <v>22.119999999999997</v>
      </c>
      <c r="F65">
        <f t="shared" si="85"/>
        <v>22.549999999999997</v>
      </c>
      <c r="G65">
        <f t="shared" si="85"/>
        <v>22.979999999999997</v>
      </c>
      <c r="H65">
        <f t="shared" si="85"/>
        <v>23.239999999999995</v>
      </c>
      <c r="I65">
        <f t="shared" si="85"/>
        <v>23.389999999999997</v>
      </c>
      <c r="J65">
        <f t="shared" si="85"/>
        <v>23.559999999999995</v>
      </c>
      <c r="K65">
        <f t="shared" si="85"/>
        <v>23.689999999999998</v>
      </c>
      <c r="L65">
        <f t="shared" ref="L65:U66" si="86">Q$52+$E57</f>
        <v>23.859999999999996</v>
      </c>
      <c r="M65">
        <f t="shared" si="86"/>
        <v>24.029999999999998</v>
      </c>
      <c r="N65">
        <f t="shared" si="86"/>
        <v>23.989999999999995</v>
      </c>
      <c r="O65">
        <f t="shared" si="86"/>
        <v>23.869999999999997</v>
      </c>
      <c r="P65">
        <f t="shared" si="86"/>
        <v>23.849999999999994</v>
      </c>
      <c r="Q65">
        <f t="shared" ref="Q65:Q66" si="87">V$52+$E57</f>
        <v>23.809999999999995</v>
      </c>
      <c r="R65">
        <f t="shared" ref="R65:R66" si="88">W$52+$E57</f>
        <v>23.969999999999995</v>
      </c>
      <c r="S65">
        <f t="shared" ref="S65:S66" si="89">X$52+$E57</f>
        <v>24.119999999999997</v>
      </c>
      <c r="T65">
        <f t="shared" ref="T65:T66" si="90">Y$52+$E57</f>
        <v>24.269999999999996</v>
      </c>
      <c r="U65">
        <f t="shared" ref="U65:U66" si="91">Z$52+$E57</f>
        <v>24.419999999999995</v>
      </c>
      <c r="V65">
        <f t="shared" ref="V65:V66" si="92">AA$52+$E57</f>
        <v>24.569999999999997</v>
      </c>
      <c r="W65">
        <f t="shared" ref="W65:W66" si="93">AB$52+$E57</f>
        <v>24.739999999999995</v>
      </c>
      <c r="X65">
        <f t="shared" ref="X65:X66" si="94">AC$52+$E57</f>
        <v>24.909999999999997</v>
      </c>
      <c r="Y65">
        <f t="shared" ref="Y65:Y66" si="95">AD$52+$E57</f>
        <v>25.119999999999997</v>
      </c>
      <c r="Z65">
        <f t="shared" ref="Z65:Z66" si="96">AE$52+$E57</f>
        <v>25.469999999999995</v>
      </c>
      <c r="AA65">
        <f t="shared" ref="AA65:AA66" si="97">AF$52+$E57</f>
        <v>25.869999999999997</v>
      </c>
      <c r="AB65">
        <f t="shared" ref="AB65:AB66" si="98">AG$52+$E57</f>
        <v>26.025999999999996</v>
      </c>
      <c r="AC65">
        <f t="shared" ref="AC65:AC66" si="99">AH$52+$E57</f>
        <v>26.181999999999995</v>
      </c>
      <c r="AD65">
        <f t="shared" ref="AD65:AD66" si="100">AI$52+$E57</f>
        <v>26.337999999999997</v>
      </c>
      <c r="AE65">
        <f t="shared" ref="AE65:AE66" si="101">AJ$52+$E57</f>
        <v>26.494</v>
      </c>
      <c r="AF65">
        <f t="shared" ref="AF65:AF66" si="102">AK$52+$E57</f>
        <v>26.65</v>
      </c>
      <c r="AG65">
        <f t="shared" ref="AG65:AG66" si="103">AL$52+$E57</f>
        <v>26.805999999999997</v>
      </c>
      <c r="AH65">
        <f t="shared" ref="AH65:AH66" si="104">AM$52+$E57</f>
        <v>26.962</v>
      </c>
      <c r="AI65">
        <f t="shared" ref="AI65:AI66" si="105">AN$52+$E57</f>
        <v>27.118000000000002</v>
      </c>
      <c r="AJ65">
        <f t="shared" ref="AJ65:AJ66" si="106">AO$52+$E57</f>
        <v>27.274000000000001</v>
      </c>
      <c r="AK65">
        <f t="shared" ref="AK65:AK66" si="107">AP$52+$E57</f>
        <v>27.43</v>
      </c>
      <c r="AL65">
        <f t="shared" ref="AL65:AL66" si="108">AQ$52+$E57</f>
        <v>27.586000000000002</v>
      </c>
      <c r="AM65">
        <f t="shared" ref="AM65:AM66" si="109">AR$52+$E57</f>
        <v>27.742000000000004</v>
      </c>
      <c r="AN65">
        <f t="shared" ref="AN65:AN66" si="110">AS$52+$E57</f>
        <v>27.898000000000003</v>
      </c>
      <c r="AO65">
        <f t="shared" ref="AO65:AO66" si="111">AT$52+$E57</f>
        <v>28.054000000000002</v>
      </c>
      <c r="AP65">
        <f t="shared" ref="AP65:AP66" si="112">AU$52+$E57</f>
        <v>28.210000000000004</v>
      </c>
      <c r="AQ65">
        <f t="shared" ref="AQ65:AQ66" si="113">AV$52+$E57</f>
        <v>28.366000000000007</v>
      </c>
      <c r="AR65">
        <f t="shared" ref="AR65:AR66" si="114">AW$52+$E57</f>
        <v>28.522000000000006</v>
      </c>
      <c r="AS65">
        <f t="shared" ref="AS65:AS66" si="115">AX$52+$E57</f>
        <v>28.678000000000004</v>
      </c>
      <c r="AT65">
        <f t="shared" ref="AT65:AT66" si="116">AY$52+$E57</f>
        <v>28.834000000000007</v>
      </c>
      <c r="AU65">
        <f t="shared" ref="AU65:AU66" si="117">AZ$52+$E57</f>
        <v>28.990000000000009</v>
      </c>
    </row>
    <row r="66" spans="1:47">
      <c r="A66" t="s">
        <v>109</v>
      </c>
      <c r="B66">
        <f t="shared" si="85"/>
        <v>9.5770632111439618</v>
      </c>
      <c r="C66">
        <f t="shared" si="85"/>
        <v>9.6170632111439609</v>
      </c>
      <c r="D66">
        <f t="shared" si="85"/>
        <v>9.5970632111439613</v>
      </c>
      <c r="E66">
        <f t="shared" si="85"/>
        <v>9.7270632111439621</v>
      </c>
      <c r="F66">
        <f t="shared" si="85"/>
        <v>10.157063211143962</v>
      </c>
      <c r="G66">
        <f t="shared" si="85"/>
        <v>10.587063211143962</v>
      </c>
      <c r="H66">
        <f t="shared" si="85"/>
        <v>10.847063211143961</v>
      </c>
      <c r="I66">
        <f t="shared" si="85"/>
        <v>10.997063211143962</v>
      </c>
      <c r="J66">
        <f t="shared" si="85"/>
        <v>11.167063211143962</v>
      </c>
      <c r="K66">
        <f t="shared" si="85"/>
        <v>11.297063211143961</v>
      </c>
      <c r="L66">
        <f t="shared" si="86"/>
        <v>11.467063211143962</v>
      </c>
      <c r="M66">
        <f t="shared" si="86"/>
        <v>11.637063211143962</v>
      </c>
      <c r="N66">
        <f t="shared" si="86"/>
        <v>11.597063211143961</v>
      </c>
      <c r="O66">
        <f t="shared" si="86"/>
        <v>11.477063211143962</v>
      </c>
      <c r="P66">
        <f t="shared" si="86"/>
        <v>11.457063211143961</v>
      </c>
      <c r="Q66">
        <f t="shared" si="87"/>
        <v>11.417063211143962</v>
      </c>
      <c r="R66">
        <f t="shared" si="88"/>
        <v>11.577063211143962</v>
      </c>
      <c r="S66">
        <f t="shared" si="89"/>
        <v>11.727063211143962</v>
      </c>
      <c r="T66">
        <f t="shared" si="90"/>
        <v>11.877063211143962</v>
      </c>
      <c r="U66">
        <f t="shared" si="91"/>
        <v>12.027063211143961</v>
      </c>
      <c r="V66">
        <f t="shared" si="92"/>
        <v>12.177063211143963</v>
      </c>
      <c r="W66">
        <f t="shared" si="93"/>
        <v>12.347063211143961</v>
      </c>
      <c r="X66">
        <f t="shared" si="94"/>
        <v>12.517063211143963</v>
      </c>
      <c r="Y66">
        <f t="shared" si="95"/>
        <v>12.727063211143962</v>
      </c>
      <c r="Z66">
        <f t="shared" si="96"/>
        <v>13.077063211143962</v>
      </c>
      <c r="AA66">
        <f t="shared" si="97"/>
        <v>13.47706321114396</v>
      </c>
      <c r="AB66">
        <f t="shared" si="98"/>
        <v>13.633063211143963</v>
      </c>
      <c r="AC66">
        <f t="shared" si="99"/>
        <v>13.789063211143961</v>
      </c>
      <c r="AD66">
        <f t="shared" si="100"/>
        <v>13.945063211143964</v>
      </c>
      <c r="AE66">
        <f t="shared" si="101"/>
        <v>14.101063211143963</v>
      </c>
      <c r="AF66">
        <f t="shared" si="102"/>
        <v>14.257063211143965</v>
      </c>
      <c r="AG66">
        <f t="shared" si="103"/>
        <v>14.413063211143964</v>
      </c>
      <c r="AH66">
        <f t="shared" si="104"/>
        <v>14.569063211143966</v>
      </c>
      <c r="AI66">
        <f t="shared" si="105"/>
        <v>14.725063211143965</v>
      </c>
      <c r="AJ66">
        <f t="shared" si="106"/>
        <v>14.881063211143967</v>
      </c>
      <c r="AK66">
        <f t="shared" si="107"/>
        <v>15.037063211143966</v>
      </c>
      <c r="AL66">
        <f t="shared" si="108"/>
        <v>15.193063211143969</v>
      </c>
      <c r="AM66">
        <f t="shared" si="109"/>
        <v>15.349063211143967</v>
      </c>
      <c r="AN66">
        <f t="shared" si="110"/>
        <v>15.50506321114397</v>
      </c>
      <c r="AO66">
        <f t="shared" si="111"/>
        <v>15.661063211143968</v>
      </c>
      <c r="AP66">
        <f t="shared" si="112"/>
        <v>15.817063211143971</v>
      </c>
      <c r="AQ66">
        <f t="shared" si="113"/>
        <v>15.97306321114397</v>
      </c>
      <c r="AR66">
        <f t="shared" si="114"/>
        <v>16.129063211143972</v>
      </c>
      <c r="AS66">
        <f t="shared" si="115"/>
        <v>16.285063211143971</v>
      </c>
      <c r="AT66">
        <f t="shared" si="116"/>
        <v>16.441063211143973</v>
      </c>
      <c r="AU66">
        <f t="shared" si="117"/>
        <v>16.597063211143972</v>
      </c>
    </row>
    <row r="67" spans="1:47">
      <c r="A67" t="s">
        <v>28</v>
      </c>
      <c r="B67">
        <f t="shared" ref="B67:AA67" si="118">G53+$B42</f>
        <v>2.5509999999999997</v>
      </c>
      <c r="C67">
        <f t="shared" si="118"/>
        <v>2.5409999999999999</v>
      </c>
      <c r="D67">
        <f t="shared" si="118"/>
        <v>2.5609999999999999</v>
      </c>
      <c r="E67">
        <f t="shared" si="118"/>
        <v>2.5909999999999997</v>
      </c>
      <c r="F67">
        <f t="shared" si="118"/>
        <v>2.6309999999999998</v>
      </c>
      <c r="G67">
        <f t="shared" si="118"/>
        <v>2.6709999999999998</v>
      </c>
      <c r="H67">
        <f t="shared" si="118"/>
        <v>2.7109999999999999</v>
      </c>
      <c r="I67">
        <f t="shared" si="118"/>
        <v>2.7410000000000001</v>
      </c>
      <c r="J67">
        <f t="shared" si="118"/>
        <v>2.7709999999999999</v>
      </c>
      <c r="K67">
        <f t="shared" si="118"/>
        <v>2.8009999999999997</v>
      </c>
      <c r="L67">
        <f t="shared" si="118"/>
        <v>2.831</v>
      </c>
      <c r="M67">
        <f t="shared" si="118"/>
        <v>2.8609999999999998</v>
      </c>
      <c r="N67">
        <f t="shared" si="118"/>
        <v>2.891</v>
      </c>
      <c r="O67">
        <f t="shared" si="118"/>
        <v>2.911</v>
      </c>
      <c r="P67">
        <f t="shared" si="118"/>
        <v>2.9409999999999998</v>
      </c>
      <c r="Q67">
        <f t="shared" ref="Q67" si="119">V53+$B42</f>
        <v>2.9609999999999999</v>
      </c>
      <c r="R67">
        <f t="shared" ref="R67" si="120">W53+$B42</f>
        <v>2.9809999999999999</v>
      </c>
      <c r="S67">
        <f t="shared" ref="S67" si="121">X53+$B42</f>
        <v>3.0009999999999999</v>
      </c>
      <c r="T67">
        <f t="shared" ref="T67" si="122">Y53+$B42</f>
        <v>3.0310000000000001</v>
      </c>
      <c r="U67">
        <f t="shared" ref="U67" si="123">Z53+$B42</f>
        <v>3.0509999999999997</v>
      </c>
      <c r="V67">
        <f t="shared" ref="V67" si="124">AA53+$B42</f>
        <v>3.081</v>
      </c>
      <c r="W67">
        <f t="shared" ref="W67" si="125">AB53+$B42</f>
        <v>3.101</v>
      </c>
      <c r="X67">
        <f t="shared" ref="X67" si="126">AC53+$B42</f>
        <v>3.1309999999999998</v>
      </c>
      <c r="Y67">
        <f t="shared" ref="Y67" si="127">AD53+$B42</f>
        <v>3.1509999999999998</v>
      </c>
      <c r="Z67">
        <f t="shared" ref="Z67" si="128">AE53+$B42</f>
        <v>3.181</v>
      </c>
      <c r="AA67">
        <f t="shared" ref="AA67" si="129">AF53+$B42</f>
        <v>3.2109999999999999</v>
      </c>
      <c r="AB67">
        <f t="shared" ref="AB67" si="130">AG53+$B42</f>
        <v>3.2374000000000001</v>
      </c>
      <c r="AC67">
        <f t="shared" ref="AC67" si="131">AH53+$B42</f>
        <v>3.2638000000000003</v>
      </c>
      <c r="AD67">
        <f t="shared" ref="AD67" si="132">AI53+$B42</f>
        <v>3.2902000000000005</v>
      </c>
      <c r="AE67">
        <f t="shared" ref="AE67" si="133">AJ53+$B42</f>
        <v>3.3166000000000007</v>
      </c>
      <c r="AF67">
        <f t="shared" ref="AF67" si="134">AK53+$B42</f>
        <v>3.3430000000000009</v>
      </c>
      <c r="AG67">
        <f t="shared" ref="AG67" si="135">AL53+$B42</f>
        <v>3.3694000000000011</v>
      </c>
      <c r="AH67">
        <f t="shared" ref="AH67" si="136">AM53+$B42</f>
        <v>3.3958000000000013</v>
      </c>
      <c r="AI67">
        <f t="shared" ref="AI67" si="137">AN53+$B42</f>
        <v>3.4222000000000015</v>
      </c>
      <c r="AJ67">
        <f t="shared" ref="AJ67" si="138">AO53+$B42</f>
        <v>3.4486000000000017</v>
      </c>
      <c r="AK67">
        <f t="shared" ref="AK67" si="139">AP53+$B42</f>
        <v>3.4750000000000019</v>
      </c>
      <c r="AL67">
        <f t="shared" ref="AL67" si="140">AQ53+$B42</f>
        <v>3.5014000000000021</v>
      </c>
      <c r="AM67">
        <f t="shared" ref="AM67" si="141">AR53+$B42</f>
        <v>3.5278000000000023</v>
      </c>
      <c r="AN67">
        <f t="shared" ref="AN67" si="142">AS53+$B42</f>
        <v>3.5542000000000025</v>
      </c>
      <c r="AO67">
        <f t="shared" ref="AO67" si="143">AT53+$B42</f>
        <v>3.5806000000000027</v>
      </c>
      <c r="AP67">
        <f t="shared" ref="AP67" si="144">AU53+$B42</f>
        <v>3.6070000000000029</v>
      </c>
      <c r="AQ67">
        <f t="shared" ref="AQ67" si="145">AV53+$B42</f>
        <v>3.6334000000000031</v>
      </c>
      <c r="AR67">
        <f t="shared" ref="AR67" si="146">AW53+$B42</f>
        <v>3.6598000000000033</v>
      </c>
      <c r="AS67">
        <f t="shared" ref="AS67" si="147">AX53+$B42</f>
        <v>3.6862000000000035</v>
      </c>
      <c r="AT67">
        <f t="shared" ref="AT67" si="148">AY53+$B42</f>
        <v>3.7126000000000037</v>
      </c>
      <c r="AU67">
        <f t="shared" ref="AU67" si="149">AZ53+$B42</f>
        <v>3.7390000000000039</v>
      </c>
    </row>
    <row r="68" spans="1:47">
      <c r="A68" t="s">
        <v>106</v>
      </c>
      <c r="B68">
        <f>G47</f>
        <v>13</v>
      </c>
      <c r="C68">
        <f t="shared" ref="C68:AU68" si="150">H47</f>
        <v>13</v>
      </c>
      <c r="D68">
        <f t="shared" si="150"/>
        <v>13</v>
      </c>
      <c r="E68">
        <f t="shared" si="150"/>
        <v>13</v>
      </c>
      <c r="F68">
        <f t="shared" si="150"/>
        <v>13</v>
      </c>
      <c r="G68">
        <f t="shared" si="150"/>
        <v>13</v>
      </c>
      <c r="H68">
        <f t="shared" si="150"/>
        <v>13</v>
      </c>
      <c r="I68">
        <f t="shared" si="150"/>
        <v>13</v>
      </c>
      <c r="J68">
        <f t="shared" si="150"/>
        <v>13</v>
      </c>
      <c r="K68">
        <f t="shared" si="150"/>
        <v>13</v>
      </c>
      <c r="L68">
        <f t="shared" si="150"/>
        <v>13</v>
      </c>
      <c r="M68">
        <f t="shared" si="150"/>
        <v>13</v>
      </c>
      <c r="N68">
        <f t="shared" si="150"/>
        <v>13</v>
      </c>
      <c r="O68">
        <f t="shared" si="150"/>
        <v>13</v>
      </c>
      <c r="P68">
        <f t="shared" si="150"/>
        <v>13</v>
      </c>
      <c r="Q68">
        <f t="shared" ref="Q68" si="151">V47</f>
        <v>13</v>
      </c>
      <c r="R68">
        <f t="shared" ref="R68" si="152">W47</f>
        <v>13</v>
      </c>
      <c r="S68">
        <f t="shared" ref="S68" si="153">X47</f>
        <v>13</v>
      </c>
      <c r="T68">
        <f t="shared" ref="T68" si="154">Y47</f>
        <v>13</v>
      </c>
      <c r="U68">
        <f t="shared" ref="U68" si="155">Z47</f>
        <v>13</v>
      </c>
      <c r="V68">
        <f t="shared" ref="V68" si="156">AA47</f>
        <v>13</v>
      </c>
      <c r="W68">
        <f t="shared" ref="W68" si="157">AB47</f>
        <v>13</v>
      </c>
      <c r="X68">
        <f t="shared" ref="X68" si="158">AC47</f>
        <v>13</v>
      </c>
      <c r="Y68">
        <f t="shared" ref="Y68" si="159">AD47</f>
        <v>13</v>
      </c>
      <c r="Z68">
        <f t="shared" ref="Z68" si="160">AE47</f>
        <v>13</v>
      </c>
      <c r="AA68">
        <f t="shared" ref="AA68" si="161">AF47</f>
        <v>13</v>
      </c>
      <c r="AB68">
        <f t="shared" ref="AB68" si="162">AG47</f>
        <v>13</v>
      </c>
      <c r="AC68">
        <f t="shared" ref="AC68" si="163">AH47</f>
        <v>13</v>
      </c>
      <c r="AD68">
        <f t="shared" ref="AD68" si="164">AI47</f>
        <v>13</v>
      </c>
      <c r="AE68">
        <f t="shared" ref="AE68" si="165">AJ47</f>
        <v>13</v>
      </c>
      <c r="AF68">
        <f t="shared" ref="AF68" si="166">AK47</f>
        <v>13</v>
      </c>
      <c r="AG68">
        <f t="shared" ref="AG68" si="167">AL47</f>
        <v>13</v>
      </c>
      <c r="AH68">
        <f t="shared" ref="AH68" si="168">AM47</f>
        <v>13</v>
      </c>
      <c r="AI68">
        <f t="shared" ref="AI68" si="169">AN47</f>
        <v>13</v>
      </c>
      <c r="AJ68">
        <f t="shared" ref="AJ68" si="170">AO47</f>
        <v>13</v>
      </c>
      <c r="AK68">
        <f t="shared" ref="AK68" si="171">AP47</f>
        <v>13</v>
      </c>
      <c r="AL68">
        <f t="shared" ref="AL68" si="172">AQ47</f>
        <v>13</v>
      </c>
      <c r="AM68">
        <f t="shared" ref="AM68" si="173">AR47</f>
        <v>13</v>
      </c>
      <c r="AN68">
        <f t="shared" ref="AN68" si="174">AS47</f>
        <v>13</v>
      </c>
      <c r="AO68">
        <f t="shared" ref="AO68" si="175">AT47</f>
        <v>13</v>
      </c>
      <c r="AP68">
        <f t="shared" ref="AP68" si="176">AU47</f>
        <v>13</v>
      </c>
      <c r="AQ68">
        <f t="shared" ref="AQ68" si="177">AV47</f>
        <v>13</v>
      </c>
      <c r="AR68">
        <f t="shared" ref="AR68" si="178">AW47</f>
        <v>13</v>
      </c>
      <c r="AS68">
        <f t="shared" ref="AS68" si="179">AX47</f>
        <v>13</v>
      </c>
      <c r="AT68">
        <f t="shared" ref="AT68" si="180">AY47</f>
        <v>13</v>
      </c>
      <c r="AU68">
        <f t="shared" ref="AU68" si="181">AZ47</f>
        <v>13</v>
      </c>
    </row>
    <row r="69" spans="1:47">
      <c r="A69" t="s">
        <v>23</v>
      </c>
      <c r="B69">
        <f>G50+$B43</f>
        <v>25.817322409247705</v>
      </c>
      <c r="C69">
        <f t="shared" ref="C69:AA69" si="182">H50+$B43</f>
        <v>27.377322409247704</v>
      </c>
      <c r="D69">
        <f t="shared" si="182"/>
        <v>27.437322409247702</v>
      </c>
      <c r="E69">
        <f t="shared" si="182"/>
        <v>27.447322409247704</v>
      </c>
      <c r="F69">
        <f t="shared" si="182"/>
        <v>27.737322409247703</v>
      </c>
      <c r="G69">
        <f t="shared" si="182"/>
        <v>27.997322409247705</v>
      </c>
      <c r="H69">
        <f t="shared" si="182"/>
        <v>28.387322409247705</v>
      </c>
      <c r="I69">
        <f t="shared" si="182"/>
        <v>28.797322409247702</v>
      </c>
      <c r="J69">
        <f t="shared" si="182"/>
        <v>29.237322409247703</v>
      </c>
      <c r="K69">
        <f t="shared" si="182"/>
        <v>29.677322409247704</v>
      </c>
      <c r="L69">
        <f t="shared" si="182"/>
        <v>30.147322409247703</v>
      </c>
      <c r="M69">
        <f t="shared" si="182"/>
        <v>30.647322409247703</v>
      </c>
      <c r="N69">
        <f t="shared" si="182"/>
        <v>31.167322409247703</v>
      </c>
      <c r="O69">
        <f t="shared" si="182"/>
        <v>31.717322409247704</v>
      </c>
      <c r="P69">
        <f t="shared" si="182"/>
        <v>32.267322409247704</v>
      </c>
      <c r="Q69">
        <f t="shared" ref="Q69" si="183">V50+$B43</f>
        <v>32.847322409247703</v>
      </c>
      <c r="R69">
        <f t="shared" ref="R69" si="184">W50+$B43</f>
        <v>33.447322409247704</v>
      </c>
      <c r="S69">
        <f t="shared" ref="S69" si="185">X50+$B43</f>
        <v>34.037322409247707</v>
      </c>
      <c r="T69">
        <f t="shared" ref="T69" si="186">Y50+$B43</f>
        <v>34.657322409247705</v>
      </c>
      <c r="U69">
        <f t="shared" ref="U69" si="187">Z50+$B43</f>
        <v>35.287322409247707</v>
      </c>
      <c r="V69">
        <f t="shared" ref="V69" si="188">AA50+$B43</f>
        <v>35.927322409247708</v>
      </c>
      <c r="W69">
        <f t="shared" ref="W69" si="189">AB50+$B43</f>
        <v>36.587322409247705</v>
      </c>
      <c r="X69">
        <f t="shared" ref="X69" si="190">AC50+$B43</f>
        <v>37.267322409247704</v>
      </c>
      <c r="Y69">
        <f t="shared" ref="Y69" si="191">AD50+$B43</f>
        <v>38.027322409247702</v>
      </c>
      <c r="Z69">
        <f t="shared" ref="Z69" si="192">AE50+$B43</f>
        <v>38.737322409247703</v>
      </c>
      <c r="AA69">
        <f t="shared" ref="AA69" si="193">AF50+$B43</f>
        <v>39.437322409247699</v>
      </c>
      <c r="AB69">
        <f t="shared" ref="AB69" si="194">AG50+$B43</f>
        <v>39.982122409247701</v>
      </c>
      <c r="AC69">
        <f t="shared" ref="AC69" si="195">AH50+$B43</f>
        <v>40.526922409247703</v>
      </c>
      <c r="AD69">
        <f t="shared" ref="AD69" si="196">AI50+$B43</f>
        <v>41.071722409247698</v>
      </c>
      <c r="AE69">
        <f t="shared" ref="AE69" si="197">AJ50+$B43</f>
        <v>41.616522409247693</v>
      </c>
      <c r="AF69">
        <f t="shared" ref="AF69" si="198">AK50+$B43</f>
        <v>42.161322409247703</v>
      </c>
      <c r="AG69">
        <f t="shared" ref="AG69" si="199">AL50+$B43</f>
        <v>42.706122409247698</v>
      </c>
      <c r="AH69">
        <f t="shared" ref="AH69" si="200">AM50+$B43</f>
        <v>43.250922409247707</v>
      </c>
      <c r="AI69">
        <f t="shared" ref="AI69" si="201">AN50+$B43</f>
        <v>43.795722409247702</v>
      </c>
      <c r="AJ69">
        <f t="shared" ref="AJ69" si="202">AO50+$B43</f>
        <v>44.340522409247711</v>
      </c>
      <c r="AK69">
        <f t="shared" ref="AK69" si="203">AP50+$B43</f>
        <v>44.885322409247706</v>
      </c>
      <c r="AL69">
        <f t="shared" ref="AL69" si="204">AQ50+$B43</f>
        <v>45.430122409247716</v>
      </c>
      <c r="AM69">
        <f t="shared" ref="AM69" si="205">AR50+$B43</f>
        <v>45.974922409247711</v>
      </c>
      <c r="AN69">
        <f t="shared" ref="AN69" si="206">AS50+$B43</f>
        <v>46.51972240924772</v>
      </c>
      <c r="AO69">
        <f t="shared" ref="AO69" si="207">AT50+$B43</f>
        <v>47.064522409247715</v>
      </c>
      <c r="AP69">
        <f t="shared" ref="AP69" si="208">AU50+$B43</f>
        <v>47.609322409247724</v>
      </c>
      <c r="AQ69">
        <f t="shared" ref="AQ69" si="209">AV50+$B43</f>
        <v>48.154122409247719</v>
      </c>
      <c r="AR69">
        <f t="shared" ref="AR69" si="210">AW50+$B43</f>
        <v>48.698922409247729</v>
      </c>
      <c r="AS69">
        <f t="shared" ref="AS69" si="211">AX50+$B43</f>
        <v>49.243722409247724</v>
      </c>
      <c r="AT69">
        <f t="shared" ref="AT69" si="212">AY50+$B43</f>
        <v>49.788522409247733</v>
      </c>
      <c r="AU69">
        <f t="shared" ref="AU69" si="213">AZ50+$B43</f>
        <v>50.333322409247728</v>
      </c>
    </row>
    <row r="71" spans="1:47">
      <c r="A71" t="s">
        <v>101</v>
      </c>
      <c r="B71">
        <f>B66+4.95</f>
        <v>14.527063211143961</v>
      </c>
      <c r="C71">
        <f t="shared" ref="C71:AA71" si="214">C66+4.95</f>
        <v>14.56706321114396</v>
      </c>
      <c r="D71">
        <f t="shared" si="214"/>
        <v>14.547063211143961</v>
      </c>
      <c r="E71">
        <f t="shared" si="214"/>
        <v>14.677063211143963</v>
      </c>
      <c r="F71">
        <f t="shared" si="214"/>
        <v>15.107063211143963</v>
      </c>
      <c r="G71">
        <f t="shared" si="214"/>
        <v>15.537063211143963</v>
      </c>
      <c r="H71">
        <f t="shared" si="214"/>
        <v>15.797063211143961</v>
      </c>
      <c r="I71">
        <f t="shared" si="214"/>
        <v>15.947063211143963</v>
      </c>
      <c r="J71">
        <f t="shared" si="214"/>
        <v>16.117063211143961</v>
      </c>
      <c r="K71">
        <f t="shared" si="214"/>
        <v>16.24706321114396</v>
      </c>
      <c r="L71">
        <f t="shared" si="214"/>
        <v>16.417063211143962</v>
      </c>
      <c r="M71">
        <f t="shared" si="214"/>
        <v>16.587063211143963</v>
      </c>
      <c r="N71">
        <f t="shared" si="214"/>
        <v>16.547063211143961</v>
      </c>
      <c r="O71">
        <f t="shared" si="214"/>
        <v>16.427063211143963</v>
      </c>
      <c r="P71">
        <f t="shared" si="214"/>
        <v>16.40706321114396</v>
      </c>
      <c r="Q71">
        <f t="shared" ref="Q71:AU71" si="215">Q66+4.95</f>
        <v>16.367063211143961</v>
      </c>
      <c r="R71">
        <f t="shared" si="215"/>
        <v>16.527063211143961</v>
      </c>
      <c r="S71">
        <f t="shared" si="215"/>
        <v>16.677063211143963</v>
      </c>
      <c r="T71">
        <f t="shared" si="215"/>
        <v>16.827063211143962</v>
      </c>
      <c r="U71">
        <f t="shared" si="215"/>
        <v>16.97706321114396</v>
      </c>
      <c r="V71">
        <f t="shared" si="215"/>
        <v>17.127063211143962</v>
      </c>
      <c r="W71">
        <f t="shared" si="215"/>
        <v>17.297063211143961</v>
      </c>
      <c r="X71">
        <f t="shared" si="215"/>
        <v>17.467063211143962</v>
      </c>
      <c r="Y71">
        <f t="shared" si="215"/>
        <v>17.677063211143963</v>
      </c>
      <c r="Z71">
        <f t="shared" si="215"/>
        <v>18.027063211143961</v>
      </c>
      <c r="AA71">
        <f t="shared" si="215"/>
        <v>18.42706321114396</v>
      </c>
      <c r="AB71">
        <f t="shared" si="215"/>
        <v>18.583063211143962</v>
      </c>
      <c r="AC71">
        <f t="shared" si="215"/>
        <v>18.739063211143961</v>
      </c>
      <c r="AD71">
        <f t="shared" si="215"/>
        <v>18.895063211143963</v>
      </c>
      <c r="AE71">
        <f t="shared" si="215"/>
        <v>19.051063211143962</v>
      </c>
      <c r="AF71">
        <f t="shared" si="215"/>
        <v>19.207063211143964</v>
      </c>
      <c r="AG71">
        <f t="shared" si="215"/>
        <v>19.363063211143963</v>
      </c>
      <c r="AH71">
        <f t="shared" si="215"/>
        <v>19.519063211143965</v>
      </c>
      <c r="AI71">
        <f t="shared" si="215"/>
        <v>19.675063211143964</v>
      </c>
      <c r="AJ71">
        <f t="shared" si="215"/>
        <v>19.831063211143967</v>
      </c>
      <c r="AK71">
        <f t="shared" si="215"/>
        <v>19.987063211143965</v>
      </c>
      <c r="AL71">
        <f t="shared" si="215"/>
        <v>20.143063211143968</v>
      </c>
      <c r="AM71">
        <f t="shared" si="215"/>
        <v>20.299063211143967</v>
      </c>
      <c r="AN71">
        <f t="shared" si="215"/>
        <v>20.455063211143969</v>
      </c>
      <c r="AO71">
        <f t="shared" si="215"/>
        <v>20.611063211143968</v>
      </c>
      <c r="AP71">
        <f t="shared" si="215"/>
        <v>20.76706321114397</v>
      </c>
      <c r="AQ71">
        <f t="shared" si="215"/>
        <v>20.923063211143969</v>
      </c>
      <c r="AR71">
        <f t="shared" si="215"/>
        <v>21.079063211143971</v>
      </c>
      <c r="AS71">
        <f t="shared" si="215"/>
        <v>21.23506321114397</v>
      </c>
      <c r="AT71">
        <f t="shared" si="215"/>
        <v>21.391063211143972</v>
      </c>
      <c r="AU71">
        <f t="shared" si="215"/>
        <v>21.547063211143971</v>
      </c>
    </row>
    <row r="73" spans="1:47">
      <c r="B73" t="s">
        <v>112</v>
      </c>
      <c r="D73" t="s">
        <v>117</v>
      </c>
    </row>
    <row r="74" spans="1:47">
      <c r="A74" t="s">
        <v>110</v>
      </c>
      <c r="B74" t="s">
        <v>111</v>
      </c>
      <c r="C74" t="s">
        <v>114</v>
      </c>
      <c r="D74" t="s">
        <v>118</v>
      </c>
    </row>
    <row r="75" spans="1:47">
      <c r="A75" t="str">
        <f>A62</f>
        <v>Diesel</v>
      </c>
      <c r="B75">
        <v>3</v>
      </c>
      <c r="C75">
        <v>0</v>
      </c>
      <c r="D75">
        <v>73.2</v>
      </c>
    </row>
    <row r="76" spans="1:47">
      <c r="A76" t="str">
        <f t="shared" ref="A76:A82" si="216">A63</f>
        <v>LSFO</v>
      </c>
      <c r="B76">
        <v>2</v>
      </c>
      <c r="C76">
        <v>0</v>
      </c>
      <c r="D76">
        <v>78.8</v>
      </c>
    </row>
    <row r="77" spans="1:47">
      <c r="A77" t="str">
        <f t="shared" si="216"/>
        <v>LSFO-Diesel-Blend</v>
      </c>
      <c r="B77">
        <v>2</v>
      </c>
      <c r="C77">
        <v>0</v>
      </c>
      <c r="D77">
        <f>0.4*D75+0.6*D76</f>
        <v>76.56</v>
      </c>
    </row>
    <row r="78" spans="1:47">
      <c r="A78" t="str">
        <f t="shared" si="216"/>
        <v>LNG, container</v>
      </c>
      <c r="B78">
        <v>4</v>
      </c>
      <c r="C78">
        <v>0</v>
      </c>
      <c r="D78">
        <v>53.1</v>
      </c>
    </row>
    <row r="79" spans="1:47">
      <c r="A79" t="str">
        <f t="shared" si="216"/>
        <v>LNG, bulk</v>
      </c>
      <c r="B79">
        <v>4</v>
      </c>
      <c r="C79">
        <v>0</v>
      </c>
      <c r="D79">
        <v>53.1</v>
      </c>
    </row>
    <row r="80" spans="1:47">
      <c r="A80" t="str">
        <f t="shared" si="216"/>
        <v>Coal</v>
      </c>
      <c r="B80">
        <v>1</v>
      </c>
      <c r="C80">
        <v>0</v>
      </c>
      <c r="D80">
        <v>95.3</v>
      </c>
    </row>
    <row r="81" spans="1:4">
      <c r="A81" t="str">
        <f t="shared" si="216"/>
        <v>Pellet-Biomass</v>
      </c>
      <c r="B81">
        <v>1</v>
      </c>
      <c r="C81">
        <v>1</v>
      </c>
      <c r="D81">
        <v>0</v>
      </c>
    </row>
    <row r="82" spans="1:4">
      <c r="A82" t="str">
        <f t="shared" si="216"/>
        <v>Biodiesel</v>
      </c>
      <c r="B82">
        <v>3</v>
      </c>
      <c r="C82">
        <v>1</v>
      </c>
      <c r="D82">
        <v>0</v>
      </c>
    </row>
    <row r="83" spans="1:4">
      <c r="A83" t="s">
        <v>113</v>
      </c>
      <c r="B83">
        <v>0</v>
      </c>
      <c r="C83">
        <v>1</v>
      </c>
      <c r="D83">
        <v>0</v>
      </c>
    </row>
    <row r="84" spans="1:4">
      <c r="A84" t="s">
        <v>115</v>
      </c>
      <c r="B84">
        <v>0</v>
      </c>
      <c r="C84">
        <v>1</v>
      </c>
      <c r="D84">
        <v>0</v>
      </c>
    </row>
    <row r="85" spans="1:4">
      <c r="A85" t="s">
        <v>116</v>
      </c>
      <c r="B85">
        <v>0</v>
      </c>
      <c r="C85">
        <v>1</v>
      </c>
      <c r="D85">
        <v>0</v>
      </c>
    </row>
    <row r="86" spans="1:4">
      <c r="A86" t="s">
        <v>27</v>
      </c>
      <c r="B86">
        <v>1.5</v>
      </c>
      <c r="C86">
        <v>1</v>
      </c>
      <c r="D86">
        <v>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LNG details</vt:lpstr>
      <vt:lpstr>2016 PSIP</vt:lpstr>
      <vt:lpstr>multi-fuel forecasts</vt:lpstr>
      <vt:lpstr>EIA AEO 2015</vt:lpstr>
      <vt:lpstr>EIA-derived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Matthias Fripp</cp:lastModifiedBy>
  <dcterms:created xsi:type="dcterms:W3CDTF">2015-09-08T10:44:36Z</dcterms:created>
  <dcterms:modified xsi:type="dcterms:W3CDTF">2016-07-21T08:49:09Z</dcterms:modified>
</cp:coreProperties>
</file>