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mc:AlternateContent xmlns:mc="http://schemas.openxmlformats.org/markup-compatibility/2006">
    <mc:Choice Requires="x15">
      <x15ac:absPath xmlns:x15ac="http://schemas.microsoft.com/office/spreadsheetml/2010/11/ac" url="/Users/matthias/Dropbox/Research/shared/Switch-Hawaii/Reference Docs/HECO Plans/"/>
    </mc:Choice>
  </mc:AlternateContent>
  <bookViews>
    <workbookView xWindow="5640" yWindow="460" windowWidth="19960" windowHeight="14780" tabRatio="500" activeTab="3"/>
  </bookViews>
  <sheets>
    <sheet name="LNG details" sheetId="1" r:id="rId1"/>
    <sheet name="multi-fuel forecasts" sheetId="2" r:id="rId2"/>
    <sheet name="EIA AEO 2015" sheetId="4" r:id="rId3"/>
    <sheet name="EIA-derived" sheetId="3" r:id="rId4"/>
  </sheets>
  <definedNames>
    <definedName name="Adjusted_EIA_Forecast">'EIA-derived'!$A$61:$AK$69</definedName>
    <definedName name="Fuel_Properties">'EIA-derived'!$A$74:$D$86</definedName>
    <definedName name="Fuel_Ranks">'EIA-derived'!$A$74:$B$82</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F50" i="3" l="1"/>
  <c r="G50" i="3"/>
  <c r="AR50" i="3"/>
  <c r="AG50" i="3"/>
  <c r="AH50" i="3"/>
  <c r="AI50" i="3"/>
  <c r="AJ50" i="3"/>
  <c r="AK50" i="3"/>
  <c r="AL50" i="3"/>
  <c r="AM50" i="3"/>
  <c r="AN50" i="3"/>
  <c r="AO50" i="3"/>
  <c r="AP50" i="3"/>
  <c r="B51" i="3"/>
  <c r="B52" i="3"/>
  <c r="G52" i="3"/>
  <c r="AP52" i="3"/>
  <c r="AO52" i="3"/>
  <c r="AN52" i="3"/>
  <c r="AM52" i="3"/>
  <c r="AL52" i="3"/>
  <c r="AK52" i="3"/>
  <c r="AJ52" i="3"/>
  <c r="AI52" i="3"/>
  <c r="AH52" i="3"/>
  <c r="AG52" i="3"/>
  <c r="AF52" i="3"/>
  <c r="AE50" i="3"/>
  <c r="AE52" i="3"/>
  <c r="AD50" i="3"/>
  <c r="AD52" i="3"/>
  <c r="AC50" i="3"/>
  <c r="AC52" i="3"/>
  <c r="AB50" i="3"/>
  <c r="AB52" i="3"/>
  <c r="AA50" i="3"/>
  <c r="AA52" i="3"/>
  <c r="Z50" i="3"/>
  <c r="Z52" i="3"/>
  <c r="Y50" i="3"/>
  <c r="Y52" i="3"/>
  <c r="X50" i="3"/>
  <c r="X52" i="3"/>
  <c r="W50" i="3"/>
  <c r="W52" i="3"/>
  <c r="V50" i="3"/>
  <c r="V52" i="3"/>
  <c r="U50" i="3"/>
  <c r="U52" i="3"/>
  <c r="T50" i="3"/>
  <c r="T52" i="3"/>
  <c r="S50" i="3"/>
  <c r="S52" i="3"/>
  <c r="R50" i="3"/>
  <c r="R52" i="3"/>
  <c r="Q50" i="3"/>
  <c r="Q52" i="3"/>
  <c r="P50" i="3"/>
  <c r="P52" i="3"/>
  <c r="O50" i="3"/>
  <c r="O52" i="3"/>
  <c r="N50" i="3"/>
  <c r="N52" i="3"/>
  <c r="M50" i="3"/>
  <c r="M52" i="3"/>
  <c r="L50" i="3"/>
  <c r="L52" i="3"/>
  <c r="K50" i="3"/>
  <c r="K52" i="3"/>
  <c r="J50" i="3"/>
  <c r="J52" i="3"/>
  <c r="I50" i="3"/>
  <c r="I52" i="3"/>
  <c r="AR52" i="3"/>
  <c r="H50" i="3"/>
  <c r="H52" i="3"/>
  <c r="AF51" i="3"/>
  <c r="G51" i="3"/>
  <c r="AR51" i="3"/>
  <c r="AG51" i="3"/>
  <c r="AH51" i="3"/>
  <c r="AI51" i="3"/>
  <c r="AJ51" i="3"/>
  <c r="AK51" i="3"/>
  <c r="AL51" i="3"/>
  <c r="AM51" i="3"/>
  <c r="AN51" i="3"/>
  <c r="AO51" i="3"/>
  <c r="AP51" i="3"/>
  <c r="B53" i="3"/>
  <c r="AF53" i="3"/>
  <c r="G53" i="3"/>
  <c r="AR53" i="3"/>
  <c r="AG53" i="3"/>
  <c r="AH53" i="3"/>
  <c r="AI53" i="3"/>
  <c r="AJ53" i="3"/>
  <c r="AK53" i="3"/>
  <c r="AL53" i="3"/>
  <c r="AM53" i="3"/>
  <c r="AN53" i="3"/>
  <c r="AO53" i="3"/>
  <c r="AP53" i="3"/>
  <c r="AS50" i="3"/>
  <c r="E50" i="3"/>
  <c r="F50" i="3"/>
  <c r="E51" i="3"/>
  <c r="F51" i="3"/>
  <c r="H51" i="3"/>
  <c r="I51" i="3"/>
  <c r="J51" i="3"/>
  <c r="K51" i="3"/>
  <c r="L51" i="3"/>
  <c r="M51" i="3"/>
  <c r="N51" i="3"/>
  <c r="O51" i="3"/>
  <c r="P51" i="3"/>
  <c r="Q51" i="3"/>
  <c r="R51" i="3"/>
  <c r="S51" i="3"/>
  <c r="T51" i="3"/>
  <c r="U51" i="3"/>
  <c r="V51" i="3"/>
  <c r="W51" i="3"/>
  <c r="X51" i="3"/>
  <c r="Y51" i="3"/>
  <c r="Z51" i="3"/>
  <c r="AA51" i="3"/>
  <c r="AB51" i="3"/>
  <c r="AC51" i="3"/>
  <c r="AD51" i="3"/>
  <c r="AE51" i="3"/>
  <c r="E52" i="3"/>
  <c r="F52" i="3"/>
  <c r="E53" i="3"/>
  <c r="F53" i="3"/>
  <c r="H53" i="3"/>
  <c r="I53" i="3"/>
  <c r="J53" i="3"/>
  <c r="K53" i="3"/>
  <c r="L53" i="3"/>
  <c r="M53" i="3"/>
  <c r="N53" i="3"/>
  <c r="O53" i="3"/>
  <c r="P53" i="3"/>
  <c r="Q53" i="3"/>
  <c r="R53" i="3"/>
  <c r="S53" i="3"/>
  <c r="T53" i="3"/>
  <c r="U53" i="3"/>
  <c r="V53" i="3"/>
  <c r="W53" i="3"/>
  <c r="X53" i="3"/>
  <c r="Y53" i="3"/>
  <c r="Z53" i="3"/>
  <c r="AA53" i="3"/>
  <c r="AB53" i="3"/>
  <c r="AC53" i="3"/>
  <c r="AD53" i="3"/>
  <c r="AE53" i="3"/>
  <c r="D51" i="3"/>
  <c r="D52" i="3"/>
  <c r="D53" i="3"/>
  <c r="D50" i="3"/>
  <c r="A51" i="3"/>
  <c r="A53" i="3"/>
  <c r="A50" i="3"/>
  <c r="D77" i="3"/>
  <c r="A76" i="3"/>
  <c r="A77" i="3"/>
  <c r="A78" i="3"/>
  <c r="A79" i="3"/>
  <c r="A80" i="3"/>
  <c r="A81" i="3"/>
  <c r="A82" i="3"/>
  <c r="A75" i="3"/>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B68"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H47" i="3"/>
  <c r="D11" i="1"/>
  <c r="E11" i="1"/>
  <c r="C39" i="3"/>
  <c r="D39" i="3"/>
  <c r="E39" i="3"/>
  <c r="B39" i="3"/>
  <c r="AB62" i="3"/>
  <c r="AC62" i="3"/>
  <c r="AD62" i="3"/>
  <c r="AE62" i="3"/>
  <c r="AF62" i="3"/>
  <c r="AG62" i="3"/>
  <c r="AH62" i="3"/>
  <c r="AI62" i="3"/>
  <c r="AJ62" i="3"/>
  <c r="AK62" i="3"/>
  <c r="C40" i="3"/>
  <c r="D40" i="3"/>
  <c r="E40" i="3"/>
  <c r="B40" i="3"/>
  <c r="AB63" i="3"/>
  <c r="AC63" i="3"/>
  <c r="AD63" i="3"/>
  <c r="AE63" i="3"/>
  <c r="AF63" i="3"/>
  <c r="AG63" i="3"/>
  <c r="AH63" i="3"/>
  <c r="AI63" i="3"/>
  <c r="AJ63" i="3"/>
  <c r="AK63" i="3"/>
  <c r="AB64" i="3"/>
  <c r="AC64" i="3"/>
  <c r="AD64" i="3"/>
  <c r="AE64" i="3"/>
  <c r="AF64" i="3"/>
  <c r="AG64" i="3"/>
  <c r="AH64" i="3"/>
  <c r="AI64" i="3"/>
  <c r="AJ64" i="3"/>
  <c r="AK64" i="3"/>
  <c r="E57" i="3"/>
  <c r="AB65" i="3"/>
  <c r="AC65" i="3"/>
  <c r="AD65" i="3"/>
  <c r="AE65" i="3"/>
  <c r="AF65" i="3"/>
  <c r="AG65" i="3"/>
  <c r="AH65" i="3"/>
  <c r="AI65" i="3"/>
  <c r="AJ65" i="3"/>
  <c r="AK65" i="3"/>
  <c r="E58" i="3"/>
  <c r="AB66" i="3"/>
  <c r="AC66" i="3"/>
  <c r="AD66" i="3"/>
  <c r="AE66" i="3"/>
  <c r="AF66" i="3"/>
  <c r="AG66" i="3"/>
  <c r="AH66" i="3"/>
  <c r="AI66" i="3"/>
  <c r="AJ66" i="3"/>
  <c r="AK66" i="3"/>
  <c r="AB67" i="3"/>
  <c r="AC67" i="3"/>
  <c r="AD67" i="3"/>
  <c r="AE67" i="3"/>
  <c r="AF67" i="3"/>
  <c r="AG67" i="3"/>
  <c r="AH67" i="3"/>
  <c r="AI67" i="3"/>
  <c r="AJ67" i="3"/>
  <c r="AK67" i="3"/>
  <c r="H23" i="3"/>
  <c r="H22" i="3"/>
  <c r="H24" i="3"/>
  <c r="I23" i="3"/>
  <c r="I22" i="3"/>
  <c r="I24" i="3"/>
  <c r="J23" i="3"/>
  <c r="J22" i="3"/>
  <c r="J24" i="3"/>
  <c r="K23" i="3"/>
  <c r="K22" i="3"/>
  <c r="K24" i="3"/>
  <c r="L23" i="3"/>
  <c r="L22" i="3"/>
  <c r="L24" i="3"/>
  <c r="B43" i="3"/>
  <c r="AB69" i="3"/>
  <c r="AC69" i="3"/>
  <c r="AD69" i="3"/>
  <c r="AE69" i="3"/>
  <c r="AF69" i="3"/>
  <c r="AG69" i="3"/>
  <c r="AH69" i="3"/>
  <c r="AI69" i="3"/>
  <c r="AJ69" i="3"/>
  <c r="AK69" i="3"/>
  <c r="AB71" i="3"/>
  <c r="AC71" i="3"/>
  <c r="AD71" i="3"/>
  <c r="AE71" i="3"/>
  <c r="AF71" i="3"/>
  <c r="AG71" i="3"/>
  <c r="AH71" i="3"/>
  <c r="AI71" i="3"/>
  <c r="AJ71" i="3"/>
  <c r="AK71" i="3"/>
  <c r="AG49" i="3"/>
  <c r="AH49" i="3"/>
  <c r="AI49" i="3"/>
  <c r="AJ49" i="3"/>
  <c r="AK49" i="3"/>
  <c r="AL49" i="3"/>
  <c r="AM49" i="3"/>
  <c r="AN49" i="3"/>
  <c r="AO49" i="3"/>
  <c r="AP49" i="3"/>
  <c r="C69" i="3"/>
  <c r="D69" i="3"/>
  <c r="E69" i="3"/>
  <c r="F69" i="3"/>
  <c r="G69" i="3"/>
  <c r="H69" i="3"/>
  <c r="I69" i="3"/>
  <c r="J69" i="3"/>
  <c r="K69" i="3"/>
  <c r="L69" i="3"/>
  <c r="M69" i="3"/>
  <c r="N69" i="3"/>
  <c r="O69" i="3"/>
  <c r="P69" i="3"/>
  <c r="Q69" i="3"/>
  <c r="R69" i="3"/>
  <c r="S69" i="3"/>
  <c r="T69" i="3"/>
  <c r="U69" i="3"/>
  <c r="V69" i="3"/>
  <c r="W69" i="3"/>
  <c r="X69" i="3"/>
  <c r="Y69" i="3"/>
  <c r="Z69" i="3"/>
  <c r="AA69" i="3"/>
  <c r="B69" i="3"/>
  <c r="E23" i="3"/>
  <c r="F21" i="3"/>
  <c r="F23" i="3"/>
  <c r="G21" i="3"/>
  <c r="G23" i="3"/>
  <c r="H21" i="3"/>
  <c r="I21" i="3"/>
  <c r="J21" i="3"/>
  <c r="K21" i="3"/>
  <c r="L21" i="3"/>
  <c r="F22" i="3"/>
  <c r="G22" i="3"/>
  <c r="E22" i="3"/>
  <c r="F24" i="3"/>
  <c r="G24" i="3"/>
  <c r="E24" i="3"/>
  <c r="F19" i="3"/>
  <c r="G19" i="3"/>
  <c r="H19" i="3"/>
  <c r="I19" i="3"/>
  <c r="J19" i="3"/>
  <c r="K19" i="3"/>
  <c r="L19" i="3"/>
  <c r="E19" i="3"/>
  <c r="C66" i="3"/>
  <c r="C71" i="3"/>
  <c r="D66" i="3"/>
  <c r="D71" i="3"/>
  <c r="E66" i="3"/>
  <c r="E71" i="3"/>
  <c r="F66" i="3"/>
  <c r="F71" i="3"/>
  <c r="G66" i="3"/>
  <c r="G71" i="3"/>
  <c r="H66" i="3"/>
  <c r="H71" i="3"/>
  <c r="I66" i="3"/>
  <c r="I71" i="3"/>
  <c r="J66" i="3"/>
  <c r="J71" i="3"/>
  <c r="K66" i="3"/>
  <c r="K71" i="3"/>
  <c r="L66" i="3"/>
  <c r="L71" i="3"/>
  <c r="M66" i="3"/>
  <c r="M71" i="3"/>
  <c r="N66" i="3"/>
  <c r="N71" i="3"/>
  <c r="O66" i="3"/>
  <c r="O71" i="3"/>
  <c r="P66" i="3"/>
  <c r="P71" i="3"/>
  <c r="Q66" i="3"/>
  <c r="Q71" i="3"/>
  <c r="R66" i="3"/>
  <c r="R71" i="3"/>
  <c r="S66" i="3"/>
  <c r="S71" i="3"/>
  <c r="T66" i="3"/>
  <c r="T71" i="3"/>
  <c r="U66" i="3"/>
  <c r="U71" i="3"/>
  <c r="V66" i="3"/>
  <c r="V71" i="3"/>
  <c r="W66" i="3"/>
  <c r="W71" i="3"/>
  <c r="X66" i="3"/>
  <c r="X71" i="3"/>
  <c r="Y66" i="3"/>
  <c r="Y71" i="3"/>
  <c r="Z66" i="3"/>
  <c r="Z71" i="3"/>
  <c r="AA66" i="3"/>
  <c r="AA71" i="3"/>
  <c r="B66" i="3"/>
  <c r="B71" i="3"/>
  <c r="E7" i="1"/>
  <c r="E42" i="3"/>
  <c r="B42" i="3"/>
  <c r="AA67" i="3"/>
  <c r="B67" i="3"/>
  <c r="AA65" i="3"/>
  <c r="B65" i="3"/>
  <c r="C33" i="3"/>
  <c r="D33" i="3"/>
  <c r="E33" i="3"/>
  <c r="AA62" i="3"/>
  <c r="C34" i="3"/>
  <c r="D34" i="3"/>
  <c r="E34" i="3"/>
  <c r="AA63" i="3"/>
  <c r="AA64" i="3"/>
  <c r="B62" i="3"/>
  <c r="B63" i="3"/>
  <c r="B64" i="3"/>
  <c r="AB61" i="3"/>
  <c r="AC61" i="3"/>
  <c r="AD61" i="3"/>
  <c r="AE61" i="3"/>
  <c r="AF61" i="3"/>
  <c r="AG61" i="3"/>
  <c r="AH61" i="3"/>
  <c r="AI61" i="3"/>
  <c r="AJ61" i="3"/>
  <c r="AK61" i="3"/>
  <c r="C67" i="3"/>
  <c r="D67" i="3"/>
  <c r="E67" i="3"/>
  <c r="F67" i="3"/>
  <c r="G67" i="3"/>
  <c r="H67" i="3"/>
  <c r="I67" i="3"/>
  <c r="J67" i="3"/>
  <c r="K67" i="3"/>
  <c r="L67" i="3"/>
  <c r="M67" i="3"/>
  <c r="N67" i="3"/>
  <c r="O67" i="3"/>
  <c r="P67" i="3"/>
  <c r="Q67" i="3"/>
  <c r="R67" i="3"/>
  <c r="S67" i="3"/>
  <c r="T67" i="3"/>
  <c r="U67" i="3"/>
  <c r="V67" i="3"/>
  <c r="W67" i="3"/>
  <c r="X67" i="3"/>
  <c r="Y67" i="3"/>
  <c r="Z67" i="3"/>
  <c r="C41" i="3"/>
  <c r="D41" i="3"/>
  <c r="E41" i="3"/>
  <c r="B41" i="3"/>
  <c r="C65" i="3"/>
  <c r="D65" i="3"/>
  <c r="E65" i="3"/>
  <c r="F65" i="3"/>
  <c r="G65" i="3"/>
  <c r="H65" i="3"/>
  <c r="I65" i="3"/>
  <c r="J65" i="3"/>
  <c r="K65" i="3"/>
  <c r="L65" i="3"/>
  <c r="M65" i="3"/>
  <c r="N65" i="3"/>
  <c r="O65" i="3"/>
  <c r="P65" i="3"/>
  <c r="Q65" i="3"/>
  <c r="R65" i="3"/>
  <c r="S65" i="3"/>
  <c r="T65" i="3"/>
  <c r="U65" i="3"/>
  <c r="V65" i="3"/>
  <c r="W65" i="3"/>
  <c r="X65" i="3"/>
  <c r="Y65" i="3"/>
  <c r="Z65" i="3"/>
  <c r="C62" i="3"/>
  <c r="C63" i="3"/>
  <c r="C64" i="3"/>
  <c r="D62" i="3"/>
  <c r="D63" i="3"/>
  <c r="D64" i="3"/>
  <c r="E62" i="3"/>
  <c r="E63" i="3"/>
  <c r="E64" i="3"/>
  <c r="F62" i="3"/>
  <c r="F63" i="3"/>
  <c r="F64" i="3"/>
  <c r="G62" i="3"/>
  <c r="G63" i="3"/>
  <c r="G64" i="3"/>
  <c r="H62" i="3"/>
  <c r="H63" i="3"/>
  <c r="H64" i="3"/>
  <c r="I62" i="3"/>
  <c r="I63" i="3"/>
  <c r="I64" i="3"/>
  <c r="J62" i="3"/>
  <c r="J63" i="3"/>
  <c r="J64" i="3"/>
  <c r="K62" i="3"/>
  <c r="K63" i="3"/>
  <c r="K64" i="3"/>
  <c r="L62" i="3"/>
  <c r="L63" i="3"/>
  <c r="L64" i="3"/>
  <c r="M62" i="3"/>
  <c r="M63" i="3"/>
  <c r="M64" i="3"/>
  <c r="N62" i="3"/>
  <c r="N63" i="3"/>
  <c r="N64" i="3"/>
  <c r="O62" i="3"/>
  <c r="O63" i="3"/>
  <c r="O64" i="3"/>
  <c r="P62" i="3"/>
  <c r="P63" i="3"/>
  <c r="P64" i="3"/>
  <c r="Q62" i="3"/>
  <c r="Q63" i="3"/>
  <c r="Q64" i="3"/>
  <c r="R62" i="3"/>
  <c r="R63" i="3"/>
  <c r="R64" i="3"/>
  <c r="S62" i="3"/>
  <c r="S63" i="3"/>
  <c r="S64" i="3"/>
  <c r="T62" i="3"/>
  <c r="T63" i="3"/>
  <c r="T64" i="3"/>
  <c r="U62" i="3"/>
  <c r="U63" i="3"/>
  <c r="U64" i="3"/>
  <c r="V62" i="3"/>
  <c r="V63" i="3"/>
  <c r="V64" i="3"/>
  <c r="W62" i="3"/>
  <c r="W63" i="3"/>
  <c r="W64" i="3"/>
  <c r="X62" i="3"/>
  <c r="X63" i="3"/>
  <c r="X64" i="3"/>
  <c r="Y62" i="3"/>
  <c r="Y63" i="3"/>
  <c r="Y64" i="3"/>
  <c r="Z62" i="3"/>
  <c r="Z63" i="3"/>
  <c r="Z64" i="3"/>
  <c r="B35" i="3"/>
  <c r="B12" i="3"/>
  <c r="B33" i="3"/>
  <c r="B34" i="3"/>
  <c r="B11" i="3"/>
  <c r="B13" i="3"/>
  <c r="B10" i="3"/>
  <c r="G21" i="2"/>
  <c r="E21" i="2"/>
  <c r="D21" i="2"/>
  <c r="C21" i="2"/>
  <c r="B21" i="2"/>
  <c r="F21" i="2"/>
  <c r="E8" i="1"/>
  <c r="B7" i="1"/>
  <c r="A5" i="2"/>
  <c r="A6" i="2"/>
  <c r="A7" i="2"/>
  <c r="A8" i="2"/>
  <c r="A9" i="2"/>
  <c r="A10" i="2"/>
  <c r="A11" i="2"/>
  <c r="A12" i="2"/>
  <c r="A13" i="2"/>
  <c r="A14" i="2"/>
  <c r="A15" i="2"/>
  <c r="A16" i="2"/>
  <c r="A17" i="2"/>
  <c r="A18" i="2"/>
  <c r="A19" i="2"/>
  <c r="A20" i="2"/>
  <c r="E6" i="1"/>
  <c r="B4" i="1"/>
</calcChain>
</file>

<file path=xl/sharedStrings.xml><?xml version="1.0" encoding="utf-8"?>
<sst xmlns="http://schemas.openxmlformats.org/spreadsheetml/2006/main" count="177" uniqueCount="142">
  <si>
    <t>data from HECO PSIP 2014 p. I-4</t>
  </si>
  <si>
    <t>liquefaction and other services</t>
  </si>
  <si>
    <t>Henry Hub gas commodity</t>
  </si>
  <si>
    <t>shipping</t>
  </si>
  <si>
    <t>FSRU and pipeline</t>
  </si>
  <si>
    <t>2022$/MMBtu</t>
  </si>
  <si>
    <t>max FSRU/pipeline capacity</t>
  </si>
  <si>
    <t>MTPA</t>
  </si>
  <si>
    <t>largest size shown in table, and total costs seem constant for all sizes</t>
  </si>
  <si>
    <t>annual cost</t>
  </si>
  <si>
    <t>approx. avg. of multiple projects</t>
  </si>
  <si>
    <t>2020$ / yr</t>
  </si>
  <si>
    <t>data from Galway Figure 65 p. N-103</t>
  </si>
  <si>
    <t>Btu/ton gas</t>
  </si>
  <si>
    <t>conversion</t>
  </si>
  <si>
    <t>Capacity (MMBtu/year)</t>
  </si>
  <si>
    <t>MMBtu</t>
  </si>
  <si>
    <t>Cost per MMBtu per year (full capacity)</t>
  </si>
  <si>
    <t>http://energy.gov/sites/prod/files/2013/04/f0/LNG_primerupd.pdf p. 9</t>
  </si>
  <si>
    <t>PSIP p. F-5</t>
  </si>
  <si>
    <t>No. 2 Diesel</t>
  </si>
  <si>
    <t>LSFO</t>
  </si>
  <si>
    <t>ULSD</t>
  </si>
  <si>
    <t>Biodiesel</t>
  </si>
  <si>
    <t>LNG</t>
  </si>
  <si>
    <t>IRP</t>
  </si>
  <si>
    <t>Row Labels</t>
  </si>
  <si>
    <t>Biocrude</t>
  </si>
  <si>
    <t>Coal</t>
  </si>
  <si>
    <t>High-Sulfur-Diesel</t>
  </si>
  <si>
    <t>3 - reference</t>
  </si>
  <si>
    <t>2-high</t>
  </si>
  <si>
    <t>nominal, 2.5% inflation</t>
  </si>
  <si>
    <t>Blend 40% (No. 2?)Diesel 60% LSFO Blend</t>
  </si>
  <si>
    <t>&lt;- cont</t>
  </si>
  <si>
    <t>&lt;- bulk</t>
  </si>
  <si>
    <t>Total (2022)</t>
  </si>
  <si>
    <t>avg power production at max throughput (MW)</t>
  </si>
  <si>
    <t>1-low</t>
  </si>
  <si>
    <t>http://www.eia.gov/beta/aeo/#/?id=3-AEO2014&amp;region=1-0&amp;cases=ref2014&amp;start=2011&amp;end=2040&amp;f=L&amp;linechart=3-AEO2014.3.~3-AEO2014.36.~3-AEO2014.37.~3-AEO2014.38.~3-AEO2014.39.&amp;map=&amp;ctype=linechart</t>
  </si>
  <si>
    <t>Energy Prices : Nominal: Electric Power: Distillate Fuel Oil</t>
  </si>
  <si>
    <t>Energy Prices : Nominal: Electric Power: Residual Fuel Oil</t>
  </si>
  <si>
    <t>Energy Prices : Nominal: Electric Power: Natural Gas</t>
  </si>
  <si>
    <t>Energy Prices : Nominal: Electric Power: Steam Coal</t>
  </si>
  <si>
    <t>http://www.eia.gov/beta/aeo/#/?id=3-AEO2015&amp;region=1-0&amp;cases=ref2015&amp;start=2012&amp;end=2040&amp;f=L&amp;linechart=3-AEO2015.3.~3-AEO2015.104.~3-AEO2015.105.~3-AEO2015.106.~3-AEO2015.107.&amp;map=&amp;ctype=linechart</t>
  </si>
  <si>
    <t>HECO fuel prices (Karl Jandoc ECAF spreadsheet)</t>
  </si>
  <si>
    <t>month</t>
  </si>
  <si>
    <t>year</t>
  </si>
  <si>
    <t>sulfwai</t>
  </si>
  <si>
    <t>dieswai</t>
  </si>
  <si>
    <t>LSFO avg</t>
  </si>
  <si>
    <t>Diesel avg</t>
  </si>
  <si>
    <t>HECO LSFO - Pacific Residual</t>
  </si>
  <si>
    <t>HECO Diesel - Pacific Distillate</t>
  </si>
  <si>
    <t>avg</t>
  </si>
  <si>
    <t>Henry Hub gas - Pacific gas</t>
  </si>
  <si>
    <t>Energy Prices : Electric Power : Distillate Fuel Oil</t>
  </si>
  <si>
    <t>Energy Prices : Electric Power : Residual Fuel Oil</t>
  </si>
  <si>
    <t>Energy Prices : Electric Power : Natural Gas</t>
  </si>
  <si>
    <t>Energy Prices : Electric Power : Steam Coal</t>
  </si>
  <si>
    <t>http://www.eia.gov/beta/aeo/#/?id=3-AEO2015&amp;region=1-0&amp;cases=ref2015&amp;start=2012&amp;end=2040&amp;f=A&amp;linechart=3-AEO2015.3.~3-AEO2015.104.~3-AEO2015.105.~3-AEO2015.106.~3-AEO2015.107.&amp;map=&amp;ctype=linechart</t>
  </si>
  <si>
    <t>EIA Forecast (AEO 2015) (2013$)</t>
  </si>
  <si>
    <t>inflation</t>
  </si>
  <si>
    <t>Bulk LNG liquefaction and shipping (2015$)</t>
  </si>
  <si>
    <t>ISO Containerized LNG packaging and delivery</t>
  </si>
  <si>
    <t>Low FOB</t>
  </si>
  <si>
    <t>Low Delivered Cost</t>
  </si>
  <si>
    <t>High FOB</t>
  </si>
  <si>
    <t>High Delivered Cost</t>
  </si>
  <si>
    <t>HNEI FACTS LNG study June 2013, Task 4.2 Report 1, Fig. 53, p. 97</t>
  </si>
  <si>
    <t>note: regasification and storage are separate</t>
  </si>
  <si>
    <t>Diesel</t>
  </si>
  <si>
    <t>HECO 2013 IRP coal forecast</t>
  </si>
  <si>
    <t>HECO coal forecast - Pacific coal</t>
  </si>
  <si>
    <t>EXTENDED -&gt;</t>
  </si>
  <si>
    <t>escalation</t>
  </si>
  <si>
    <t>Year</t>
  </si>
  <si>
    <t>NOTE: HECO 2014 PSIP (pp. F-3 - F-5)  says that they get petro fuel forecasts by adjusting EIA crude forecasts to Hawaii products based on historical relationships</t>
  </si>
  <si>
    <t>They also say they get biodiesel forecast from FAPRI Iowa because EIA doesn't provide one.</t>
  </si>
  <si>
    <t>We differ from HECO in two ways: we benchmark Hawaii products to similar EIA Pacific products (could change to hub crude)</t>
  </si>
  <si>
    <t>Henry Hub Gas avg - http://www.eia.gov/dnav/ng/hist/rngwhhdm.htm</t>
  </si>
  <si>
    <t>EIA Pacific region product baselines</t>
  </si>
  <si>
    <t>http://www.fapri.missouri.edu/wp-content/uploads/2015/09/FAPRI_MU_Report_03-15.pdf  p. 13</t>
  </si>
  <si>
    <t>and we project biodiesel prices after 2020 using an adder to diesel (driven larely by renewable incentives), rather than extending the biodiesel absolute price trend (which ends up dropping below diesel)</t>
  </si>
  <si>
    <t>this approach makes more sense, since these are perfect substitutes and EIA AEO projects biodiesel to be small compared to agriculture and petroleum markets</t>
  </si>
  <si>
    <t>#2 diesel, refiner sales ($/gal)</t>
  </si>
  <si>
    <t>Biodiesel rack, Des Moines ($/gal)</t>
  </si>
  <si>
    <t>difference ($/gal)</t>
  </si>
  <si>
    <t>mmBtu/gal from http://www.afdc.energy.gov/fuels/fuel_comparison_chart.pdf</t>
  </si>
  <si>
    <t>FAPRI Missouri benchmark and product baselines (nominal$)</t>
  </si>
  <si>
    <t>U.S. CPI inflation http://www.fapri.missouri.edu/wp-content/uploads/2015/09/FAPRI_MU_Report_03-15.pdf p. 3</t>
  </si>
  <si>
    <t>U.S. CPI inflator</t>
  </si>
  <si>
    <t>HECO annual baselines (~2013$)</t>
  </si>
  <si>
    <t>HECO offsets (~2013$)</t>
  </si>
  <si>
    <t>#2 diesel, refiner sales (2013$/mmBtu)</t>
  </si>
  <si>
    <t>Biodiesel rack, Des Moines (2013$/mmBtu)</t>
  </si>
  <si>
    <t>difference (2013$/mmBtu)</t>
  </si>
  <si>
    <t>FAPRI biodiesel forecast - diesel forecast (2016-2020)</t>
  </si>
  <si>
    <t>FAPRI Iowa has been discontinued, so we use FAPRI Missouri baseline outlook http://www.fapri.missouri.edu/wp-content/uploads/2015/09/FAPRI_MU_Report_03-15.pdf</t>
  </si>
  <si>
    <t>LSFO-Diesel-Blend</t>
  </si>
  <si>
    <t>target avg power productoin (MW)</t>
  </si>
  <si>
    <t>Bulk LNG @200 Mwa</t>
  </si>
  <si>
    <t>Zilkha letter to PUC 10/6/14, http://dms.puc.hawaii.gov/dms/FetchESDocServlet?p=aHR0cDovL2Rtc2luL2FwaS92MTAvZG9jdW1lbnQvY29udGVudD9jb2xsZWN0aW9uPWNvbF80MTY5MyZ1cmk9Y206Ly9sc2RiL1BDX0RvY2tldFJlcG9ydC84NiUyQjMlMkJJQ000JTJCbHNkYjExJTJCSUNNQkFTRVRFWFQ1OCUyQjI2JTJCQTEwMDEwMDFBMTRKMDdCMDA5NTlINzM1NTIxOCUyQkExNEowN0IwMDk1OUg3MzU1MjElMkIxMyUyQjMwMQ==&amp;m=YXBwbGljYXRpb24vcGRm</t>
  </si>
  <si>
    <t>Also see PSIP (50% black pellet biomass) and http://www.bizjournals.com/pacific/news/2013/12/04/zilkha-biomass-energys-black-pellet.html (Zilkha is source for HECO)</t>
  </si>
  <si>
    <t>Zilkha biomass forecast ($nominal)</t>
  </si>
  <si>
    <t>Zilkha biomass forecast (2015$) (assuming forecast is $13.25 real in 2016, with 2% inflation)</t>
  </si>
  <si>
    <t>Pellet-Biomass</t>
  </si>
  <si>
    <t>Adjusted EIA Forecast (~$2013) (commas identify tiers)</t>
  </si>
  <si>
    <t>LNG, container</t>
  </si>
  <si>
    <t>LNG, bulk</t>
  </si>
  <si>
    <t>Fuel</t>
  </si>
  <si>
    <t>Rank</t>
  </si>
  <si>
    <t>note: in SWITCH-Hawaii, we assume fuels of equal or greater rank are interchangeable, except 0 which is unique</t>
  </si>
  <si>
    <t>MSW</t>
  </si>
  <si>
    <t>RPS Eligible</t>
  </si>
  <si>
    <t>SUN</t>
  </si>
  <si>
    <t>WND</t>
  </si>
  <si>
    <t>from http://www.eia.gov/environment/emissions/co2_vol_mass.cfm</t>
  </si>
  <si>
    <t>kg CO2 per MMbtu</t>
  </si>
  <si>
    <t>EIA AEO 2015, reference, high and low oil prices</t>
  </si>
  <si>
    <t>http://www.eia.gov/beta/aeo/#/?id=3-AEO2015&amp;region=1-0&amp;cases=ref2015~highprice~lowprice&amp;start=2012&amp;end=2040&amp;f=A&amp;linechart=3-AEO2015.3.highprice-d021915a~3-AEO2015.36.highprice-d021915a~3-AEO2015.36.lowprice-d021915a~3-AEO2015.36.ref2015-d021915a~3-AEO2015.37.highprice-d021915a~3-AEO2015.37.lowprice-d021915a~3-AEO2015.37.ref2015-d021915a~3-AEO2015.38.highprice-d021915a~3-AEO2015.38.lowprice-d021915a~3-AEO2015.38.ref2015-d021915a~3-AEO2015.39.highprice-d021915a~3-AEO2015.39.lowprice-d021915a~3-AEO2015.39.ref2015-d021915a</t>
  </si>
  <si>
    <t>Energy Prices by Sector and Source</t>
  </si>
  <si>
    <t>Thu Sep 24 2015 15:36:51 GMT-1000 (HST)</t>
  </si>
  <si>
    <t>Source: U.S. Energy Information Administration</t>
  </si>
  <si>
    <t>map</t>
  </si>
  <si>
    <t>linechart</t>
  </si>
  <si>
    <t>source key</t>
  </si>
  <si>
    <t>&lt;div title='Growth Rate (2013-2040)'&gt;Growth Rate&lt;/div&gt;</t>
  </si>
  <si>
    <t>Energy Prices : Electric Power : Distillate Fuel Oil : High oil price</t>
  </si>
  <si>
    <t>Energy Prices : Electric Power : Distillate Fuel Oil : Low oil price</t>
  </si>
  <si>
    <t>Energy Prices : Electric Power : Distillate Fuel Oil : Reference case</t>
  </si>
  <si>
    <t>Energy Prices : Electric Power : Residual Fuel Oil : High oil price</t>
  </si>
  <si>
    <t>Energy Prices : Electric Power : Residual Fuel Oil : Low oil price</t>
  </si>
  <si>
    <t>Energy Prices : Electric Power : Residual Fuel Oil : Reference case</t>
  </si>
  <si>
    <t>Energy Prices : Electric Power : Natural Gas : High oil price</t>
  </si>
  <si>
    <t>Energy Prices : Electric Power : Natural Gas : Low oil price</t>
  </si>
  <si>
    <t>Energy Prices : Electric Power : Natural Gas : Reference case</t>
  </si>
  <si>
    <t>Energy Prices : Electric Power : Steam Coal : High oil price</t>
  </si>
  <si>
    <t>Energy Prices : Electric Power : Steam Coal : Low oil price</t>
  </si>
  <si>
    <t>Energy Prices : Electric Power : Steam Coal : Reference case</t>
  </si>
  <si>
    <t>row</t>
  </si>
  <si>
    <t>Natural Gas: Pegged to Distillate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</si>
</sst>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1" fillId="0" borderId="0" xfId="0" applyFont="1"/>
    <xf numFmtId="10" fontId="0" fillId="0" borderId="0" xfId="0" applyNumberFormat="1"/>
    <xf numFmtId="0" fontId="0" fillId="0" borderId="0" xfId="0" applyFont="1"/>
  </cellXfs>
  <cellStyles count="1">
    <cellStyle name="Normal" xfId="0" builtinId="0"/>
  </cellStyles>
  <dxfs count="0"/>
  <tableStyles count="0" defaultTableStyle="TableStyleMedium9" defaultPivotStyle="PivotStyleMedium7"/>
  <colors>
    <mruColors>
      <color rgb="FF323232"/>
      <color rgb="FF006600"/>
      <color rgb="FF999999"/>
      <color rgb="FF7B35FF"/>
      <color rgb="FF684E8E"/>
      <color rgb="FF92D04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'multi-fuel forecasts'!$K$2</c:f>
              <c:strCache>
                <c:ptCount val="1"/>
                <c:pt idx="0">
                  <c:v>Biodiesel</c:v>
                </c:pt>
              </c:strCache>
            </c:strRef>
          </c:tx>
          <c:spPr>
            <a:ln w="28575" cap="rnd">
              <a:solidFill>
                <a:schemeClr val="accent1"/>
              </a:solidFill>
              <a:round/>
            </a:ln>
            <a:effectLst/>
          </c:spPr>
          <c:marker>
            <c:symbol val="none"/>
          </c:marker>
          <c:val>
            <c:numRef>
              <c:f>'multi-fuel forecasts'!$K$3:$K$23</c:f>
              <c:numCache>
                <c:formatCode>General</c:formatCode>
                <c:ptCount val="21"/>
                <c:pt idx="0">
                  <c:v>47.005</c:v>
                </c:pt>
                <c:pt idx="1">
                  <c:v>44.63</c:v>
                </c:pt>
                <c:pt idx="2">
                  <c:v>43.85</c:v>
                </c:pt>
                <c:pt idx="3">
                  <c:v>43.49</c:v>
                </c:pt>
                <c:pt idx="4">
                  <c:v>43.34</c:v>
                </c:pt>
                <c:pt idx="5">
                  <c:v>43.04</c:v>
                </c:pt>
                <c:pt idx="6">
                  <c:v>42.825</c:v>
                </c:pt>
                <c:pt idx="7">
                  <c:v>42.53</c:v>
                </c:pt>
                <c:pt idx="8">
                  <c:v>42.265</c:v>
                </c:pt>
                <c:pt idx="9">
                  <c:v>42.175</c:v>
                </c:pt>
                <c:pt idx="10">
                  <c:v>41.86</c:v>
                </c:pt>
                <c:pt idx="11">
                  <c:v>41.62</c:v>
                </c:pt>
                <c:pt idx="12">
                  <c:v>41.375</c:v>
                </c:pt>
                <c:pt idx="13">
                  <c:v>41.14</c:v>
                </c:pt>
                <c:pt idx="14">
                  <c:v>40.9</c:v>
                </c:pt>
                <c:pt idx="15">
                  <c:v>40.66</c:v>
                </c:pt>
                <c:pt idx="16">
                  <c:v>40.42</c:v>
                </c:pt>
                <c:pt idx="17">
                  <c:v>40.18</c:v>
                </c:pt>
                <c:pt idx="18">
                  <c:v>39.935</c:v>
                </c:pt>
                <c:pt idx="19">
                  <c:v>39.7</c:v>
                </c:pt>
                <c:pt idx="20">
                  <c:v>39.46</c:v>
                </c:pt>
              </c:numCache>
            </c:numRef>
          </c:val>
          <c:smooth val="0"/>
        </c:ser>
        <c:ser>
          <c:idx val="1"/>
          <c:order val="1"/>
          <c:tx>
            <c:strRef>
              <c:f>'multi-fuel forecasts'!$P$2</c:f>
              <c:strCache>
                <c:ptCount val="1"/>
                <c:pt idx="0">
                  <c:v>ULSD</c:v>
                </c:pt>
              </c:strCache>
            </c:strRef>
          </c:tx>
          <c:spPr>
            <a:ln w="28575" cap="rnd">
              <a:solidFill>
                <a:schemeClr val="accent2"/>
              </a:solidFill>
              <a:round/>
            </a:ln>
            <a:effectLst/>
          </c:spPr>
          <c:marker>
            <c:symbol val="none"/>
          </c:marker>
          <c:val>
            <c:numRef>
              <c:f>'multi-fuel forecasts'!$P$3:$P$23</c:f>
              <c:numCache>
                <c:formatCode>General</c:formatCode>
                <c:ptCount val="21"/>
                <c:pt idx="0">
                  <c:v>21.69</c:v>
                </c:pt>
                <c:pt idx="1">
                  <c:v>22.04</c:v>
                </c:pt>
                <c:pt idx="2">
                  <c:v>22.16</c:v>
                </c:pt>
                <c:pt idx="3">
                  <c:v>22.72</c:v>
                </c:pt>
                <c:pt idx="4">
                  <c:v>23.49</c:v>
                </c:pt>
                <c:pt idx="5">
                  <c:v>24.31</c:v>
                </c:pt>
                <c:pt idx="6">
                  <c:v>25.15</c:v>
                </c:pt>
                <c:pt idx="7">
                  <c:v>26.04</c:v>
                </c:pt>
                <c:pt idx="8">
                  <c:v>26.98</c:v>
                </c:pt>
                <c:pt idx="9">
                  <c:v>27.98</c:v>
                </c:pt>
                <c:pt idx="10">
                  <c:v>29.01</c:v>
                </c:pt>
                <c:pt idx="11">
                  <c:v>30.09</c:v>
                </c:pt>
                <c:pt idx="12">
                  <c:v>31.2</c:v>
                </c:pt>
                <c:pt idx="13">
                  <c:v>32.37</c:v>
                </c:pt>
                <c:pt idx="14">
                  <c:v>33.58</c:v>
                </c:pt>
                <c:pt idx="15">
                  <c:v>34.83</c:v>
                </c:pt>
                <c:pt idx="16">
                  <c:v>36.15</c:v>
                </c:pt>
                <c:pt idx="17">
                  <c:v>37.52</c:v>
                </c:pt>
                <c:pt idx="18">
                  <c:v>38.94</c:v>
                </c:pt>
                <c:pt idx="19">
                  <c:v>40.42</c:v>
                </c:pt>
                <c:pt idx="20">
                  <c:v>41.94</c:v>
                </c:pt>
              </c:numCache>
            </c:numRef>
          </c:val>
          <c:smooth val="0"/>
        </c:ser>
        <c:dLbls>
          <c:showLegendKey val="0"/>
          <c:showVal val="0"/>
          <c:showCatName val="0"/>
          <c:showSerName val="0"/>
          <c:showPercent val="0"/>
          <c:showBubbleSize val="0"/>
        </c:dLbls>
        <c:smooth val="0"/>
        <c:axId val="2118555328"/>
        <c:axId val="2118550016"/>
      </c:lineChart>
      <c:catAx>
        <c:axId val="21185553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50016"/>
        <c:crosses val="autoZero"/>
        <c:auto val="1"/>
        <c:lblAlgn val="ctr"/>
        <c:lblOffset val="100"/>
        <c:noMultiLvlLbl val="0"/>
      </c:catAx>
      <c:valAx>
        <c:axId val="211855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5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976386790035"/>
          <c:y val="0.0254283318751823"/>
          <c:w val="0.480640349249273"/>
          <c:h val="0.797178875367852"/>
        </c:manualLayout>
      </c:layout>
      <c:lineChart>
        <c:grouping val="standard"/>
        <c:varyColors val="0"/>
        <c:ser>
          <c:idx val="6"/>
          <c:order val="0"/>
          <c:tx>
            <c:strRef>
              <c:f>'EIA-derived'!$A$69</c:f>
              <c:strCache>
                <c:ptCount val="1"/>
                <c:pt idx="0">
                  <c:v>Biodiesel</c:v>
                </c:pt>
              </c:strCache>
            </c:strRef>
          </c:tx>
          <c:spPr>
            <a:ln w="50800" cap="rnd">
              <a:solidFill>
                <a:srgbClr val="92D04F"/>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'EIA-derived'!$B$69:$AK$69</c:f>
              <c:numCache>
                <c:formatCode>General</c:formatCode>
                <c:ptCount val="36"/>
                <c:pt idx="0">
                  <c:v>35.67732240924771</c:v>
                </c:pt>
                <c:pt idx="1">
                  <c:v>38.1373224092477</c:v>
                </c:pt>
                <c:pt idx="2">
                  <c:v>39.0973224092477</c:v>
                </c:pt>
                <c:pt idx="3">
                  <c:v>39.89732240924771</c:v>
                </c:pt>
                <c:pt idx="4">
                  <c:v>40.4973224092477</c:v>
                </c:pt>
                <c:pt idx="5">
                  <c:v>41.0573224092477</c:v>
                </c:pt>
                <c:pt idx="6">
                  <c:v>41.81732240924771</c:v>
                </c:pt>
                <c:pt idx="7">
                  <c:v>42.56732240924771</c:v>
                </c:pt>
                <c:pt idx="8">
                  <c:v>43.25732240924771</c:v>
                </c:pt>
                <c:pt idx="9">
                  <c:v>44.2673224092477</c:v>
                </c:pt>
                <c:pt idx="10">
                  <c:v>45.1873224092477</c:v>
                </c:pt>
                <c:pt idx="11">
                  <c:v>46.09732240924771</c:v>
                </c:pt>
                <c:pt idx="12">
                  <c:v>47.03732240924771</c:v>
                </c:pt>
                <c:pt idx="13">
                  <c:v>47.98732240924771</c:v>
                </c:pt>
                <c:pt idx="14">
                  <c:v>48.9173224092477</c:v>
                </c:pt>
                <c:pt idx="15">
                  <c:v>49.81732240924771</c:v>
                </c:pt>
                <c:pt idx="16">
                  <c:v>50.70732240924771</c:v>
                </c:pt>
                <c:pt idx="17">
                  <c:v>51.6673224092477</c:v>
                </c:pt>
                <c:pt idx="18">
                  <c:v>52.8573224092477</c:v>
                </c:pt>
                <c:pt idx="19">
                  <c:v>53.9173224092477</c:v>
                </c:pt>
                <c:pt idx="20">
                  <c:v>54.6673224092477</c:v>
                </c:pt>
                <c:pt idx="21">
                  <c:v>55.7673224092477</c:v>
                </c:pt>
                <c:pt idx="22">
                  <c:v>56.8273224092477</c:v>
                </c:pt>
                <c:pt idx="23">
                  <c:v>57.95732240924771</c:v>
                </c:pt>
                <c:pt idx="24">
                  <c:v>59.00732240924771</c:v>
                </c:pt>
                <c:pt idx="25">
                  <c:v>60.22732240924771</c:v>
                </c:pt>
                <c:pt idx="26">
                  <c:v>61.2093224092477</c:v>
                </c:pt>
                <c:pt idx="27">
                  <c:v>62.1913224092477</c:v>
                </c:pt>
                <c:pt idx="28">
                  <c:v>63.1733224092477</c:v>
                </c:pt>
                <c:pt idx="29">
                  <c:v>64.1553224092477</c:v>
                </c:pt>
                <c:pt idx="30">
                  <c:v>65.1373224092477</c:v>
                </c:pt>
                <c:pt idx="31">
                  <c:v>66.1193224092477</c:v>
                </c:pt>
                <c:pt idx="32">
                  <c:v>67.1013224092477</c:v>
                </c:pt>
                <c:pt idx="33">
                  <c:v>68.0833224092477</c:v>
                </c:pt>
                <c:pt idx="34">
                  <c:v>69.0653224092477</c:v>
                </c:pt>
                <c:pt idx="35">
                  <c:v>70.0473224092477</c:v>
                </c:pt>
              </c:numCache>
            </c:numRef>
          </c:val>
          <c:smooth val="0"/>
        </c:ser>
        <c:ser>
          <c:idx val="0"/>
          <c:order val="1"/>
          <c:tx>
            <c:strRef>
              <c:f>'EIA-derived'!$A$62</c:f>
              <c:strCache>
                <c:ptCount val="1"/>
                <c:pt idx="0">
                  <c:v>Diesel</c:v>
                </c:pt>
              </c:strCache>
            </c:strRef>
          </c:tx>
          <c:spPr>
            <a:ln w="50800" cap="rnd">
              <a:solidFill>
                <a:srgbClr val="7B35FF"/>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'EIA-derived'!$B$62:$AK$62</c:f>
              <c:numCache>
                <c:formatCode>General</c:formatCode>
                <c:ptCount val="36"/>
                <c:pt idx="0">
                  <c:v>24.57945833333333</c:v>
                </c:pt>
                <c:pt idx="1">
                  <c:v>27.03945833333334</c:v>
                </c:pt>
                <c:pt idx="2">
                  <c:v>27.99945833333333</c:v>
                </c:pt>
                <c:pt idx="3">
                  <c:v>28.79945833333333</c:v>
                </c:pt>
                <c:pt idx="4">
                  <c:v>29.39945833333334</c:v>
                </c:pt>
                <c:pt idx="5">
                  <c:v>29.95945833333333</c:v>
                </c:pt>
                <c:pt idx="6">
                  <c:v>30.71945833333334</c:v>
                </c:pt>
                <c:pt idx="7">
                  <c:v>31.46945833333334</c:v>
                </c:pt>
                <c:pt idx="8">
                  <c:v>32.15945833333333</c:v>
                </c:pt>
                <c:pt idx="9">
                  <c:v>33.16945833333333</c:v>
                </c:pt>
                <c:pt idx="10">
                  <c:v>34.08945833333333</c:v>
                </c:pt>
                <c:pt idx="11">
                  <c:v>34.99945833333334</c:v>
                </c:pt>
                <c:pt idx="12">
                  <c:v>35.93945833333333</c:v>
                </c:pt>
                <c:pt idx="13">
                  <c:v>36.88945833333334</c:v>
                </c:pt>
                <c:pt idx="14">
                  <c:v>37.81945833333334</c:v>
                </c:pt>
                <c:pt idx="15">
                  <c:v>38.71945833333334</c:v>
                </c:pt>
                <c:pt idx="16">
                  <c:v>39.60945833333334</c:v>
                </c:pt>
                <c:pt idx="17">
                  <c:v>40.56945833333334</c:v>
                </c:pt>
                <c:pt idx="18">
                  <c:v>41.75945833333333</c:v>
                </c:pt>
                <c:pt idx="19">
                  <c:v>42.81945833333334</c:v>
                </c:pt>
                <c:pt idx="20">
                  <c:v>43.56945833333334</c:v>
                </c:pt>
                <c:pt idx="21">
                  <c:v>44.66945833333333</c:v>
                </c:pt>
                <c:pt idx="22">
                  <c:v>45.72945833333333</c:v>
                </c:pt>
                <c:pt idx="23">
                  <c:v>46.85945833333334</c:v>
                </c:pt>
                <c:pt idx="24">
                  <c:v>47.90945833333333</c:v>
                </c:pt>
                <c:pt idx="25">
                  <c:v>49.12945833333333</c:v>
                </c:pt>
                <c:pt idx="26">
                  <c:v>50.11145833333333</c:v>
                </c:pt>
                <c:pt idx="27">
                  <c:v>51.09345833333333</c:v>
                </c:pt>
                <c:pt idx="28">
                  <c:v>52.07545833333333</c:v>
                </c:pt>
                <c:pt idx="29">
                  <c:v>53.05745833333333</c:v>
                </c:pt>
                <c:pt idx="30">
                  <c:v>54.03945833333333</c:v>
                </c:pt>
                <c:pt idx="31">
                  <c:v>55.02145833333333</c:v>
                </c:pt>
                <c:pt idx="32">
                  <c:v>56.00345833333333</c:v>
                </c:pt>
                <c:pt idx="33">
                  <c:v>56.98545833333333</c:v>
                </c:pt>
                <c:pt idx="34">
                  <c:v>57.96745833333333</c:v>
                </c:pt>
                <c:pt idx="35">
                  <c:v>58.94945833333333</c:v>
                </c:pt>
              </c:numCache>
            </c:numRef>
          </c:val>
          <c:smooth val="0"/>
        </c:ser>
        <c:ser>
          <c:idx val="3"/>
          <c:order val="2"/>
          <c:tx>
            <c:strRef>
              <c:f>'EIA-derived'!$A$65</c:f>
              <c:strCache>
                <c:ptCount val="1"/>
                <c:pt idx="0">
                  <c:v>LNG, container</c:v>
                </c:pt>
              </c:strCache>
            </c:strRef>
          </c:tx>
          <c:spPr>
            <a:ln w="25400" cap="rnd">
              <a:solidFill>
                <a:srgbClr val="FF00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'EIA-derived'!$B$65:$AK$65</c:f>
              <c:numCache>
                <c:formatCode>General</c:formatCode>
                <c:ptCount val="36"/>
                <c:pt idx="0">
                  <c:v>21.87</c:v>
                </c:pt>
                <c:pt idx="1">
                  <c:v>24.33</c:v>
                </c:pt>
                <c:pt idx="2">
                  <c:v>25.29</c:v>
                </c:pt>
                <c:pt idx="3">
                  <c:v>26.09</c:v>
                </c:pt>
                <c:pt idx="4">
                  <c:v>26.69</c:v>
                </c:pt>
                <c:pt idx="5">
                  <c:v>27.25</c:v>
                </c:pt>
                <c:pt idx="6">
                  <c:v>28.01</c:v>
                </c:pt>
                <c:pt idx="7">
                  <c:v>28.76</c:v>
                </c:pt>
                <c:pt idx="8">
                  <c:v>29.45</c:v>
                </c:pt>
                <c:pt idx="9">
                  <c:v>30.45999999999999</c:v>
                </c:pt>
                <c:pt idx="10">
                  <c:v>31.38</c:v>
                </c:pt>
                <c:pt idx="11">
                  <c:v>32.29</c:v>
                </c:pt>
                <c:pt idx="12">
                  <c:v>33.23</c:v>
                </c:pt>
                <c:pt idx="13">
                  <c:v>34.18</c:v>
                </c:pt>
                <c:pt idx="14">
                  <c:v>35.11</c:v>
                </c:pt>
                <c:pt idx="15">
                  <c:v>36.01</c:v>
                </c:pt>
                <c:pt idx="16">
                  <c:v>36.9</c:v>
                </c:pt>
                <c:pt idx="17">
                  <c:v>37.86</c:v>
                </c:pt>
                <c:pt idx="18">
                  <c:v>39.05</c:v>
                </c:pt>
                <c:pt idx="19">
                  <c:v>40.11</c:v>
                </c:pt>
                <c:pt idx="20">
                  <c:v>40.86</c:v>
                </c:pt>
                <c:pt idx="21">
                  <c:v>41.96</c:v>
                </c:pt>
                <c:pt idx="22">
                  <c:v>43.02</c:v>
                </c:pt>
                <c:pt idx="23">
                  <c:v>44.15</c:v>
                </c:pt>
                <c:pt idx="24">
                  <c:v>45.2</c:v>
                </c:pt>
                <c:pt idx="25">
                  <c:v>46.42</c:v>
                </c:pt>
                <c:pt idx="26">
                  <c:v>47.402</c:v>
                </c:pt>
                <c:pt idx="27">
                  <c:v>48.384</c:v>
                </c:pt>
                <c:pt idx="28">
                  <c:v>49.366</c:v>
                </c:pt>
                <c:pt idx="29">
                  <c:v>50.348</c:v>
                </c:pt>
                <c:pt idx="30">
                  <c:v>51.33</c:v>
                </c:pt>
                <c:pt idx="31">
                  <c:v>52.312</c:v>
                </c:pt>
                <c:pt idx="32">
                  <c:v>53.29399999999998</c:v>
                </c:pt>
                <c:pt idx="33">
                  <c:v>54.27599999999998</c:v>
                </c:pt>
                <c:pt idx="34">
                  <c:v>55.25799999999999</c:v>
                </c:pt>
                <c:pt idx="35">
                  <c:v>56.23999999999998</c:v>
                </c:pt>
              </c:numCache>
            </c:numRef>
          </c:val>
          <c:smooth val="0"/>
        </c:ser>
        <c:ser>
          <c:idx val="2"/>
          <c:order val="3"/>
          <c:tx>
            <c:strRef>
              <c:f>'EIA-derived'!$A$64</c:f>
              <c:strCache>
                <c:ptCount val="1"/>
                <c:pt idx="0">
                  <c:v>LSFO-Diesel-Blend</c:v>
                </c:pt>
              </c:strCache>
            </c:strRef>
          </c:tx>
          <c:spPr>
            <a:ln w="50800" cap="rnd">
              <a:solidFill>
                <a:srgbClr val="684E8E"/>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'EIA-derived'!$B$64:$AK$64</c:f>
              <c:numCache>
                <c:formatCode>General</c:formatCode>
                <c:ptCount val="36"/>
                <c:pt idx="0">
                  <c:v>20.54128</c:v>
                </c:pt>
                <c:pt idx="1">
                  <c:v>22.70728</c:v>
                </c:pt>
                <c:pt idx="2">
                  <c:v>23.96728</c:v>
                </c:pt>
                <c:pt idx="3">
                  <c:v>24.56928</c:v>
                </c:pt>
                <c:pt idx="4">
                  <c:v>25.64328</c:v>
                </c:pt>
                <c:pt idx="5">
                  <c:v>26.10728</c:v>
                </c:pt>
                <c:pt idx="6">
                  <c:v>26.76528</c:v>
                </c:pt>
                <c:pt idx="7">
                  <c:v>27.52128</c:v>
                </c:pt>
                <c:pt idx="8">
                  <c:v>28.16328</c:v>
                </c:pt>
                <c:pt idx="9">
                  <c:v>29.03528</c:v>
                </c:pt>
                <c:pt idx="10">
                  <c:v>29.81128</c:v>
                </c:pt>
                <c:pt idx="11">
                  <c:v>30.55328</c:v>
                </c:pt>
                <c:pt idx="12">
                  <c:v>31.47528</c:v>
                </c:pt>
                <c:pt idx="13">
                  <c:v>32.32328</c:v>
                </c:pt>
                <c:pt idx="14">
                  <c:v>33.16928</c:v>
                </c:pt>
                <c:pt idx="15">
                  <c:v>33.96728</c:v>
                </c:pt>
                <c:pt idx="16">
                  <c:v>35.71528</c:v>
                </c:pt>
                <c:pt idx="17">
                  <c:v>36.65128</c:v>
                </c:pt>
                <c:pt idx="18">
                  <c:v>37.64328</c:v>
                </c:pt>
                <c:pt idx="19">
                  <c:v>38.67328000000001</c:v>
                </c:pt>
                <c:pt idx="20">
                  <c:v>39.45328</c:v>
                </c:pt>
                <c:pt idx="21">
                  <c:v>40.49928</c:v>
                </c:pt>
                <c:pt idx="22">
                  <c:v>41.51128</c:v>
                </c:pt>
                <c:pt idx="23">
                  <c:v>42.59928000000001</c:v>
                </c:pt>
                <c:pt idx="24">
                  <c:v>43.61928</c:v>
                </c:pt>
                <c:pt idx="25">
                  <c:v>44.75528</c:v>
                </c:pt>
                <c:pt idx="26">
                  <c:v>45.72384</c:v>
                </c:pt>
                <c:pt idx="27">
                  <c:v>46.6924</c:v>
                </c:pt>
                <c:pt idx="28">
                  <c:v>47.66096</c:v>
                </c:pt>
                <c:pt idx="29">
                  <c:v>48.62952</c:v>
                </c:pt>
                <c:pt idx="30">
                  <c:v>49.59808</c:v>
                </c:pt>
                <c:pt idx="31">
                  <c:v>50.56664000000001</c:v>
                </c:pt>
                <c:pt idx="32">
                  <c:v>51.5352</c:v>
                </c:pt>
                <c:pt idx="33">
                  <c:v>52.50376000000001</c:v>
                </c:pt>
                <c:pt idx="34">
                  <c:v>53.47232</c:v>
                </c:pt>
                <c:pt idx="35">
                  <c:v>54.44088000000001</c:v>
                </c:pt>
              </c:numCache>
            </c:numRef>
          </c:val>
          <c:smooth val="0"/>
        </c:ser>
        <c:ser>
          <c:idx val="1"/>
          <c:order val="4"/>
          <c:tx>
            <c:strRef>
              <c:f>'EIA-derived'!$A$63</c:f>
              <c:strCache>
                <c:ptCount val="1"/>
                <c:pt idx="0">
                  <c:v>LSFO</c:v>
                </c:pt>
              </c:strCache>
            </c:strRef>
          </c:tx>
          <c:spPr>
            <a:ln w="50800" cap="rnd">
              <a:solidFill>
                <a:srgbClr val="999999"/>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'EIA-derived'!$B$63:$AK$63</c:f>
              <c:numCache>
                <c:formatCode>General</c:formatCode>
                <c:ptCount val="36"/>
                <c:pt idx="0">
                  <c:v>17.84916111111111</c:v>
                </c:pt>
                <c:pt idx="1">
                  <c:v>19.81916111111111</c:v>
                </c:pt>
                <c:pt idx="2">
                  <c:v>21.27916111111111</c:v>
                </c:pt>
                <c:pt idx="3">
                  <c:v>21.74916111111111</c:v>
                </c:pt>
                <c:pt idx="4">
                  <c:v>23.13916111111111</c:v>
                </c:pt>
                <c:pt idx="5">
                  <c:v>23.53916111111111</c:v>
                </c:pt>
                <c:pt idx="6">
                  <c:v>24.12916111111111</c:v>
                </c:pt>
                <c:pt idx="7">
                  <c:v>24.88916111111111</c:v>
                </c:pt>
                <c:pt idx="8">
                  <c:v>25.49916111111111</c:v>
                </c:pt>
                <c:pt idx="9">
                  <c:v>26.27916111111111</c:v>
                </c:pt>
                <c:pt idx="10">
                  <c:v>26.95916111111111</c:v>
                </c:pt>
                <c:pt idx="11">
                  <c:v>27.58916111111111</c:v>
                </c:pt>
                <c:pt idx="12">
                  <c:v>28.49916111111111</c:v>
                </c:pt>
                <c:pt idx="13">
                  <c:v>29.27916111111111</c:v>
                </c:pt>
                <c:pt idx="14">
                  <c:v>30.06916111111111</c:v>
                </c:pt>
                <c:pt idx="15">
                  <c:v>30.79916111111111</c:v>
                </c:pt>
                <c:pt idx="16">
                  <c:v>33.11916111111111</c:v>
                </c:pt>
                <c:pt idx="17">
                  <c:v>34.03916111111111</c:v>
                </c:pt>
                <c:pt idx="18">
                  <c:v>34.89916111111111</c:v>
                </c:pt>
                <c:pt idx="19">
                  <c:v>35.90916111111111</c:v>
                </c:pt>
                <c:pt idx="20">
                  <c:v>36.70916111111111</c:v>
                </c:pt>
                <c:pt idx="21">
                  <c:v>37.71916111111111</c:v>
                </c:pt>
                <c:pt idx="22">
                  <c:v>38.69916111111111</c:v>
                </c:pt>
                <c:pt idx="23">
                  <c:v>39.75916111111111</c:v>
                </c:pt>
                <c:pt idx="24">
                  <c:v>40.75916111111111</c:v>
                </c:pt>
                <c:pt idx="25">
                  <c:v>41.83916111111111</c:v>
                </c:pt>
                <c:pt idx="26">
                  <c:v>42.79876111111111</c:v>
                </c:pt>
                <c:pt idx="27">
                  <c:v>43.75836111111111</c:v>
                </c:pt>
                <c:pt idx="28">
                  <c:v>44.71796111111112</c:v>
                </c:pt>
                <c:pt idx="29">
                  <c:v>45.67756111111112</c:v>
                </c:pt>
                <c:pt idx="30">
                  <c:v>46.63716111111112</c:v>
                </c:pt>
                <c:pt idx="31">
                  <c:v>47.59676111111112</c:v>
                </c:pt>
                <c:pt idx="32">
                  <c:v>48.55636111111112</c:v>
                </c:pt>
                <c:pt idx="33">
                  <c:v>49.51596111111112</c:v>
                </c:pt>
                <c:pt idx="34">
                  <c:v>50.47556111111113</c:v>
                </c:pt>
                <c:pt idx="35">
                  <c:v>51.43516111111113</c:v>
                </c:pt>
              </c:numCache>
            </c:numRef>
          </c:val>
          <c:smooth val="0"/>
        </c:ser>
        <c:ser>
          <c:idx val="7"/>
          <c:order val="5"/>
          <c:tx>
            <c:strRef>
              <c:f>'EIA-derived'!$A$71</c:f>
              <c:strCache>
                <c:ptCount val="1"/>
                <c:pt idx="0">
                  <c:v>Bulk LNG @200 Mwa</c:v>
                </c:pt>
              </c:strCache>
            </c:strRef>
          </c:tx>
          <c:spPr>
            <a:ln w="50800" cap="rnd">
              <a:solidFill>
                <a:srgbClr val="FF0000"/>
              </a:solidFill>
              <a:prstDash val="sysDash"/>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'EIA-derived'!$B$71:$AK$71</c:f>
              <c:numCache>
                <c:formatCode>General</c:formatCode>
                <c:ptCount val="36"/>
                <c:pt idx="0">
                  <c:v>14.42706321114396</c:v>
                </c:pt>
                <c:pt idx="1">
                  <c:v>16.88706321114396</c:v>
                </c:pt>
                <c:pt idx="2">
                  <c:v>17.84706321114396</c:v>
                </c:pt>
                <c:pt idx="3">
                  <c:v>18.64706321114396</c:v>
                </c:pt>
                <c:pt idx="4">
                  <c:v>19.24706321114396</c:v>
                </c:pt>
                <c:pt idx="5">
                  <c:v>19.80706321114396</c:v>
                </c:pt>
                <c:pt idx="6">
                  <c:v>20.56706321114396</c:v>
                </c:pt>
                <c:pt idx="7">
                  <c:v>21.31706321114396</c:v>
                </c:pt>
                <c:pt idx="8">
                  <c:v>22.00706321114396</c:v>
                </c:pt>
                <c:pt idx="9">
                  <c:v>23.01706321114396</c:v>
                </c:pt>
                <c:pt idx="10">
                  <c:v>23.93706321114396</c:v>
                </c:pt>
                <c:pt idx="11">
                  <c:v>24.84706321114396</c:v>
                </c:pt>
                <c:pt idx="12">
                  <c:v>25.78706321114396</c:v>
                </c:pt>
                <c:pt idx="13">
                  <c:v>26.73706321114397</c:v>
                </c:pt>
                <c:pt idx="14">
                  <c:v>27.66706321114397</c:v>
                </c:pt>
                <c:pt idx="15">
                  <c:v>28.56706321114396</c:v>
                </c:pt>
                <c:pt idx="16">
                  <c:v>29.45706321114396</c:v>
                </c:pt>
                <c:pt idx="17">
                  <c:v>30.41706321114397</c:v>
                </c:pt>
                <c:pt idx="18">
                  <c:v>31.60706321114396</c:v>
                </c:pt>
                <c:pt idx="19">
                  <c:v>32.66706321114397</c:v>
                </c:pt>
                <c:pt idx="20">
                  <c:v>33.41706321114397</c:v>
                </c:pt>
                <c:pt idx="21">
                  <c:v>34.51706321114396</c:v>
                </c:pt>
                <c:pt idx="22">
                  <c:v>35.57706321114397</c:v>
                </c:pt>
                <c:pt idx="23">
                  <c:v>36.70706321114397</c:v>
                </c:pt>
                <c:pt idx="24">
                  <c:v>37.75706321114396</c:v>
                </c:pt>
                <c:pt idx="25">
                  <c:v>38.97706321114396</c:v>
                </c:pt>
                <c:pt idx="26">
                  <c:v>39.95906321114396</c:v>
                </c:pt>
                <c:pt idx="27">
                  <c:v>40.94106321114396</c:v>
                </c:pt>
                <c:pt idx="28">
                  <c:v>41.92306321114396</c:v>
                </c:pt>
                <c:pt idx="29">
                  <c:v>42.90506321114396</c:v>
                </c:pt>
                <c:pt idx="30">
                  <c:v>43.88706321114396</c:v>
                </c:pt>
                <c:pt idx="31">
                  <c:v>44.86906321114396</c:v>
                </c:pt>
                <c:pt idx="32">
                  <c:v>45.85106321114396</c:v>
                </c:pt>
                <c:pt idx="33">
                  <c:v>46.83306321114396</c:v>
                </c:pt>
                <c:pt idx="34">
                  <c:v>47.81506321114396</c:v>
                </c:pt>
                <c:pt idx="35">
                  <c:v>48.79706321114396</c:v>
                </c:pt>
              </c:numCache>
            </c:numRef>
          </c:val>
          <c:smooth val="0"/>
        </c:ser>
        <c:ser>
          <c:idx val="4"/>
          <c:order val="6"/>
          <c:tx>
            <c:strRef>
              <c:f>'EIA-derived'!$A$66</c:f>
              <c:strCache>
                <c:ptCount val="1"/>
                <c:pt idx="0">
                  <c:v>LNG, bulk</c:v>
                </c:pt>
              </c:strCache>
            </c:strRef>
          </c:tx>
          <c:spPr>
            <a:ln w="50800" cap="rnd">
              <a:solidFill>
                <a:srgbClr val="FF00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'EIA-derived'!$B$66:$AK$66</c:f>
              <c:numCache>
                <c:formatCode>General</c:formatCode>
                <c:ptCount val="36"/>
                <c:pt idx="0">
                  <c:v>9.47706321114396</c:v>
                </c:pt>
                <c:pt idx="1">
                  <c:v>11.93706321114396</c:v>
                </c:pt>
                <c:pt idx="2">
                  <c:v>12.89706321114396</c:v>
                </c:pt>
                <c:pt idx="3">
                  <c:v>13.69706321114396</c:v>
                </c:pt>
                <c:pt idx="4">
                  <c:v>14.29706321114396</c:v>
                </c:pt>
                <c:pt idx="5">
                  <c:v>14.85706321114396</c:v>
                </c:pt>
                <c:pt idx="6">
                  <c:v>15.61706321114396</c:v>
                </c:pt>
                <c:pt idx="7">
                  <c:v>16.36706321114396</c:v>
                </c:pt>
                <c:pt idx="8">
                  <c:v>17.05706321114396</c:v>
                </c:pt>
                <c:pt idx="9">
                  <c:v>18.06706321114396</c:v>
                </c:pt>
                <c:pt idx="10">
                  <c:v>18.98706321114396</c:v>
                </c:pt>
                <c:pt idx="11">
                  <c:v>19.89706321114397</c:v>
                </c:pt>
                <c:pt idx="12">
                  <c:v>20.83706321114396</c:v>
                </c:pt>
                <c:pt idx="13">
                  <c:v>21.78706321114397</c:v>
                </c:pt>
                <c:pt idx="14">
                  <c:v>22.71706321114397</c:v>
                </c:pt>
                <c:pt idx="15">
                  <c:v>23.61706321114396</c:v>
                </c:pt>
                <c:pt idx="16">
                  <c:v>24.50706321114397</c:v>
                </c:pt>
                <c:pt idx="17">
                  <c:v>25.46706321114397</c:v>
                </c:pt>
                <c:pt idx="18">
                  <c:v>26.65706321114396</c:v>
                </c:pt>
                <c:pt idx="19">
                  <c:v>27.71706321114397</c:v>
                </c:pt>
                <c:pt idx="20">
                  <c:v>28.46706321114397</c:v>
                </c:pt>
                <c:pt idx="21">
                  <c:v>29.56706321114396</c:v>
                </c:pt>
                <c:pt idx="22">
                  <c:v>30.62706321114396</c:v>
                </c:pt>
                <c:pt idx="23">
                  <c:v>31.75706321114396</c:v>
                </c:pt>
                <c:pt idx="24">
                  <c:v>32.80706321114396</c:v>
                </c:pt>
                <c:pt idx="25">
                  <c:v>34.02706321114396</c:v>
                </c:pt>
                <c:pt idx="26">
                  <c:v>35.00906321114396</c:v>
                </c:pt>
                <c:pt idx="27">
                  <c:v>35.99106321114396</c:v>
                </c:pt>
                <c:pt idx="28">
                  <c:v>36.97306321114396</c:v>
                </c:pt>
                <c:pt idx="29">
                  <c:v>37.95506321114396</c:v>
                </c:pt>
                <c:pt idx="30">
                  <c:v>38.93706321114396</c:v>
                </c:pt>
                <c:pt idx="31">
                  <c:v>39.91906321114396</c:v>
                </c:pt>
                <c:pt idx="32">
                  <c:v>40.90106321114396</c:v>
                </c:pt>
                <c:pt idx="33">
                  <c:v>41.88306321114396</c:v>
                </c:pt>
                <c:pt idx="34">
                  <c:v>42.86506321114395</c:v>
                </c:pt>
                <c:pt idx="35">
                  <c:v>43.84706321114395</c:v>
                </c:pt>
              </c:numCache>
            </c:numRef>
          </c:val>
          <c:smooth val="0"/>
        </c:ser>
        <c:ser>
          <c:idx val="8"/>
          <c:order val="7"/>
          <c:tx>
            <c:strRef>
              <c:f>'EIA-derived'!$A$68</c:f>
              <c:strCache>
                <c:ptCount val="1"/>
                <c:pt idx="0">
                  <c:v>Pellet-Biomass</c:v>
                </c:pt>
              </c:strCache>
            </c:strRef>
          </c:tx>
          <c:spPr>
            <a:ln w="50800" cap="rnd">
              <a:solidFill>
                <a:srgbClr val="0066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'EIA-derived'!$B$68:$AK$68</c:f>
              <c:numCache>
                <c:formatCode>General</c:formatCode>
                <c:ptCount val="36"/>
                <c:pt idx="0">
                  <c:v>13.0</c:v>
                </c:pt>
                <c:pt idx="1">
                  <c:v>13.0</c:v>
                </c:pt>
                <c:pt idx="2">
                  <c:v>13.0</c:v>
                </c:pt>
                <c:pt idx="3">
                  <c:v>13.0</c:v>
                </c:pt>
                <c:pt idx="4">
                  <c:v>13.0</c:v>
                </c:pt>
                <c:pt idx="5">
                  <c:v>13.0</c:v>
                </c:pt>
                <c:pt idx="6">
                  <c:v>13.0</c:v>
                </c:pt>
                <c:pt idx="7">
                  <c:v>13.0</c:v>
                </c:pt>
                <c:pt idx="8">
                  <c:v>13.0</c:v>
                </c:pt>
                <c:pt idx="9">
                  <c:v>13.0</c:v>
                </c:pt>
                <c:pt idx="10">
                  <c:v>13.0</c:v>
                </c:pt>
                <c:pt idx="11">
                  <c:v>13.0</c:v>
                </c:pt>
                <c:pt idx="12">
                  <c:v>13.0</c:v>
                </c:pt>
                <c:pt idx="13">
                  <c:v>13.0</c:v>
                </c:pt>
                <c:pt idx="14">
                  <c:v>13.0</c:v>
                </c:pt>
                <c:pt idx="15">
                  <c:v>13.0</c:v>
                </c:pt>
                <c:pt idx="16">
                  <c:v>13.0</c:v>
                </c:pt>
                <c:pt idx="17">
                  <c:v>13.0</c:v>
                </c:pt>
                <c:pt idx="18">
                  <c:v>13.0</c:v>
                </c:pt>
                <c:pt idx="19">
                  <c:v>13.0</c:v>
                </c:pt>
                <c:pt idx="20">
                  <c:v>13.0</c:v>
                </c:pt>
                <c:pt idx="21">
                  <c:v>13.0</c:v>
                </c:pt>
                <c:pt idx="22">
                  <c:v>13.0</c:v>
                </c:pt>
                <c:pt idx="23">
                  <c:v>13.0</c:v>
                </c:pt>
                <c:pt idx="24">
                  <c:v>13.0</c:v>
                </c:pt>
                <c:pt idx="25">
                  <c:v>13.0</c:v>
                </c:pt>
                <c:pt idx="26">
                  <c:v>13.0</c:v>
                </c:pt>
                <c:pt idx="27">
                  <c:v>13.0</c:v>
                </c:pt>
                <c:pt idx="28">
                  <c:v>13.0</c:v>
                </c:pt>
                <c:pt idx="29">
                  <c:v>13.0</c:v>
                </c:pt>
                <c:pt idx="30">
                  <c:v>13.0</c:v>
                </c:pt>
                <c:pt idx="31">
                  <c:v>13.0</c:v>
                </c:pt>
                <c:pt idx="32">
                  <c:v>13.0</c:v>
                </c:pt>
                <c:pt idx="33">
                  <c:v>13.0</c:v>
                </c:pt>
                <c:pt idx="34">
                  <c:v>13.0</c:v>
                </c:pt>
                <c:pt idx="35">
                  <c:v>13.0</c:v>
                </c:pt>
              </c:numCache>
            </c:numRef>
          </c:val>
          <c:smooth val="0"/>
        </c:ser>
        <c:ser>
          <c:idx val="5"/>
          <c:order val="8"/>
          <c:tx>
            <c:strRef>
              <c:f>'EIA-derived'!$A$67</c:f>
              <c:strCache>
                <c:ptCount val="1"/>
                <c:pt idx="0">
                  <c:v>Coal</c:v>
                </c:pt>
              </c:strCache>
            </c:strRef>
          </c:tx>
          <c:spPr>
            <a:ln w="50800" cap="rnd">
              <a:solidFill>
                <a:srgbClr val="323232"/>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'EIA-derived'!$B$67:$AK$67</c:f>
              <c:numCache>
                <c:formatCode>General</c:formatCode>
                <c:ptCount val="36"/>
                <c:pt idx="0">
                  <c:v>2.701</c:v>
                </c:pt>
                <c:pt idx="1">
                  <c:v>2.671</c:v>
                </c:pt>
                <c:pt idx="2">
                  <c:v>2.691</c:v>
                </c:pt>
                <c:pt idx="3">
                  <c:v>2.731</c:v>
                </c:pt>
                <c:pt idx="4">
                  <c:v>2.781</c:v>
                </c:pt>
                <c:pt idx="5">
                  <c:v>2.841</c:v>
                </c:pt>
                <c:pt idx="6">
                  <c:v>2.891</c:v>
                </c:pt>
                <c:pt idx="7">
                  <c:v>2.931</c:v>
                </c:pt>
                <c:pt idx="8">
                  <c:v>2.981</c:v>
                </c:pt>
                <c:pt idx="9">
                  <c:v>3.021</c:v>
                </c:pt>
                <c:pt idx="10">
                  <c:v>3.051</c:v>
                </c:pt>
                <c:pt idx="11">
                  <c:v>3.091</c:v>
                </c:pt>
                <c:pt idx="12">
                  <c:v>3.131</c:v>
                </c:pt>
                <c:pt idx="13">
                  <c:v>3.171</c:v>
                </c:pt>
                <c:pt idx="14">
                  <c:v>3.201</c:v>
                </c:pt>
                <c:pt idx="15">
                  <c:v>3.251</c:v>
                </c:pt>
                <c:pt idx="16">
                  <c:v>3.281</c:v>
                </c:pt>
                <c:pt idx="17">
                  <c:v>3.311</c:v>
                </c:pt>
                <c:pt idx="18">
                  <c:v>3.341</c:v>
                </c:pt>
                <c:pt idx="19">
                  <c:v>3.371</c:v>
                </c:pt>
                <c:pt idx="20">
                  <c:v>3.411</c:v>
                </c:pt>
                <c:pt idx="21">
                  <c:v>3.451</c:v>
                </c:pt>
                <c:pt idx="22">
                  <c:v>3.491</c:v>
                </c:pt>
                <c:pt idx="23">
                  <c:v>3.531</c:v>
                </c:pt>
                <c:pt idx="24">
                  <c:v>3.561</c:v>
                </c:pt>
                <c:pt idx="25">
                  <c:v>3.591</c:v>
                </c:pt>
                <c:pt idx="26">
                  <c:v>3.6266</c:v>
                </c:pt>
                <c:pt idx="27">
                  <c:v>3.6622</c:v>
                </c:pt>
                <c:pt idx="28">
                  <c:v>3.6978</c:v>
                </c:pt>
                <c:pt idx="29">
                  <c:v>3.7334</c:v>
                </c:pt>
                <c:pt idx="30">
                  <c:v>3.769</c:v>
                </c:pt>
                <c:pt idx="31">
                  <c:v>3.8046</c:v>
                </c:pt>
                <c:pt idx="32">
                  <c:v>3.8402</c:v>
                </c:pt>
                <c:pt idx="33">
                  <c:v>3.8758</c:v>
                </c:pt>
                <c:pt idx="34">
                  <c:v>3.9114</c:v>
                </c:pt>
                <c:pt idx="35">
                  <c:v>3.947</c:v>
                </c:pt>
              </c:numCache>
            </c:numRef>
          </c:val>
          <c:smooth val="0"/>
        </c:ser>
        <c:dLbls>
          <c:showLegendKey val="0"/>
          <c:showVal val="0"/>
          <c:showCatName val="0"/>
          <c:showSerName val="0"/>
          <c:showPercent val="0"/>
          <c:showBubbleSize val="0"/>
        </c:dLbls>
        <c:smooth val="0"/>
        <c:axId val="2124777472"/>
        <c:axId val="2124782896"/>
      </c:lineChart>
      <c:catAx>
        <c:axId val="212477747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4782896"/>
        <c:crosses val="autoZero"/>
        <c:auto val="1"/>
        <c:lblAlgn val="ctr"/>
        <c:lblOffset val="100"/>
        <c:tickLblSkip val="5"/>
        <c:tickMarkSkip val="5"/>
        <c:noMultiLvlLbl val="0"/>
      </c:catAx>
      <c:valAx>
        <c:axId val="212478289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Delivered Fuel Price (2015$/MMBtu)</a:t>
                </a:r>
              </a:p>
            </c:rich>
          </c:tx>
          <c:layout>
            <c:manualLayout>
              <c:xMode val="edge"/>
              <c:yMode val="edge"/>
              <c:x val="0.000480924732893237"/>
              <c:y val="0.070985179882817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4777472"/>
        <c:crosses val="autoZero"/>
        <c:crossBetween val="midCat"/>
      </c:valAx>
      <c:spPr>
        <a:noFill/>
        <a:ln>
          <a:noFill/>
        </a:ln>
        <a:effectLst/>
      </c:spPr>
    </c:plotArea>
    <c:legend>
      <c:legendPos val="b"/>
      <c:layout>
        <c:manualLayout>
          <c:xMode val="edge"/>
          <c:yMode val="edge"/>
          <c:x val="0.618976643071131"/>
          <c:y val="0.113803285365191"/>
          <c:w val="0.381023356928869"/>
          <c:h val="0.65171513843027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476250</xdr:colOff>
      <xdr:row>21</xdr:row>
      <xdr:rowOff>177800</xdr:rowOff>
    </xdr:from>
    <xdr:to>
      <xdr:col>6</xdr:col>
      <xdr:colOff>95250</xdr:colOff>
      <xdr:row>35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73</xdr:row>
      <xdr:rowOff>177800</xdr:rowOff>
    </xdr:from>
    <xdr:to>
      <xdr:col>11</xdr:col>
      <xdr:colOff>444500</xdr:colOff>
      <xdr:row>92</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11" sqref="D11"/>
    </sheetView>
  </sheetViews>
  <sheetFormatPr baseColWidth="10" defaultRowHeight="16" x14ac:dyDescent="0.2"/>
  <cols>
    <col min="1" max="1" width="27.1640625" bestFit="1" customWidth="1"/>
    <col min="2" max="2" width="13.5" bestFit="1" customWidth="1"/>
    <col min="4" max="4" width="31" bestFit="1" customWidth="1"/>
    <col min="5" max="5" width="11.1640625" bestFit="1" customWidth="1"/>
    <col min="6" max="6" width="11.6640625" bestFit="1" customWidth="1"/>
  </cols>
  <sheetData>
    <row r="1" spans="1:8" x14ac:dyDescent="0.2">
      <c r="A1" t="s">
        <v>0</v>
      </c>
      <c r="D1" t="s">
        <v>12</v>
      </c>
    </row>
    <row r="2" spans="1:8" x14ac:dyDescent="0.2">
      <c r="B2" t="s">
        <v>5</v>
      </c>
    </row>
    <row r="3" spans="1:8" x14ac:dyDescent="0.2">
      <c r="A3" t="s">
        <v>2</v>
      </c>
      <c r="B3">
        <v>4.3099999999999996</v>
      </c>
      <c r="D3" t="s">
        <v>6</v>
      </c>
      <c r="E3">
        <v>0.85</v>
      </c>
      <c r="F3" t="s">
        <v>7</v>
      </c>
      <c r="G3" t="s">
        <v>8</v>
      </c>
    </row>
    <row r="4" spans="1:8" x14ac:dyDescent="0.2">
      <c r="A4" t="s">
        <v>1</v>
      </c>
      <c r="B4">
        <f>8.3-4.31</f>
        <v>3.9900000000000011</v>
      </c>
      <c r="D4" t="s">
        <v>9</v>
      </c>
      <c r="E4">
        <v>76000000</v>
      </c>
      <c r="F4" t="s">
        <v>11</v>
      </c>
      <c r="G4" t="s">
        <v>10</v>
      </c>
    </row>
    <row r="5" spans="1:8" x14ac:dyDescent="0.2">
      <c r="A5" t="s">
        <v>3</v>
      </c>
      <c r="B5">
        <v>1.89</v>
      </c>
      <c r="D5" t="s">
        <v>14</v>
      </c>
      <c r="E5" s="1">
        <v>51113806</v>
      </c>
      <c r="F5" t="s">
        <v>13</v>
      </c>
      <c r="G5" t="s">
        <v>18</v>
      </c>
    </row>
    <row r="6" spans="1:8" x14ac:dyDescent="0.2">
      <c r="A6" t="s">
        <v>4</v>
      </c>
      <c r="B6">
        <v>2.54</v>
      </c>
      <c r="D6" t="s">
        <v>15</v>
      </c>
      <c r="E6">
        <f>E5*E3</f>
        <v>43446735.100000001</v>
      </c>
      <c r="F6" t="s">
        <v>16</v>
      </c>
    </row>
    <row r="7" spans="1:8" x14ac:dyDescent="0.2">
      <c r="A7" t="s">
        <v>36</v>
      </c>
      <c r="B7">
        <f>SUM(B3:B6)</f>
        <v>12.73</v>
      </c>
      <c r="D7" t="s">
        <v>17</v>
      </c>
      <c r="E7">
        <f>E4/E6</f>
        <v>1.7492683817339361</v>
      </c>
    </row>
    <row r="8" spans="1:8" x14ac:dyDescent="0.2">
      <c r="D8" t="s">
        <v>37</v>
      </c>
      <c r="E8">
        <f>E6*1000000/8000/1000/8760</f>
        <v>619.95911957762564</v>
      </c>
    </row>
    <row r="10" spans="1:8" x14ac:dyDescent="0.2">
      <c r="D10" t="s">
        <v>100</v>
      </c>
      <c r="E10">
        <v>200</v>
      </c>
    </row>
    <row r="11" spans="1:8" x14ac:dyDescent="0.2">
      <c r="D11" t="str">
        <f>"Cost per MMBtu per year (@ " &amp; E10 &amp; " MWa)"</f>
        <v>Cost per MMBtu per year (@ 200 MWa)</v>
      </c>
      <c r="E11">
        <f>E7*E8/E10</f>
        <v>5.422374429223745</v>
      </c>
    </row>
    <row r="14" spans="1:8" x14ac:dyDescent="0.2">
      <c r="D14" t="s">
        <v>69</v>
      </c>
      <c r="E14">
        <v>2015</v>
      </c>
      <c r="F14">
        <v>2020</v>
      </c>
      <c r="G14">
        <v>2025</v>
      </c>
      <c r="H14">
        <v>2030</v>
      </c>
    </row>
    <row r="15" spans="1:8" x14ac:dyDescent="0.2">
      <c r="D15" t="s">
        <v>65</v>
      </c>
      <c r="E15">
        <v>8.6300000000000008</v>
      </c>
      <c r="F15">
        <v>8.98</v>
      </c>
      <c r="G15">
        <v>10.23</v>
      </c>
      <c r="H15">
        <v>11.02</v>
      </c>
    </row>
    <row r="16" spans="1:8" x14ac:dyDescent="0.2">
      <c r="D16" t="s">
        <v>66</v>
      </c>
      <c r="E16">
        <v>26.22</v>
      </c>
      <c r="F16">
        <v>26.57</v>
      </c>
      <c r="G16">
        <v>27.82</v>
      </c>
      <c r="H16">
        <v>28.61</v>
      </c>
    </row>
    <row r="17" spans="4:8" x14ac:dyDescent="0.2">
      <c r="D17" t="s">
        <v>67</v>
      </c>
      <c r="E17">
        <v>11.13</v>
      </c>
      <c r="F17">
        <v>11.48</v>
      </c>
      <c r="G17">
        <v>12.73</v>
      </c>
      <c r="H17">
        <v>13.52</v>
      </c>
    </row>
    <row r="18" spans="4:8" x14ac:dyDescent="0.2">
      <c r="D18" t="s">
        <v>68</v>
      </c>
      <c r="E18">
        <v>28.72</v>
      </c>
      <c r="F18">
        <v>29.07</v>
      </c>
      <c r="G18">
        <v>30.3</v>
      </c>
      <c r="H18">
        <v>31.11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workbookViewId="0">
      <selection activeCell="J23" sqref="J23"/>
    </sheetView>
  </sheetViews>
  <sheetFormatPr baseColWidth="10" defaultRowHeight="16" x14ac:dyDescent="0.2"/>
  <sheetData>
    <row r="1" spans="1:32" x14ac:dyDescent="0.2">
      <c r="A1" t="s">
        <v>19</v>
      </c>
      <c r="I1" t="s">
        <v>25</v>
      </c>
      <c r="J1" t="s">
        <v>30</v>
      </c>
      <c r="K1" t="s">
        <v>32</v>
      </c>
      <c r="R1" t="s">
        <v>25</v>
      </c>
      <c r="S1" t="s">
        <v>31</v>
      </c>
      <c r="Z1" t="s">
        <v>25</v>
      </c>
      <c r="AA1" t="s">
        <v>38</v>
      </c>
    </row>
    <row r="2" spans="1:32" x14ac:dyDescent="0.2">
      <c r="B2" t="s">
        <v>20</v>
      </c>
      <c r="C2" t="s">
        <v>21</v>
      </c>
      <c r="D2" t="s">
        <v>22</v>
      </c>
      <c r="E2" t="s">
        <v>33</v>
      </c>
      <c r="F2" t="s">
        <v>23</v>
      </c>
      <c r="G2" t="s">
        <v>24</v>
      </c>
      <c r="J2" t="s">
        <v>27</v>
      </c>
      <c r="K2" t="s">
        <v>23</v>
      </c>
      <c r="L2" t="s">
        <v>28</v>
      </c>
      <c r="M2" t="s">
        <v>29</v>
      </c>
      <c r="N2" t="s">
        <v>24</v>
      </c>
      <c r="O2" t="s">
        <v>21</v>
      </c>
      <c r="P2" t="s">
        <v>22</v>
      </c>
      <c r="S2" t="s">
        <v>27</v>
      </c>
      <c r="T2" t="s">
        <v>23</v>
      </c>
      <c r="U2" t="s">
        <v>29</v>
      </c>
      <c r="V2" t="s">
        <v>24</v>
      </c>
      <c r="W2" t="s">
        <v>21</v>
      </c>
      <c r="X2" t="s">
        <v>22</v>
      </c>
      <c r="Z2" t="s">
        <v>26</v>
      </c>
      <c r="AA2" t="s">
        <v>27</v>
      </c>
      <c r="AB2" t="s">
        <v>23</v>
      </c>
      <c r="AC2" t="s">
        <v>29</v>
      </c>
      <c r="AD2" t="s">
        <v>24</v>
      </c>
      <c r="AE2" t="s">
        <v>21</v>
      </c>
      <c r="AF2" t="s">
        <v>22</v>
      </c>
    </row>
    <row r="3" spans="1:32" x14ac:dyDescent="0.2">
      <c r="I3">
        <v>2013</v>
      </c>
      <c r="J3">
        <v>49.104999999999997</v>
      </c>
      <c r="K3">
        <v>47.005000000000003</v>
      </c>
      <c r="L3">
        <v>2.6309999999999998</v>
      </c>
      <c r="M3">
        <v>20.52</v>
      </c>
      <c r="N3">
        <v>100</v>
      </c>
      <c r="O3">
        <v>17.64</v>
      </c>
      <c r="P3">
        <v>21.69</v>
      </c>
      <c r="R3">
        <v>2013</v>
      </c>
      <c r="S3">
        <v>49.4</v>
      </c>
      <c r="T3">
        <v>50.84</v>
      </c>
      <c r="U3">
        <v>20.47</v>
      </c>
      <c r="V3">
        <v>100</v>
      </c>
      <c r="W3">
        <v>17.59</v>
      </c>
      <c r="X3">
        <v>21.64</v>
      </c>
      <c r="Z3">
        <v>2013</v>
      </c>
      <c r="AA3">
        <v>48.81</v>
      </c>
      <c r="AB3">
        <v>43.17</v>
      </c>
      <c r="AC3">
        <v>20.49</v>
      </c>
      <c r="AD3">
        <v>100</v>
      </c>
      <c r="AE3">
        <v>17.61</v>
      </c>
      <c r="AF3">
        <v>21.66</v>
      </c>
    </row>
    <row r="4" spans="1:32" x14ac:dyDescent="0.2">
      <c r="A4">
        <v>2014</v>
      </c>
      <c r="I4">
        <v>2014</v>
      </c>
      <c r="J4">
        <v>47.744999999999997</v>
      </c>
      <c r="K4">
        <v>44.63</v>
      </c>
      <c r="L4">
        <v>2.665</v>
      </c>
      <c r="M4">
        <v>20.85</v>
      </c>
      <c r="N4">
        <v>100</v>
      </c>
      <c r="O4">
        <v>17.920000000000002</v>
      </c>
      <c r="P4">
        <v>22.04</v>
      </c>
      <c r="R4">
        <v>2014</v>
      </c>
      <c r="S4">
        <v>50.75</v>
      </c>
      <c r="T4">
        <v>51.33</v>
      </c>
      <c r="U4">
        <v>25.69</v>
      </c>
      <c r="V4">
        <v>100</v>
      </c>
      <c r="W4">
        <v>22.57</v>
      </c>
      <c r="X4">
        <v>26.98</v>
      </c>
      <c r="Z4">
        <v>2014</v>
      </c>
      <c r="AA4">
        <v>44.74</v>
      </c>
      <c r="AB4">
        <v>37.93</v>
      </c>
      <c r="AC4">
        <v>18.48</v>
      </c>
      <c r="AD4">
        <v>100</v>
      </c>
      <c r="AE4">
        <v>15.66</v>
      </c>
      <c r="AF4">
        <v>19.61</v>
      </c>
    </row>
    <row r="5" spans="1:32" x14ac:dyDescent="0.2">
      <c r="A5">
        <f t="shared" ref="A5:A20" si="0">A4+1</f>
        <v>2015</v>
      </c>
      <c r="I5">
        <v>2015</v>
      </c>
      <c r="J5">
        <v>46.71</v>
      </c>
      <c r="K5">
        <v>43.85</v>
      </c>
      <c r="L5">
        <v>2.698</v>
      </c>
      <c r="M5">
        <v>20.96</v>
      </c>
      <c r="N5">
        <v>13.7</v>
      </c>
      <c r="O5">
        <v>18</v>
      </c>
      <c r="P5">
        <v>22.16</v>
      </c>
      <c r="R5">
        <v>2015</v>
      </c>
      <c r="S5">
        <v>50.71</v>
      </c>
      <c r="T5">
        <v>52.14</v>
      </c>
      <c r="U5">
        <v>28.17</v>
      </c>
      <c r="V5">
        <v>21.11</v>
      </c>
      <c r="W5">
        <v>24.92</v>
      </c>
      <c r="X5">
        <v>29.54</v>
      </c>
      <c r="Z5">
        <v>2015</v>
      </c>
      <c r="AA5">
        <v>42.71</v>
      </c>
      <c r="AB5">
        <v>35.56</v>
      </c>
      <c r="AC5">
        <v>17.63</v>
      </c>
      <c r="AD5">
        <v>9.1790000000000003</v>
      </c>
      <c r="AE5">
        <v>14.8</v>
      </c>
      <c r="AF5">
        <v>18.75</v>
      </c>
    </row>
    <row r="6" spans="1:32" x14ac:dyDescent="0.2">
      <c r="A6">
        <f t="shared" si="0"/>
        <v>2016</v>
      </c>
      <c r="I6">
        <v>2016</v>
      </c>
      <c r="J6">
        <v>46.7</v>
      </c>
      <c r="K6">
        <v>43.49</v>
      </c>
      <c r="L6">
        <v>2.7309999999999999</v>
      </c>
      <c r="M6">
        <v>21.5</v>
      </c>
      <c r="N6">
        <v>14.4</v>
      </c>
      <c r="O6">
        <v>18.48</v>
      </c>
      <c r="P6">
        <v>22.72</v>
      </c>
      <c r="R6">
        <v>2016</v>
      </c>
      <c r="S6">
        <v>50.9</v>
      </c>
      <c r="T6">
        <v>52.23</v>
      </c>
      <c r="U6">
        <v>30.27</v>
      </c>
      <c r="V6">
        <v>21.53</v>
      </c>
      <c r="W6">
        <v>26.91</v>
      </c>
      <c r="X6">
        <v>31.69</v>
      </c>
      <c r="Z6">
        <v>2016</v>
      </c>
      <c r="AA6">
        <v>42.5</v>
      </c>
      <c r="AB6">
        <v>34.75</v>
      </c>
      <c r="AC6">
        <v>16.96</v>
      </c>
      <c r="AD6">
        <v>9.6479999999999997</v>
      </c>
      <c r="AE6">
        <v>14.12</v>
      </c>
      <c r="AF6">
        <v>18.079999999999998</v>
      </c>
    </row>
    <row r="7" spans="1:32" x14ac:dyDescent="0.2">
      <c r="A7">
        <f t="shared" si="0"/>
        <v>2017</v>
      </c>
      <c r="B7">
        <v>20.56</v>
      </c>
      <c r="C7">
        <v>17.760000000000002</v>
      </c>
      <c r="D7">
        <v>21.76</v>
      </c>
      <c r="E7">
        <v>18.84</v>
      </c>
      <c r="F7">
        <v>30.54</v>
      </c>
      <c r="G7">
        <v>15.71</v>
      </c>
      <c r="H7" t="s">
        <v>34</v>
      </c>
      <c r="I7">
        <v>2017</v>
      </c>
      <c r="J7">
        <v>46.465000000000003</v>
      </c>
      <c r="K7">
        <v>43.34</v>
      </c>
      <c r="L7">
        <v>2.7639999999999998</v>
      </c>
      <c r="M7">
        <v>22.24</v>
      </c>
      <c r="N7">
        <v>14.6</v>
      </c>
      <c r="O7">
        <v>19.16</v>
      </c>
      <c r="P7">
        <v>23.49</v>
      </c>
      <c r="R7">
        <v>2017</v>
      </c>
      <c r="S7">
        <v>50.63</v>
      </c>
      <c r="T7">
        <v>52.46</v>
      </c>
      <c r="U7">
        <v>31.23</v>
      </c>
      <c r="V7">
        <v>22.12</v>
      </c>
      <c r="W7">
        <v>27.81</v>
      </c>
      <c r="X7">
        <v>32.68</v>
      </c>
      <c r="Z7">
        <v>2017</v>
      </c>
      <c r="AA7">
        <v>42.3</v>
      </c>
      <c r="AB7">
        <v>34.22</v>
      </c>
      <c r="AC7">
        <v>16.329999999999998</v>
      </c>
      <c r="AD7">
        <v>9.782</v>
      </c>
      <c r="AE7">
        <v>13.48</v>
      </c>
      <c r="AF7">
        <v>17.45</v>
      </c>
    </row>
    <row r="8" spans="1:32" x14ac:dyDescent="0.2">
      <c r="A8">
        <f t="shared" si="0"/>
        <v>2018</v>
      </c>
      <c r="G8">
        <v>15.81</v>
      </c>
      <c r="H8" t="s">
        <v>34</v>
      </c>
      <c r="I8">
        <v>2018</v>
      </c>
      <c r="J8">
        <v>46.39</v>
      </c>
      <c r="K8">
        <v>43.04</v>
      </c>
      <c r="L8">
        <v>2.7970000000000002</v>
      </c>
      <c r="M8">
        <v>23.03</v>
      </c>
      <c r="N8">
        <v>15</v>
      </c>
      <c r="O8">
        <v>19.88</v>
      </c>
      <c r="P8">
        <v>24.31</v>
      </c>
      <c r="R8">
        <v>2018</v>
      </c>
      <c r="S8">
        <v>50.68</v>
      </c>
      <c r="T8">
        <v>52.51</v>
      </c>
      <c r="U8">
        <v>32.26</v>
      </c>
      <c r="V8">
        <v>22.75</v>
      </c>
      <c r="W8">
        <v>28.77</v>
      </c>
      <c r="X8">
        <v>33.75</v>
      </c>
      <c r="Z8">
        <v>2018</v>
      </c>
      <c r="AA8">
        <v>42.1</v>
      </c>
      <c r="AB8">
        <v>33.57</v>
      </c>
      <c r="AC8">
        <v>16.59</v>
      </c>
      <c r="AD8">
        <v>10.050000000000001</v>
      </c>
      <c r="AE8">
        <v>13.69</v>
      </c>
      <c r="AF8">
        <v>17.73</v>
      </c>
    </row>
    <row r="9" spans="1:32" x14ac:dyDescent="0.2">
      <c r="A9">
        <f t="shared" si="0"/>
        <v>2019</v>
      </c>
      <c r="G9">
        <v>16</v>
      </c>
      <c r="H9" t="s">
        <v>34</v>
      </c>
      <c r="I9">
        <v>2019</v>
      </c>
      <c r="J9">
        <v>46.17</v>
      </c>
      <c r="K9">
        <v>42.825000000000003</v>
      </c>
      <c r="L9">
        <v>2.8290000000000002</v>
      </c>
      <c r="M9">
        <v>23.84</v>
      </c>
      <c r="N9">
        <v>15.2</v>
      </c>
      <c r="O9">
        <v>20.62</v>
      </c>
      <c r="P9">
        <v>25.15</v>
      </c>
      <c r="R9">
        <v>2019</v>
      </c>
      <c r="S9">
        <v>50.45</v>
      </c>
      <c r="T9">
        <v>52.7</v>
      </c>
      <c r="U9">
        <v>33.35</v>
      </c>
      <c r="V9">
        <v>23.4</v>
      </c>
      <c r="W9">
        <v>29.78</v>
      </c>
      <c r="X9">
        <v>34.86</v>
      </c>
      <c r="Z9">
        <v>2019</v>
      </c>
      <c r="AA9">
        <v>41.89</v>
      </c>
      <c r="AB9">
        <v>32.950000000000003</v>
      </c>
      <c r="AC9">
        <v>16.88</v>
      </c>
      <c r="AD9">
        <v>10.183999999999999</v>
      </c>
      <c r="AE9">
        <v>13.92</v>
      </c>
      <c r="AF9">
        <v>18.04</v>
      </c>
    </row>
    <row r="10" spans="1:32" x14ac:dyDescent="0.2">
      <c r="A10">
        <f t="shared" si="0"/>
        <v>2020</v>
      </c>
      <c r="G10">
        <v>16.3</v>
      </c>
      <c r="H10" t="s">
        <v>34</v>
      </c>
      <c r="I10">
        <v>2020</v>
      </c>
      <c r="J10">
        <v>46.115000000000002</v>
      </c>
      <c r="K10">
        <v>42.53</v>
      </c>
      <c r="L10">
        <v>2.8610000000000002</v>
      </c>
      <c r="M10">
        <v>24.69</v>
      </c>
      <c r="N10">
        <v>15.5</v>
      </c>
      <c r="O10">
        <v>21.41</v>
      </c>
      <c r="P10">
        <v>26.04</v>
      </c>
      <c r="R10">
        <v>2020</v>
      </c>
      <c r="S10">
        <v>50.54</v>
      </c>
      <c r="T10">
        <v>52.76</v>
      </c>
      <c r="U10">
        <v>34.520000000000003</v>
      </c>
      <c r="V10">
        <v>24.09</v>
      </c>
      <c r="W10">
        <v>30.87</v>
      </c>
      <c r="X10">
        <v>36.08</v>
      </c>
      <c r="Z10">
        <v>2020</v>
      </c>
      <c r="AA10">
        <v>41.69</v>
      </c>
      <c r="AB10">
        <v>32.299999999999997</v>
      </c>
      <c r="AC10">
        <v>17.239999999999998</v>
      </c>
      <c r="AD10">
        <v>10.385</v>
      </c>
      <c r="AE10">
        <v>14.23</v>
      </c>
      <c r="AF10">
        <v>18.420000000000002</v>
      </c>
    </row>
    <row r="11" spans="1:32" x14ac:dyDescent="0.2">
      <c r="A11">
        <f t="shared" si="0"/>
        <v>2021</v>
      </c>
      <c r="B11">
        <v>23.4</v>
      </c>
      <c r="C11">
        <v>20.39</v>
      </c>
      <c r="D11">
        <v>24.72</v>
      </c>
      <c r="E11">
        <v>21.55</v>
      </c>
      <c r="F11">
        <v>31.54</v>
      </c>
      <c r="G11">
        <v>16.690000000000001</v>
      </c>
      <c r="H11" t="s">
        <v>34</v>
      </c>
      <c r="I11">
        <v>2021</v>
      </c>
      <c r="J11">
        <v>46.14</v>
      </c>
      <c r="K11">
        <v>42.265000000000001</v>
      </c>
      <c r="L11">
        <v>2.8919999999999999</v>
      </c>
      <c r="M11">
        <v>25.6</v>
      </c>
      <c r="N11">
        <v>15.7</v>
      </c>
      <c r="O11">
        <v>22.24</v>
      </c>
      <c r="P11">
        <v>26.98</v>
      </c>
      <c r="R11">
        <v>2021</v>
      </c>
      <c r="S11">
        <v>50.79</v>
      </c>
      <c r="T11">
        <v>53.04</v>
      </c>
      <c r="U11">
        <v>35.770000000000003</v>
      </c>
      <c r="V11">
        <v>24.82</v>
      </c>
      <c r="W11">
        <v>32.03</v>
      </c>
      <c r="X11">
        <v>37.369999999999997</v>
      </c>
      <c r="Z11">
        <v>2021</v>
      </c>
      <c r="AA11">
        <v>41.49</v>
      </c>
      <c r="AB11">
        <v>31.49</v>
      </c>
      <c r="AC11">
        <v>17.62</v>
      </c>
      <c r="AD11">
        <v>10.519</v>
      </c>
      <c r="AE11">
        <v>14.55</v>
      </c>
      <c r="AF11">
        <v>18.829999999999998</v>
      </c>
    </row>
    <row r="12" spans="1:32" x14ac:dyDescent="0.2">
      <c r="A12">
        <f t="shared" si="0"/>
        <v>2022</v>
      </c>
      <c r="G12">
        <v>12.73</v>
      </c>
      <c r="H12" t="s">
        <v>35</v>
      </c>
      <c r="I12">
        <v>2022</v>
      </c>
      <c r="J12">
        <v>46.085000000000001</v>
      </c>
      <c r="K12">
        <v>42.174999999999997</v>
      </c>
      <c r="L12">
        <v>2.923</v>
      </c>
      <c r="M12">
        <v>26.56</v>
      </c>
      <c r="N12">
        <v>16.2</v>
      </c>
      <c r="O12">
        <v>23.12</v>
      </c>
      <c r="P12">
        <v>27.98</v>
      </c>
      <c r="R12">
        <v>2022</v>
      </c>
      <c r="S12">
        <v>50.89</v>
      </c>
      <c r="T12">
        <v>53.38</v>
      </c>
      <c r="U12">
        <v>37.18</v>
      </c>
      <c r="V12">
        <v>25.6</v>
      </c>
      <c r="W12">
        <v>33.340000000000003</v>
      </c>
      <c r="X12">
        <v>38.83</v>
      </c>
      <c r="Z12">
        <v>2022</v>
      </c>
      <c r="AA12">
        <v>41.28</v>
      </c>
      <c r="AB12">
        <v>30.97</v>
      </c>
      <c r="AC12">
        <v>18.05</v>
      </c>
      <c r="AD12">
        <v>10.853999999999999</v>
      </c>
      <c r="AE12">
        <v>14.91</v>
      </c>
      <c r="AF12">
        <v>19.28</v>
      </c>
    </row>
    <row r="13" spans="1:32" x14ac:dyDescent="0.2">
      <c r="A13">
        <f t="shared" si="0"/>
        <v>2023</v>
      </c>
      <c r="B13">
        <v>25.32</v>
      </c>
      <c r="C13">
        <v>22.18</v>
      </c>
      <c r="D13">
        <v>26.7</v>
      </c>
      <c r="E13">
        <v>23.39</v>
      </c>
      <c r="F13">
        <v>32.049999999999997</v>
      </c>
      <c r="G13">
        <v>12.95</v>
      </c>
      <c r="H13" t="s">
        <v>35</v>
      </c>
      <c r="I13">
        <v>2023</v>
      </c>
      <c r="J13">
        <v>46.02</v>
      </c>
      <c r="K13">
        <v>41.86</v>
      </c>
      <c r="L13">
        <v>2.9540000000000002</v>
      </c>
      <c r="M13">
        <v>27.56</v>
      </c>
      <c r="N13">
        <v>16.600000000000001</v>
      </c>
      <c r="O13">
        <v>24.03</v>
      </c>
      <c r="P13">
        <v>29.01</v>
      </c>
      <c r="R13">
        <v>2023</v>
      </c>
      <c r="S13">
        <v>50.96</v>
      </c>
      <c r="T13">
        <v>53.65</v>
      </c>
      <c r="U13">
        <v>38.619999999999997</v>
      </c>
      <c r="V13">
        <v>26.42</v>
      </c>
      <c r="W13">
        <v>34.67</v>
      </c>
      <c r="X13">
        <v>40.31</v>
      </c>
      <c r="Z13">
        <v>2023</v>
      </c>
      <c r="AA13">
        <v>41.08</v>
      </c>
      <c r="AB13">
        <v>30.07</v>
      </c>
      <c r="AC13">
        <v>18.45</v>
      </c>
      <c r="AD13">
        <v>11.122</v>
      </c>
      <c r="AE13">
        <v>15.25</v>
      </c>
      <c r="AF13">
        <v>19.71</v>
      </c>
    </row>
    <row r="14" spans="1:32" x14ac:dyDescent="0.2">
      <c r="A14">
        <f t="shared" si="0"/>
        <v>2024</v>
      </c>
      <c r="G14">
        <v>13.12</v>
      </c>
      <c r="H14" t="s">
        <v>35</v>
      </c>
      <c r="I14">
        <v>2024</v>
      </c>
      <c r="J14">
        <v>45.954999999999998</v>
      </c>
      <c r="K14">
        <v>41.62</v>
      </c>
      <c r="L14">
        <v>2.9849999999999999</v>
      </c>
      <c r="M14">
        <v>28.6</v>
      </c>
      <c r="N14">
        <v>16.899999999999999</v>
      </c>
      <c r="O14">
        <v>24.98</v>
      </c>
      <c r="P14">
        <v>30.09</v>
      </c>
      <c r="R14">
        <v>2024</v>
      </c>
      <c r="S14">
        <v>51.03</v>
      </c>
      <c r="T14">
        <v>53.89</v>
      </c>
      <c r="U14">
        <v>40.159999999999997</v>
      </c>
      <c r="V14">
        <v>27.27</v>
      </c>
      <c r="W14">
        <v>36.11</v>
      </c>
      <c r="X14">
        <v>41.9</v>
      </c>
      <c r="Z14">
        <v>2024</v>
      </c>
      <c r="AA14">
        <v>40.880000000000003</v>
      </c>
      <c r="AB14">
        <v>29.35</v>
      </c>
      <c r="AC14">
        <v>18.829999999999998</v>
      </c>
      <c r="AD14">
        <v>11.323</v>
      </c>
      <c r="AE14">
        <v>15.58</v>
      </c>
      <c r="AF14">
        <v>20.11</v>
      </c>
    </row>
    <row r="15" spans="1:32" x14ac:dyDescent="0.2">
      <c r="A15">
        <f t="shared" si="0"/>
        <v>2025</v>
      </c>
      <c r="G15">
        <v>13.33</v>
      </c>
      <c r="H15" t="s">
        <v>35</v>
      </c>
      <c r="I15">
        <v>2025</v>
      </c>
      <c r="J15">
        <v>45.884999999999998</v>
      </c>
      <c r="K15">
        <v>41.375</v>
      </c>
      <c r="L15">
        <v>3.0150000000000001</v>
      </c>
      <c r="M15">
        <v>29.68</v>
      </c>
      <c r="N15">
        <v>17.2</v>
      </c>
      <c r="O15">
        <v>25.97</v>
      </c>
      <c r="P15">
        <v>31.2</v>
      </c>
      <c r="R15">
        <v>2025</v>
      </c>
      <c r="S15">
        <v>51.1</v>
      </c>
      <c r="T15">
        <v>54.12</v>
      </c>
      <c r="U15">
        <v>41.8</v>
      </c>
      <c r="V15">
        <v>28.16</v>
      </c>
      <c r="W15">
        <v>37.630000000000003</v>
      </c>
      <c r="X15">
        <v>43.59</v>
      </c>
      <c r="Z15">
        <v>2025</v>
      </c>
      <c r="AA15">
        <v>40.67</v>
      </c>
      <c r="AB15">
        <v>28.63</v>
      </c>
      <c r="AC15">
        <v>19.25</v>
      </c>
      <c r="AD15">
        <v>11.523999999999999</v>
      </c>
      <c r="AE15">
        <v>15.93</v>
      </c>
      <c r="AF15">
        <v>20.55</v>
      </c>
    </row>
    <row r="16" spans="1:32" x14ac:dyDescent="0.2">
      <c r="A16">
        <f t="shared" si="0"/>
        <v>2026</v>
      </c>
      <c r="G16">
        <v>13.61</v>
      </c>
      <c r="H16" t="s">
        <v>35</v>
      </c>
      <c r="I16">
        <v>2026</v>
      </c>
      <c r="J16">
        <v>45.82</v>
      </c>
      <c r="K16">
        <v>41.14</v>
      </c>
      <c r="L16">
        <v>3.0449999999999999</v>
      </c>
      <c r="M16">
        <v>30.8</v>
      </c>
      <c r="N16">
        <v>17.600000000000001</v>
      </c>
      <c r="O16">
        <v>27</v>
      </c>
      <c r="P16">
        <v>32.369999999999997</v>
      </c>
      <c r="R16">
        <v>2026</v>
      </c>
      <c r="S16">
        <v>51.17</v>
      </c>
      <c r="T16">
        <v>54.36</v>
      </c>
      <c r="U16">
        <v>43.51</v>
      </c>
      <c r="V16">
        <v>29.08</v>
      </c>
      <c r="W16">
        <v>39.22</v>
      </c>
      <c r="X16">
        <v>45.36</v>
      </c>
      <c r="Z16">
        <v>2026</v>
      </c>
      <c r="AA16">
        <v>40.47</v>
      </c>
      <c r="AB16">
        <v>27.92</v>
      </c>
      <c r="AC16">
        <v>19.64</v>
      </c>
      <c r="AD16">
        <v>11.792</v>
      </c>
      <c r="AE16">
        <v>16.260000000000002</v>
      </c>
      <c r="AF16">
        <v>20.97</v>
      </c>
    </row>
    <row r="17" spans="1:32" x14ac:dyDescent="0.2">
      <c r="A17">
        <f t="shared" si="0"/>
        <v>2027</v>
      </c>
      <c r="G17">
        <v>14.02</v>
      </c>
      <c r="H17" t="s">
        <v>35</v>
      </c>
      <c r="I17">
        <v>2027</v>
      </c>
      <c r="J17">
        <v>45.755000000000003</v>
      </c>
      <c r="K17">
        <v>40.9</v>
      </c>
      <c r="L17">
        <v>3.0739999999999998</v>
      </c>
      <c r="M17">
        <v>31.96</v>
      </c>
      <c r="N17">
        <v>17.899999999999999</v>
      </c>
      <c r="O17">
        <v>28.08</v>
      </c>
      <c r="P17">
        <v>33.58</v>
      </c>
      <c r="R17">
        <v>2027</v>
      </c>
      <c r="S17">
        <v>51.24</v>
      </c>
      <c r="T17">
        <v>54.6</v>
      </c>
      <c r="U17">
        <v>45.28</v>
      </c>
      <c r="V17">
        <v>30.04</v>
      </c>
      <c r="W17">
        <v>40.869999999999997</v>
      </c>
      <c r="X17">
        <v>47.19</v>
      </c>
      <c r="Z17">
        <v>2027</v>
      </c>
      <c r="AA17">
        <v>40.270000000000003</v>
      </c>
      <c r="AB17">
        <v>27.2</v>
      </c>
      <c r="AC17">
        <v>20.03</v>
      </c>
      <c r="AD17">
        <v>11.993</v>
      </c>
      <c r="AE17">
        <v>16.600000000000001</v>
      </c>
      <c r="AF17">
        <v>21.38</v>
      </c>
    </row>
    <row r="18" spans="1:32" x14ac:dyDescent="0.2">
      <c r="A18">
        <f t="shared" si="0"/>
        <v>2028</v>
      </c>
      <c r="G18">
        <v>14.39</v>
      </c>
      <c r="H18" t="s">
        <v>35</v>
      </c>
      <c r="I18">
        <v>2028</v>
      </c>
      <c r="J18">
        <v>45.685000000000002</v>
      </c>
      <c r="K18">
        <v>40.659999999999997</v>
      </c>
      <c r="L18">
        <v>3.1030000000000002</v>
      </c>
      <c r="M18">
        <v>33.18</v>
      </c>
      <c r="N18">
        <v>18.2</v>
      </c>
      <c r="O18">
        <v>29.19</v>
      </c>
      <c r="P18">
        <v>34.83</v>
      </c>
      <c r="R18">
        <v>2028</v>
      </c>
      <c r="S18">
        <v>51.31</v>
      </c>
      <c r="T18">
        <v>54.84</v>
      </c>
      <c r="U18">
        <v>47.13</v>
      </c>
      <c r="V18">
        <v>31.04</v>
      </c>
      <c r="W18">
        <v>42.59</v>
      </c>
      <c r="X18">
        <v>49.1</v>
      </c>
      <c r="Z18">
        <v>2028</v>
      </c>
      <c r="AA18">
        <v>40.06</v>
      </c>
      <c r="AB18">
        <v>26.48</v>
      </c>
      <c r="AC18">
        <v>20.440000000000001</v>
      </c>
      <c r="AD18">
        <v>12.194000000000001</v>
      </c>
      <c r="AE18">
        <v>16.95</v>
      </c>
      <c r="AF18">
        <v>21.82</v>
      </c>
    </row>
    <row r="19" spans="1:32" x14ac:dyDescent="0.2">
      <c r="A19">
        <f t="shared" si="0"/>
        <v>2029</v>
      </c>
      <c r="B19">
        <v>31.27</v>
      </c>
      <c r="C19">
        <v>27.7</v>
      </c>
      <c r="D19">
        <v>32.880000000000003</v>
      </c>
      <c r="E19">
        <v>29.08</v>
      </c>
      <c r="F19">
        <v>34.04</v>
      </c>
      <c r="G19">
        <v>14.78</v>
      </c>
      <c r="H19" t="s">
        <v>35</v>
      </c>
      <c r="I19">
        <v>2029</v>
      </c>
      <c r="J19">
        <v>45.62</v>
      </c>
      <c r="K19">
        <v>40.42</v>
      </c>
      <c r="L19">
        <v>3.1320000000000001</v>
      </c>
      <c r="M19">
        <v>34.450000000000003</v>
      </c>
      <c r="N19">
        <v>18.5</v>
      </c>
      <c r="O19">
        <v>30.36</v>
      </c>
      <c r="P19">
        <v>36.15</v>
      </c>
      <c r="R19">
        <v>2029</v>
      </c>
      <c r="S19">
        <v>51.38</v>
      </c>
      <c r="T19">
        <v>55.08</v>
      </c>
      <c r="U19">
        <v>49.03</v>
      </c>
      <c r="V19">
        <v>32.090000000000003</v>
      </c>
      <c r="W19">
        <v>44.36</v>
      </c>
      <c r="X19">
        <v>51.06</v>
      </c>
      <c r="Z19">
        <v>2029</v>
      </c>
      <c r="AA19">
        <v>39.86</v>
      </c>
      <c r="AB19">
        <v>25.76</v>
      </c>
      <c r="AC19">
        <v>20.85</v>
      </c>
      <c r="AD19">
        <v>12.395</v>
      </c>
      <c r="AE19">
        <v>17.3</v>
      </c>
      <c r="AF19">
        <v>22.25</v>
      </c>
    </row>
    <row r="20" spans="1:32" x14ac:dyDescent="0.2">
      <c r="A20">
        <f t="shared" si="0"/>
        <v>2030</v>
      </c>
      <c r="B20">
        <v>32.26</v>
      </c>
      <c r="C20">
        <v>28.62</v>
      </c>
      <c r="D20">
        <v>33.909999999999997</v>
      </c>
      <c r="E20">
        <v>30.02</v>
      </c>
      <c r="F20">
        <v>34.340000000000003</v>
      </c>
      <c r="G20">
        <v>15.21</v>
      </c>
      <c r="H20" t="s">
        <v>35</v>
      </c>
      <c r="I20">
        <v>2030</v>
      </c>
      <c r="J20">
        <v>45.555</v>
      </c>
      <c r="K20">
        <v>40.18</v>
      </c>
      <c r="L20">
        <v>3.161</v>
      </c>
      <c r="M20">
        <v>35.770000000000003</v>
      </c>
      <c r="N20">
        <v>18.899999999999999</v>
      </c>
      <c r="O20">
        <v>31.58</v>
      </c>
      <c r="P20">
        <v>37.520000000000003</v>
      </c>
      <c r="R20">
        <v>2030</v>
      </c>
      <c r="S20">
        <v>51.45</v>
      </c>
      <c r="T20">
        <v>55.32</v>
      </c>
      <c r="U20">
        <v>50.88</v>
      </c>
      <c r="V20">
        <v>33.18</v>
      </c>
      <c r="W20">
        <v>46.09</v>
      </c>
      <c r="X20">
        <v>52.97</v>
      </c>
      <c r="Z20">
        <v>2030</v>
      </c>
      <c r="AA20">
        <v>39.659999999999997</v>
      </c>
      <c r="AB20">
        <v>25.04</v>
      </c>
      <c r="AC20">
        <v>21.26</v>
      </c>
      <c r="AD20">
        <v>12.663</v>
      </c>
      <c r="AE20">
        <v>17.649999999999999</v>
      </c>
      <c r="AF20">
        <v>22.69</v>
      </c>
    </row>
    <row r="21" spans="1:32" x14ac:dyDescent="0.2">
      <c r="B21">
        <f t="shared" ref="B21:E21" si="1">(B20/B7)^(1/(ROWS(B7:B20)-1))</f>
        <v>1.0352597447222447</v>
      </c>
      <c r="C21">
        <f t="shared" si="1"/>
        <v>1.037386311071208</v>
      </c>
      <c r="D21">
        <f t="shared" si="1"/>
        <v>1.0347148559293617</v>
      </c>
      <c r="E21">
        <f t="shared" si="1"/>
        <v>1.036486929772682</v>
      </c>
      <c r="F21">
        <f>(F20/F7)^(1/(ROWS(F7:F20)-1))</f>
        <v>1.0090618549812902</v>
      </c>
      <c r="G21">
        <f>(G20/G12)^(1/(ROWS(G12:G20)-1))</f>
        <v>1.0224983157168064</v>
      </c>
      <c r="I21">
        <v>2031</v>
      </c>
      <c r="J21">
        <v>45.484999999999999</v>
      </c>
      <c r="K21">
        <v>39.935000000000002</v>
      </c>
      <c r="L21">
        <v>3.1890000000000001</v>
      </c>
      <c r="M21">
        <v>37.15</v>
      </c>
      <c r="N21">
        <v>24.5</v>
      </c>
      <c r="O21">
        <v>32.85</v>
      </c>
      <c r="P21">
        <v>38.94</v>
      </c>
      <c r="R21">
        <v>2031</v>
      </c>
      <c r="S21">
        <v>51.52</v>
      </c>
      <c r="T21">
        <v>55.55</v>
      </c>
      <c r="U21">
        <v>52.77</v>
      </c>
      <c r="V21">
        <v>39.51</v>
      </c>
      <c r="W21">
        <v>47.86</v>
      </c>
      <c r="X21">
        <v>54.92</v>
      </c>
      <c r="Z21">
        <v>2031</v>
      </c>
      <c r="AA21">
        <v>39.450000000000003</v>
      </c>
      <c r="AB21">
        <v>24.32</v>
      </c>
      <c r="AC21">
        <v>21.68</v>
      </c>
      <c r="AD21">
        <v>16.414999999999999</v>
      </c>
      <c r="AE21">
        <v>18.010000000000002</v>
      </c>
      <c r="AF21">
        <v>23.13</v>
      </c>
    </row>
    <row r="22" spans="1:32" x14ac:dyDescent="0.2">
      <c r="I22">
        <v>2032</v>
      </c>
      <c r="J22">
        <v>45.42</v>
      </c>
      <c r="K22">
        <v>39.700000000000003</v>
      </c>
      <c r="L22">
        <v>3.2170000000000001</v>
      </c>
      <c r="M22">
        <v>38.57</v>
      </c>
      <c r="N22">
        <v>24.9</v>
      </c>
      <c r="O22">
        <v>34.17</v>
      </c>
      <c r="P22">
        <v>40.42</v>
      </c>
      <c r="R22">
        <v>2032</v>
      </c>
      <c r="S22">
        <v>51.59</v>
      </c>
      <c r="T22">
        <v>55.79</v>
      </c>
      <c r="U22">
        <v>54.74</v>
      </c>
      <c r="V22">
        <v>40.71</v>
      </c>
      <c r="W22">
        <v>49.7</v>
      </c>
      <c r="X22">
        <v>56.94</v>
      </c>
      <c r="Z22">
        <v>2032</v>
      </c>
      <c r="AA22">
        <v>39.25</v>
      </c>
      <c r="AB22">
        <v>23.61</v>
      </c>
      <c r="AC22">
        <v>22.11</v>
      </c>
      <c r="AD22">
        <v>16.683</v>
      </c>
      <c r="AE22">
        <v>18.37</v>
      </c>
      <c r="AF22">
        <v>23.58</v>
      </c>
    </row>
    <row r="23" spans="1:32" x14ac:dyDescent="0.2">
      <c r="I23">
        <v>2033</v>
      </c>
      <c r="J23">
        <v>45.354999999999997</v>
      </c>
      <c r="K23">
        <v>39.46</v>
      </c>
      <c r="L23">
        <v>3.2440000000000002</v>
      </c>
      <c r="M23">
        <v>40.04</v>
      </c>
      <c r="N23">
        <v>25.4</v>
      </c>
      <c r="O23">
        <v>35.53</v>
      </c>
      <c r="P23">
        <v>41.94</v>
      </c>
      <c r="R23">
        <v>2033</v>
      </c>
      <c r="S23">
        <v>51.66</v>
      </c>
      <c r="T23">
        <v>56.03</v>
      </c>
      <c r="U23">
        <v>56.97</v>
      </c>
      <c r="V23">
        <v>41.96</v>
      </c>
      <c r="W23">
        <v>51.78</v>
      </c>
      <c r="X23">
        <v>59.25</v>
      </c>
      <c r="Z23">
        <v>2033</v>
      </c>
      <c r="AA23">
        <v>39.049999999999997</v>
      </c>
      <c r="AB23">
        <v>22.89</v>
      </c>
      <c r="AC23">
        <v>22.62</v>
      </c>
      <c r="AD23">
        <v>17.018000000000001</v>
      </c>
      <c r="AE23">
        <v>18.8</v>
      </c>
      <c r="AF23">
        <v>24.12</v>
      </c>
    </row>
    <row r="24" spans="1:32" x14ac:dyDescent="0.2">
      <c r="I24">
        <v>2034</v>
      </c>
      <c r="L24">
        <v>3.2719999999999998</v>
      </c>
    </row>
    <row r="25" spans="1:32" x14ac:dyDescent="0.2">
      <c r="I25">
        <v>2035</v>
      </c>
      <c r="L25">
        <v>3.2989999999999999</v>
      </c>
    </row>
    <row r="26" spans="1:32" x14ac:dyDescent="0.2">
      <c r="I26">
        <v>2036</v>
      </c>
      <c r="L26">
        <v>3.3250000000000002</v>
      </c>
    </row>
    <row r="27" spans="1:32" x14ac:dyDescent="0.2">
      <c r="I27">
        <v>2037</v>
      </c>
      <c r="L27">
        <v>3.351</v>
      </c>
    </row>
    <row r="28" spans="1:32" x14ac:dyDescent="0.2">
      <c r="I28">
        <v>2038</v>
      </c>
      <c r="L28">
        <v>3.3769999999999998</v>
      </c>
    </row>
    <row r="29" spans="1:32" x14ac:dyDescent="0.2">
      <c r="I29">
        <v>2039</v>
      </c>
      <c r="L29">
        <v>3.403</v>
      </c>
    </row>
    <row r="30" spans="1:32" x14ac:dyDescent="0.2">
      <c r="I30">
        <v>2040</v>
      </c>
      <c r="L30">
        <v>3.4279999999999999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
  <sheetViews>
    <sheetView topLeftCell="A4" workbookViewId="0">
      <selection activeCell="A12" sqref="A12"/>
    </sheetView>
  </sheetViews>
  <sheetFormatPr baseColWidth="10" defaultRowHeight="16" x14ac:dyDescent="0.2"/>
  <cols>
    <col min="1" max="1" width="47.33203125" customWidth="1"/>
  </cols>
  <sheetData>
    <row r="1" spans="1:34" x14ac:dyDescent="0.2">
      <c r="A1" t="s">
        <v>119</v>
      </c>
    </row>
    <row r="2" spans="1:34" x14ac:dyDescent="0.2">
      <c r="A2" t="s">
        <v>120</v>
      </c>
    </row>
    <row r="4" spans="1:34" x14ac:dyDescent="0.2">
      <c r="A4" t="s">
        <v>121</v>
      </c>
    </row>
    <row r="5" spans="1:34" x14ac:dyDescent="0.2">
      <c r="A5" t="s">
        <v>120</v>
      </c>
    </row>
    <row r="6" spans="1:34" x14ac:dyDescent="0.2">
      <c r="A6" t="s">
        <v>122</v>
      </c>
    </row>
    <row r="7" spans="1:34" x14ac:dyDescent="0.2">
      <c r="A7" t="s">
        <v>123</v>
      </c>
    </row>
    <row r="8" spans="1:34" x14ac:dyDescent="0.2">
      <c r="B8" t="s">
        <v>124</v>
      </c>
      <c r="C8" t="s">
        <v>125</v>
      </c>
      <c r="D8" t="s">
        <v>126</v>
      </c>
      <c r="E8">
        <v>2012</v>
      </c>
      <c r="F8">
        <v>2013</v>
      </c>
      <c r="G8">
        <v>2014</v>
      </c>
      <c r="H8">
        <v>2015</v>
      </c>
      <c r="I8">
        <v>2016</v>
      </c>
      <c r="J8">
        <v>2017</v>
      </c>
      <c r="K8">
        <v>2018</v>
      </c>
      <c r="L8">
        <v>2019</v>
      </c>
      <c r="M8">
        <v>2020</v>
      </c>
      <c r="N8">
        <v>2021</v>
      </c>
      <c r="O8">
        <v>2022</v>
      </c>
      <c r="P8">
        <v>2023</v>
      </c>
      <c r="Q8">
        <v>2024</v>
      </c>
      <c r="R8">
        <v>2025</v>
      </c>
      <c r="S8">
        <v>2026</v>
      </c>
      <c r="T8">
        <v>2027</v>
      </c>
      <c r="U8">
        <v>2028</v>
      </c>
      <c r="V8">
        <v>2029</v>
      </c>
      <c r="W8">
        <v>2030</v>
      </c>
      <c r="X8">
        <v>2031</v>
      </c>
      <c r="Y8">
        <v>2032</v>
      </c>
      <c r="Z8">
        <v>2033</v>
      </c>
      <c r="AA8">
        <v>2034</v>
      </c>
      <c r="AB8">
        <v>2035</v>
      </c>
      <c r="AC8">
        <v>2036</v>
      </c>
      <c r="AD8">
        <v>2037</v>
      </c>
      <c r="AE8">
        <v>2038</v>
      </c>
      <c r="AF8">
        <v>2039</v>
      </c>
      <c r="AG8">
        <v>2040</v>
      </c>
      <c r="AH8" t="s">
        <v>127</v>
      </c>
    </row>
    <row r="9" spans="1:34" x14ac:dyDescent="0.2">
      <c r="A9" t="s">
        <v>56</v>
      </c>
      <c r="C9" t="b">
        <v>1</v>
      </c>
    </row>
    <row r="10" spans="1:34" x14ac:dyDescent="0.2">
      <c r="A10" t="s">
        <v>128</v>
      </c>
      <c r="B10" t="b">
        <v>1</v>
      </c>
      <c r="C10" t="b">
        <v>1</v>
      </c>
      <c r="E10">
        <v>24.11</v>
      </c>
      <c r="F10">
        <v>24.04</v>
      </c>
      <c r="G10">
        <v>23.19</v>
      </c>
      <c r="H10">
        <v>26.46</v>
      </c>
      <c r="I10">
        <v>28.92</v>
      </c>
      <c r="J10">
        <v>29.88</v>
      </c>
      <c r="K10">
        <v>30.68</v>
      </c>
      <c r="L10">
        <v>31.28</v>
      </c>
      <c r="M10">
        <v>31.84</v>
      </c>
      <c r="N10">
        <v>32.6</v>
      </c>
      <c r="O10">
        <v>33.35</v>
      </c>
      <c r="P10">
        <v>34.04</v>
      </c>
      <c r="Q10">
        <v>35.049999999999997</v>
      </c>
      <c r="R10">
        <v>35.97</v>
      </c>
      <c r="S10">
        <v>36.880000000000003</v>
      </c>
      <c r="T10">
        <v>37.82</v>
      </c>
      <c r="U10">
        <v>38.770000000000003</v>
      </c>
      <c r="V10">
        <v>39.700000000000003</v>
      </c>
      <c r="W10">
        <v>40.6</v>
      </c>
      <c r="X10">
        <v>41.49</v>
      </c>
      <c r="Y10">
        <v>42.45</v>
      </c>
      <c r="Z10">
        <v>43.64</v>
      </c>
      <c r="AA10">
        <v>44.7</v>
      </c>
      <c r="AB10">
        <v>45.45</v>
      </c>
      <c r="AC10">
        <v>46.55</v>
      </c>
      <c r="AD10">
        <v>47.61</v>
      </c>
      <c r="AE10">
        <v>48.74</v>
      </c>
      <c r="AF10">
        <v>49.79</v>
      </c>
      <c r="AG10">
        <v>51.01</v>
      </c>
      <c r="AH10" s="3">
        <v>2.8000000000000001E-2</v>
      </c>
    </row>
    <row r="11" spans="1:34" x14ac:dyDescent="0.2">
      <c r="A11" t="s">
        <v>129</v>
      </c>
      <c r="B11" t="b">
        <v>1</v>
      </c>
      <c r="C11" t="b">
        <v>1</v>
      </c>
      <c r="E11">
        <v>24.11</v>
      </c>
      <c r="F11">
        <v>24.04</v>
      </c>
      <c r="G11">
        <v>23.19</v>
      </c>
      <c r="H11">
        <v>13.76</v>
      </c>
      <c r="I11">
        <v>13.78</v>
      </c>
      <c r="J11">
        <v>13.88</v>
      </c>
      <c r="K11">
        <v>14.03</v>
      </c>
      <c r="L11">
        <v>14.36</v>
      </c>
      <c r="M11">
        <v>14.72</v>
      </c>
      <c r="N11">
        <v>15</v>
      </c>
      <c r="O11">
        <v>15.32</v>
      </c>
      <c r="P11">
        <v>15.55</v>
      </c>
      <c r="Q11">
        <v>15.81</v>
      </c>
      <c r="R11">
        <v>16.04</v>
      </c>
      <c r="S11">
        <v>16.27</v>
      </c>
      <c r="T11">
        <v>16.510000000000002</v>
      </c>
      <c r="U11">
        <v>16.59</v>
      </c>
      <c r="V11">
        <v>16.690000000000001</v>
      </c>
      <c r="W11">
        <v>16.739999999999998</v>
      </c>
      <c r="X11">
        <v>16.87</v>
      </c>
      <c r="Y11">
        <v>16.920000000000002</v>
      </c>
      <c r="Z11">
        <v>17.05</v>
      </c>
      <c r="AA11">
        <v>17.11</v>
      </c>
      <c r="AB11">
        <v>17.21</v>
      </c>
      <c r="AC11">
        <v>17.34</v>
      </c>
      <c r="AD11">
        <v>17.440000000000001</v>
      </c>
      <c r="AE11">
        <v>17.52</v>
      </c>
      <c r="AF11">
        <v>17.64</v>
      </c>
      <c r="AG11">
        <v>17.739999999999998</v>
      </c>
      <c r="AH11" s="3">
        <v>-1.0999999999999999E-2</v>
      </c>
    </row>
    <row r="12" spans="1:34" x14ac:dyDescent="0.2">
      <c r="A12" t="s">
        <v>130</v>
      </c>
      <c r="B12" t="b">
        <v>1</v>
      </c>
      <c r="C12" t="b">
        <v>1</v>
      </c>
      <c r="E12">
        <v>24.11</v>
      </c>
      <c r="F12">
        <v>24.04</v>
      </c>
      <c r="G12">
        <v>23.19</v>
      </c>
      <c r="H12">
        <v>16.600000000000001</v>
      </c>
      <c r="I12">
        <v>18.16</v>
      </c>
      <c r="J12">
        <v>18.22</v>
      </c>
      <c r="K12">
        <v>18.23</v>
      </c>
      <c r="L12">
        <v>18.52</v>
      </c>
      <c r="M12">
        <v>18.78</v>
      </c>
      <c r="N12">
        <v>19.170000000000002</v>
      </c>
      <c r="O12">
        <v>19.579999999999998</v>
      </c>
      <c r="P12">
        <v>20.02</v>
      </c>
      <c r="Q12">
        <v>20.46</v>
      </c>
      <c r="R12">
        <v>20.93</v>
      </c>
      <c r="S12">
        <v>21.43</v>
      </c>
      <c r="T12">
        <v>21.95</v>
      </c>
      <c r="U12">
        <v>22.5</v>
      </c>
      <c r="V12">
        <v>23.05</v>
      </c>
      <c r="W12">
        <v>23.63</v>
      </c>
      <c r="X12">
        <v>24.23</v>
      </c>
      <c r="Y12">
        <v>24.82</v>
      </c>
      <c r="Z12">
        <v>25.44</v>
      </c>
      <c r="AA12">
        <v>26.07</v>
      </c>
      <c r="AB12">
        <v>26.71</v>
      </c>
      <c r="AC12">
        <v>27.37</v>
      </c>
      <c r="AD12">
        <v>28.05</v>
      </c>
      <c r="AE12">
        <v>28.81</v>
      </c>
      <c r="AF12">
        <v>29.52</v>
      </c>
      <c r="AG12">
        <v>30.22</v>
      </c>
      <c r="AH12" s="3">
        <v>8.9999999999999993E-3</v>
      </c>
    </row>
    <row r="13" spans="1:34" x14ac:dyDescent="0.2">
      <c r="A13" t="s">
        <v>57</v>
      </c>
      <c r="C13" t="b">
        <v>1</v>
      </c>
    </row>
    <row r="14" spans="1:34" x14ac:dyDescent="0.2">
      <c r="A14" t="s">
        <v>131</v>
      </c>
      <c r="B14" t="b">
        <v>1</v>
      </c>
      <c r="C14" t="b">
        <v>1</v>
      </c>
      <c r="E14">
        <v>20.82</v>
      </c>
      <c r="F14">
        <v>18.89</v>
      </c>
      <c r="G14">
        <v>20.010000000000002</v>
      </c>
      <c r="H14">
        <v>15.97</v>
      </c>
      <c r="I14">
        <v>17.940000000000001</v>
      </c>
      <c r="J14">
        <v>19.399999999999999</v>
      </c>
      <c r="K14">
        <v>19.87</v>
      </c>
      <c r="L14">
        <v>21.26</v>
      </c>
      <c r="M14">
        <v>21.66</v>
      </c>
      <c r="N14">
        <v>22.25</v>
      </c>
      <c r="O14">
        <v>23.01</v>
      </c>
      <c r="P14">
        <v>23.62</v>
      </c>
      <c r="Q14">
        <v>24.4</v>
      </c>
      <c r="R14">
        <v>25.08</v>
      </c>
      <c r="S14">
        <v>25.71</v>
      </c>
      <c r="T14">
        <v>26.62</v>
      </c>
      <c r="U14">
        <v>27.4</v>
      </c>
      <c r="V14">
        <v>28.19</v>
      </c>
      <c r="W14">
        <v>28.92</v>
      </c>
      <c r="X14">
        <v>31.24</v>
      </c>
      <c r="Y14">
        <v>32.159999999999997</v>
      </c>
      <c r="Z14">
        <v>33.020000000000003</v>
      </c>
      <c r="AA14">
        <v>34.03</v>
      </c>
      <c r="AB14">
        <v>34.83</v>
      </c>
      <c r="AC14">
        <v>35.840000000000003</v>
      </c>
      <c r="AD14">
        <v>36.82</v>
      </c>
      <c r="AE14">
        <v>37.880000000000003</v>
      </c>
      <c r="AF14">
        <v>38.880000000000003</v>
      </c>
      <c r="AG14">
        <v>39.96</v>
      </c>
      <c r="AH14" s="3">
        <v>2.8000000000000001E-2</v>
      </c>
    </row>
    <row r="15" spans="1:34" x14ac:dyDescent="0.2">
      <c r="A15" t="s">
        <v>132</v>
      </c>
      <c r="B15" t="b">
        <v>1</v>
      </c>
      <c r="C15" t="b">
        <v>1</v>
      </c>
      <c r="E15">
        <v>20.82</v>
      </c>
      <c r="F15">
        <v>18.89</v>
      </c>
      <c r="G15">
        <v>20</v>
      </c>
      <c r="H15">
        <v>5.47</v>
      </c>
      <c r="I15">
        <v>6.16</v>
      </c>
      <c r="J15">
        <v>6.62</v>
      </c>
      <c r="K15">
        <v>6.79</v>
      </c>
      <c r="L15">
        <v>7.97</v>
      </c>
      <c r="M15">
        <v>8.2799999999999994</v>
      </c>
      <c r="N15">
        <v>8.5299999999999994</v>
      </c>
      <c r="O15">
        <v>8.7799999999999994</v>
      </c>
      <c r="P15">
        <v>8.82</v>
      </c>
      <c r="Q15">
        <v>8.86</v>
      </c>
      <c r="R15">
        <v>9.0299999999999994</v>
      </c>
      <c r="S15">
        <v>9.17</v>
      </c>
      <c r="T15">
        <v>9.25</v>
      </c>
      <c r="U15">
        <v>9.33</v>
      </c>
      <c r="V15">
        <v>9.6</v>
      </c>
      <c r="W15">
        <v>9.7100000000000009</v>
      </c>
      <c r="X15">
        <v>9.68</v>
      </c>
      <c r="Y15">
        <v>9.7200000000000006</v>
      </c>
      <c r="Z15">
        <v>9.85</v>
      </c>
      <c r="AA15">
        <v>9.69</v>
      </c>
      <c r="AB15">
        <v>9.6999999999999993</v>
      </c>
      <c r="AC15">
        <v>9.8800000000000008</v>
      </c>
      <c r="AD15">
        <v>10.1</v>
      </c>
      <c r="AE15">
        <v>10.199999999999999</v>
      </c>
      <c r="AF15">
        <v>10.31</v>
      </c>
      <c r="AG15">
        <v>10.37</v>
      </c>
      <c r="AH15" s="3">
        <v>-2.1999999999999999E-2</v>
      </c>
    </row>
    <row r="16" spans="1:34" x14ac:dyDescent="0.2">
      <c r="A16" t="s">
        <v>133</v>
      </c>
      <c r="B16" t="b">
        <v>1</v>
      </c>
      <c r="C16" t="b">
        <v>1</v>
      </c>
      <c r="E16">
        <v>20.82</v>
      </c>
      <c r="F16">
        <v>18.89</v>
      </c>
      <c r="G16">
        <v>20</v>
      </c>
      <c r="H16">
        <v>11.47</v>
      </c>
      <c r="I16">
        <v>11.01</v>
      </c>
      <c r="J16">
        <v>10</v>
      </c>
      <c r="K16">
        <v>10.050000000000001</v>
      </c>
      <c r="L16">
        <v>11.2</v>
      </c>
      <c r="M16">
        <v>11.45</v>
      </c>
      <c r="N16">
        <v>11.79</v>
      </c>
      <c r="O16">
        <v>12.15</v>
      </c>
      <c r="P16">
        <v>12.51</v>
      </c>
      <c r="Q16">
        <v>12.89</v>
      </c>
      <c r="R16">
        <v>13.27</v>
      </c>
      <c r="S16">
        <v>13.68</v>
      </c>
      <c r="T16">
        <v>14.08</v>
      </c>
      <c r="U16">
        <v>14.5</v>
      </c>
      <c r="V16">
        <v>14.93</v>
      </c>
      <c r="W16">
        <v>15.38</v>
      </c>
      <c r="X16">
        <v>15.86</v>
      </c>
      <c r="Y16">
        <v>16.34</v>
      </c>
      <c r="Z16">
        <v>16.8</v>
      </c>
      <c r="AA16">
        <v>17.329999999999998</v>
      </c>
      <c r="AB16">
        <v>17.850000000000001</v>
      </c>
      <c r="AC16">
        <v>18.37</v>
      </c>
      <c r="AD16">
        <v>18.899999999999999</v>
      </c>
      <c r="AE16">
        <v>19.47</v>
      </c>
      <c r="AF16">
        <v>20.440000000000001</v>
      </c>
      <c r="AG16">
        <v>21.59</v>
      </c>
      <c r="AH16" s="3">
        <v>5.0000000000000001E-3</v>
      </c>
    </row>
    <row r="17" spans="1:34" x14ac:dyDescent="0.2">
      <c r="A17" t="s">
        <v>58</v>
      </c>
      <c r="C17" t="b">
        <v>1</v>
      </c>
    </row>
    <row r="18" spans="1:34" x14ac:dyDescent="0.2">
      <c r="A18" t="s">
        <v>134</v>
      </c>
      <c r="B18" t="b">
        <v>1</v>
      </c>
      <c r="C18" t="b">
        <v>1</v>
      </c>
      <c r="E18">
        <v>3.52</v>
      </c>
      <c r="F18">
        <v>4.4000000000000004</v>
      </c>
      <c r="G18">
        <v>5</v>
      </c>
      <c r="H18">
        <v>4.28</v>
      </c>
      <c r="I18">
        <v>4.22</v>
      </c>
      <c r="J18">
        <v>4.2699999999999996</v>
      </c>
      <c r="K18">
        <v>4.3600000000000003</v>
      </c>
      <c r="L18">
        <v>4.71</v>
      </c>
      <c r="M18">
        <v>5.12</v>
      </c>
      <c r="N18">
        <v>5.62</v>
      </c>
      <c r="O18">
        <v>6.07</v>
      </c>
      <c r="P18">
        <v>6.77</v>
      </c>
      <c r="Q18">
        <v>7.22</v>
      </c>
      <c r="R18">
        <v>7.5</v>
      </c>
      <c r="S18">
        <v>7.65</v>
      </c>
      <c r="T18">
        <v>7.68</v>
      </c>
      <c r="U18">
        <v>7.6</v>
      </c>
      <c r="V18">
        <v>7.72</v>
      </c>
      <c r="W18">
        <v>7.9</v>
      </c>
      <c r="X18">
        <v>8.15</v>
      </c>
      <c r="Y18">
        <v>8.34</v>
      </c>
      <c r="Z18">
        <v>8.36</v>
      </c>
      <c r="AA18">
        <v>8.36</v>
      </c>
      <c r="AB18">
        <v>8.49</v>
      </c>
      <c r="AC18">
        <v>8.74</v>
      </c>
      <c r="AD18">
        <v>8.9600000000000009</v>
      </c>
      <c r="AE18">
        <v>9.36</v>
      </c>
      <c r="AF18">
        <v>9.81</v>
      </c>
      <c r="AG18">
        <v>10.08</v>
      </c>
      <c r="AH18" s="3">
        <v>3.1E-2</v>
      </c>
    </row>
    <row r="19" spans="1:34" x14ac:dyDescent="0.2">
      <c r="A19" t="s">
        <v>135</v>
      </c>
      <c r="B19" t="b">
        <v>1</v>
      </c>
      <c r="C19" t="b">
        <v>1</v>
      </c>
      <c r="E19">
        <v>3.52</v>
      </c>
      <c r="F19">
        <v>4.4000000000000004</v>
      </c>
      <c r="G19">
        <v>5.05</v>
      </c>
      <c r="H19">
        <v>4.38</v>
      </c>
      <c r="I19">
        <v>4.58</v>
      </c>
      <c r="J19">
        <v>4.6399999999999997</v>
      </c>
      <c r="K19">
        <v>4.62</v>
      </c>
      <c r="L19">
        <v>4.83</v>
      </c>
      <c r="M19">
        <v>4.92</v>
      </c>
      <c r="N19">
        <v>5.05</v>
      </c>
      <c r="O19">
        <v>5.15</v>
      </c>
      <c r="P19">
        <v>5.4</v>
      </c>
      <c r="Q19">
        <v>5.65</v>
      </c>
      <c r="R19">
        <v>5.86</v>
      </c>
      <c r="S19">
        <v>6.03</v>
      </c>
      <c r="T19">
        <v>6.27</v>
      </c>
      <c r="U19">
        <v>6.31</v>
      </c>
      <c r="V19">
        <v>6.19</v>
      </c>
      <c r="W19">
        <v>6.18</v>
      </c>
      <c r="X19">
        <v>6.25</v>
      </c>
      <c r="Y19">
        <v>6.37</v>
      </c>
      <c r="Z19">
        <v>6.45</v>
      </c>
      <c r="AA19">
        <v>6.53</v>
      </c>
      <c r="AB19">
        <v>6.62</v>
      </c>
      <c r="AC19">
        <v>6.74</v>
      </c>
      <c r="AD19">
        <v>6.88</v>
      </c>
      <c r="AE19">
        <v>7.09</v>
      </c>
      <c r="AF19">
        <v>7.53</v>
      </c>
      <c r="AG19">
        <v>7.77</v>
      </c>
      <c r="AH19" s="3">
        <v>2.1000000000000001E-2</v>
      </c>
    </row>
    <row r="20" spans="1:34" x14ac:dyDescent="0.2">
      <c r="A20" t="s">
        <v>136</v>
      </c>
      <c r="B20" t="b">
        <v>1</v>
      </c>
      <c r="C20" t="b">
        <v>1</v>
      </c>
      <c r="E20">
        <v>3.52</v>
      </c>
      <c r="F20">
        <v>4.4000000000000004</v>
      </c>
      <c r="G20">
        <v>5.04</v>
      </c>
      <c r="H20">
        <v>4.38</v>
      </c>
      <c r="I20">
        <v>4.42</v>
      </c>
      <c r="J20">
        <v>4.4000000000000004</v>
      </c>
      <c r="K20">
        <v>4.53</v>
      </c>
      <c r="L20">
        <v>4.96</v>
      </c>
      <c r="M20">
        <v>5.39</v>
      </c>
      <c r="N20">
        <v>5.65</v>
      </c>
      <c r="O20">
        <v>5.8</v>
      </c>
      <c r="P20">
        <v>5.97</v>
      </c>
      <c r="Q20">
        <v>6.1</v>
      </c>
      <c r="R20">
        <v>6.27</v>
      </c>
      <c r="S20">
        <v>6.44</v>
      </c>
      <c r="T20">
        <v>6.4</v>
      </c>
      <c r="U20">
        <v>6.28</v>
      </c>
      <c r="V20">
        <v>6.26</v>
      </c>
      <c r="W20">
        <v>6.22</v>
      </c>
      <c r="X20">
        <v>6.38</v>
      </c>
      <c r="Y20">
        <v>6.53</v>
      </c>
      <c r="Z20">
        <v>6.68</v>
      </c>
      <c r="AA20">
        <v>6.83</v>
      </c>
      <c r="AB20">
        <v>6.98</v>
      </c>
      <c r="AC20">
        <v>7.15</v>
      </c>
      <c r="AD20">
        <v>7.32</v>
      </c>
      <c r="AE20">
        <v>7.53</v>
      </c>
      <c r="AF20">
        <v>7.88</v>
      </c>
      <c r="AG20">
        <v>8.2799999999999994</v>
      </c>
      <c r="AH20" s="3">
        <v>2.4E-2</v>
      </c>
    </row>
    <row r="21" spans="1:34" x14ac:dyDescent="0.2">
      <c r="A21" t="s">
        <v>59</v>
      </c>
      <c r="C21" t="b">
        <v>1</v>
      </c>
    </row>
    <row r="22" spans="1:34" x14ac:dyDescent="0.2">
      <c r="A22" t="s">
        <v>137</v>
      </c>
      <c r="B22" t="b">
        <v>1</v>
      </c>
      <c r="C22" t="b">
        <v>1</v>
      </c>
      <c r="E22">
        <v>2.41</v>
      </c>
      <c r="F22">
        <v>2.34</v>
      </c>
      <c r="G22">
        <v>2.27</v>
      </c>
      <c r="H22">
        <v>2.41</v>
      </c>
      <c r="I22">
        <v>2.38</v>
      </c>
      <c r="J22">
        <v>2.4</v>
      </c>
      <c r="K22">
        <v>2.44</v>
      </c>
      <c r="L22">
        <v>2.4900000000000002</v>
      </c>
      <c r="M22">
        <v>2.5499999999999998</v>
      </c>
      <c r="N22">
        <v>2.6</v>
      </c>
      <c r="O22">
        <v>2.64</v>
      </c>
      <c r="P22">
        <v>2.69</v>
      </c>
      <c r="Q22">
        <v>2.73</v>
      </c>
      <c r="R22">
        <v>2.76</v>
      </c>
      <c r="S22">
        <v>2.8</v>
      </c>
      <c r="T22">
        <v>2.84</v>
      </c>
      <c r="U22">
        <v>2.88</v>
      </c>
      <c r="V22">
        <v>2.91</v>
      </c>
      <c r="W22">
        <v>2.96</v>
      </c>
      <c r="X22">
        <v>2.99</v>
      </c>
      <c r="Y22">
        <v>3.02</v>
      </c>
      <c r="Z22">
        <v>3.05</v>
      </c>
      <c r="AA22">
        <v>3.08</v>
      </c>
      <c r="AB22">
        <v>3.12</v>
      </c>
      <c r="AC22">
        <v>3.16</v>
      </c>
      <c r="AD22">
        <v>3.2</v>
      </c>
      <c r="AE22">
        <v>3.24</v>
      </c>
      <c r="AF22">
        <v>3.27</v>
      </c>
      <c r="AG22">
        <v>3.3</v>
      </c>
      <c r="AH22" s="3">
        <v>1.2999999999999999E-2</v>
      </c>
    </row>
    <row r="23" spans="1:34" x14ac:dyDescent="0.2">
      <c r="A23" t="s">
        <v>138</v>
      </c>
      <c r="B23" t="b">
        <v>1</v>
      </c>
      <c r="C23" t="b">
        <v>1</v>
      </c>
      <c r="E23">
        <v>2.41</v>
      </c>
      <c r="F23">
        <v>2.34</v>
      </c>
      <c r="G23">
        <v>2.27</v>
      </c>
      <c r="H23">
        <v>2.23</v>
      </c>
      <c r="I23">
        <v>2.19</v>
      </c>
      <c r="J23">
        <v>2.2200000000000002</v>
      </c>
      <c r="K23">
        <v>2.25</v>
      </c>
      <c r="L23">
        <v>2.2799999999999998</v>
      </c>
      <c r="M23">
        <v>2.31</v>
      </c>
      <c r="N23">
        <v>2.33</v>
      </c>
      <c r="O23">
        <v>2.36</v>
      </c>
      <c r="P23">
        <v>2.4</v>
      </c>
      <c r="Q23">
        <v>2.4300000000000002</v>
      </c>
      <c r="R23">
        <v>2.4500000000000002</v>
      </c>
      <c r="S23">
        <v>2.48</v>
      </c>
      <c r="T23">
        <v>2.5</v>
      </c>
      <c r="U23">
        <v>2.52</v>
      </c>
      <c r="V23">
        <v>2.5299999999999998</v>
      </c>
      <c r="W23">
        <v>2.5499999999999998</v>
      </c>
      <c r="X23">
        <v>2.56</v>
      </c>
      <c r="Y23">
        <v>2.58</v>
      </c>
      <c r="Z23">
        <v>2.59</v>
      </c>
      <c r="AA23">
        <v>2.6</v>
      </c>
      <c r="AB23">
        <v>2.62</v>
      </c>
      <c r="AC23">
        <v>2.64</v>
      </c>
      <c r="AD23">
        <v>2.65</v>
      </c>
      <c r="AE23">
        <v>2.67</v>
      </c>
      <c r="AF23">
        <v>2.69</v>
      </c>
      <c r="AG23">
        <v>2.7</v>
      </c>
      <c r="AH23" s="3">
        <v>5.0000000000000001E-3</v>
      </c>
    </row>
    <row r="24" spans="1:34" x14ac:dyDescent="0.2">
      <c r="A24" t="s">
        <v>139</v>
      </c>
      <c r="B24" t="b">
        <v>1</v>
      </c>
      <c r="C24" t="b">
        <v>1</v>
      </c>
      <c r="E24">
        <v>2.41</v>
      </c>
      <c r="F24">
        <v>2.34</v>
      </c>
      <c r="G24">
        <v>2.27</v>
      </c>
      <c r="H24">
        <v>2.2599999999999998</v>
      </c>
      <c r="I24">
        <v>2.25</v>
      </c>
      <c r="J24">
        <v>2.27</v>
      </c>
      <c r="K24">
        <v>2.2999999999999998</v>
      </c>
      <c r="L24">
        <v>2.34</v>
      </c>
      <c r="M24">
        <v>2.38</v>
      </c>
      <c r="N24">
        <v>2.42</v>
      </c>
      <c r="O24">
        <v>2.4500000000000002</v>
      </c>
      <c r="P24">
        <v>2.48</v>
      </c>
      <c r="Q24">
        <v>2.5099999999999998</v>
      </c>
      <c r="R24">
        <v>2.54</v>
      </c>
      <c r="S24">
        <v>2.57</v>
      </c>
      <c r="T24">
        <v>2.6</v>
      </c>
      <c r="U24">
        <v>2.62</v>
      </c>
      <c r="V24">
        <v>2.65</v>
      </c>
      <c r="W24">
        <v>2.67</v>
      </c>
      <c r="X24">
        <v>2.69</v>
      </c>
      <c r="Y24">
        <v>2.71</v>
      </c>
      <c r="Z24">
        <v>2.74</v>
      </c>
      <c r="AA24">
        <v>2.76</v>
      </c>
      <c r="AB24">
        <v>2.79</v>
      </c>
      <c r="AC24">
        <v>2.81</v>
      </c>
      <c r="AD24">
        <v>2.84</v>
      </c>
      <c r="AE24">
        <v>2.86</v>
      </c>
      <c r="AF24">
        <v>2.89</v>
      </c>
      <c r="AG24">
        <v>2.92</v>
      </c>
      <c r="AH24" s="3">
        <v>8.0000000000000002E-3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86"/>
  <sheetViews>
    <sheetView tabSelected="1" topLeftCell="D69" workbookViewId="0">
      <selection activeCell="E82" sqref="E82"/>
    </sheetView>
  </sheetViews>
  <sheetFormatPr baseColWidth="10" defaultRowHeight="16" x14ac:dyDescent="0.2"/>
  <cols>
    <col min="1" max="1" width="50.5" customWidth="1"/>
  </cols>
  <sheetData>
    <row r="1" spans="1:12" x14ac:dyDescent="0.2">
      <c r="A1" t="s">
        <v>77</v>
      </c>
    </row>
    <row r="2" spans="1:12" x14ac:dyDescent="0.2">
      <c r="A2" t="s">
        <v>78</v>
      </c>
    </row>
    <row r="3" spans="1:12" x14ac:dyDescent="0.2">
      <c r="A3" t="s">
        <v>98</v>
      </c>
    </row>
    <row r="4" spans="1:12" x14ac:dyDescent="0.2">
      <c r="A4" t="s">
        <v>79</v>
      </c>
    </row>
    <row r="5" spans="1:12" x14ac:dyDescent="0.2">
      <c r="A5" t="s">
        <v>83</v>
      </c>
    </row>
    <row r="6" spans="1:12" x14ac:dyDescent="0.2">
      <c r="A6" t="s">
        <v>84</v>
      </c>
    </row>
    <row r="8" spans="1:12" x14ac:dyDescent="0.2">
      <c r="A8" s="2" t="s">
        <v>81</v>
      </c>
      <c r="C8" t="s">
        <v>39</v>
      </c>
      <c r="E8" t="s">
        <v>44</v>
      </c>
    </row>
    <row r="9" spans="1:12" x14ac:dyDescent="0.2">
      <c r="B9" s="2" t="s">
        <v>54</v>
      </c>
      <c r="C9">
        <v>2011</v>
      </c>
      <c r="D9">
        <v>2012</v>
      </c>
      <c r="E9">
        <v>2013</v>
      </c>
    </row>
    <row r="10" spans="1:12" x14ac:dyDescent="0.2">
      <c r="A10" t="s">
        <v>40</v>
      </c>
      <c r="B10">
        <f>AVERAGE(C10:E10)</f>
        <v>23.723333333333333</v>
      </c>
      <c r="C10">
        <v>23.37</v>
      </c>
      <c r="D10">
        <v>23.76</v>
      </c>
      <c r="E10">
        <v>24.04</v>
      </c>
    </row>
    <row r="11" spans="1:12" x14ac:dyDescent="0.2">
      <c r="A11" t="s">
        <v>41</v>
      </c>
      <c r="B11">
        <f>AVERAGE(C11:E11)</f>
        <v>18.36</v>
      </c>
      <c r="C11">
        <v>15.67</v>
      </c>
      <c r="D11">
        <v>20.52</v>
      </c>
      <c r="E11">
        <v>18.89</v>
      </c>
    </row>
    <row r="12" spans="1:12" x14ac:dyDescent="0.2">
      <c r="A12" t="s">
        <v>42</v>
      </c>
      <c r="B12">
        <f>AVERAGE(C12:E12)</f>
        <v>4.2233333333333336</v>
      </c>
      <c r="C12">
        <v>4.8</v>
      </c>
      <c r="D12">
        <v>3.47</v>
      </c>
      <c r="E12">
        <v>4.4000000000000004</v>
      </c>
    </row>
    <row r="13" spans="1:12" x14ac:dyDescent="0.2">
      <c r="A13" t="s">
        <v>43</v>
      </c>
      <c r="B13">
        <f>AVERAGE(C13:E13)</f>
        <v>2.3633333333333333</v>
      </c>
      <c r="C13">
        <v>2.38</v>
      </c>
      <c r="D13">
        <v>2.37</v>
      </c>
      <c r="E13">
        <v>2.34</v>
      </c>
    </row>
    <row r="15" spans="1:12" x14ac:dyDescent="0.2">
      <c r="A15" t="s">
        <v>89</v>
      </c>
      <c r="B15" t="s">
        <v>82</v>
      </c>
    </row>
    <row r="16" spans="1:12" x14ac:dyDescent="0.2">
      <c r="C16" t="s">
        <v>88</v>
      </c>
      <c r="E16">
        <v>2013</v>
      </c>
      <c r="F16">
        <v>2014</v>
      </c>
      <c r="G16">
        <v>2015</v>
      </c>
      <c r="H16">
        <v>2016</v>
      </c>
      <c r="I16">
        <v>2017</v>
      </c>
      <c r="J16">
        <v>2018</v>
      </c>
      <c r="K16">
        <v>2019</v>
      </c>
      <c r="L16">
        <v>2020</v>
      </c>
    </row>
    <row r="17" spans="1:38" x14ac:dyDescent="0.2">
      <c r="A17" t="s">
        <v>85</v>
      </c>
      <c r="C17">
        <v>0.13849</v>
      </c>
      <c r="E17">
        <v>3.03</v>
      </c>
      <c r="F17">
        <v>2.82</v>
      </c>
      <c r="G17">
        <v>1.73</v>
      </c>
      <c r="H17">
        <v>1.87</v>
      </c>
      <c r="I17">
        <v>2.0299999999999998</v>
      </c>
      <c r="J17">
        <v>2.31</v>
      </c>
      <c r="K17">
        <v>2.54</v>
      </c>
      <c r="L17">
        <v>2.46</v>
      </c>
    </row>
    <row r="18" spans="1:38" x14ac:dyDescent="0.2">
      <c r="A18" t="s">
        <v>86</v>
      </c>
      <c r="C18">
        <v>0.12795999999999999</v>
      </c>
      <c r="E18">
        <v>4.63</v>
      </c>
      <c r="F18">
        <v>3.47</v>
      </c>
      <c r="G18">
        <v>2.96</v>
      </c>
      <c r="H18">
        <v>3.04</v>
      </c>
      <c r="I18">
        <v>3.11</v>
      </c>
      <c r="J18">
        <v>3.17</v>
      </c>
      <c r="K18">
        <v>3.22</v>
      </c>
      <c r="L18">
        <v>3.27</v>
      </c>
    </row>
    <row r="19" spans="1:38" x14ac:dyDescent="0.2">
      <c r="A19" t="s">
        <v>87</v>
      </c>
      <c r="E19">
        <f>E18-E17</f>
        <v>1.6</v>
      </c>
      <c r="F19">
        <f t="shared" ref="F19:L19" si="0">F18-F17</f>
        <v>0.65000000000000036</v>
      </c>
      <c r="G19">
        <f t="shared" si="0"/>
        <v>1.23</v>
      </c>
      <c r="H19">
        <f t="shared" si="0"/>
        <v>1.17</v>
      </c>
      <c r="I19">
        <f t="shared" si="0"/>
        <v>1.08</v>
      </c>
      <c r="J19">
        <f t="shared" si="0"/>
        <v>0.85999999999999988</v>
      </c>
      <c r="K19">
        <f t="shared" si="0"/>
        <v>0.68000000000000016</v>
      </c>
      <c r="L19">
        <f t="shared" si="0"/>
        <v>0.81</v>
      </c>
    </row>
    <row r="20" spans="1:38" x14ac:dyDescent="0.2">
      <c r="A20" t="s">
        <v>90</v>
      </c>
      <c r="E20">
        <v>1.4999999999999999E-2</v>
      </c>
      <c r="F20">
        <v>1.6E-2</v>
      </c>
      <c r="G20">
        <v>2E-3</v>
      </c>
      <c r="H20">
        <v>1.7999999999999999E-2</v>
      </c>
      <c r="I20">
        <v>2.3E-2</v>
      </c>
      <c r="J20">
        <v>2.5000000000000001E-2</v>
      </c>
      <c r="K20">
        <v>2.4E-2</v>
      </c>
      <c r="L20">
        <v>0.02</v>
      </c>
    </row>
    <row r="21" spans="1:38" x14ac:dyDescent="0.2">
      <c r="A21" t="s">
        <v>91</v>
      </c>
      <c r="E21">
        <v>1</v>
      </c>
      <c r="F21">
        <f>(1+F20)*E21</f>
        <v>1.016</v>
      </c>
      <c r="G21">
        <f t="shared" ref="G21:L21" si="1">(1+G20)*F21</f>
        <v>1.018032</v>
      </c>
      <c r="H21">
        <f t="shared" si="1"/>
        <v>1.036356576</v>
      </c>
      <c r="I21">
        <f t="shared" si="1"/>
        <v>1.060192777248</v>
      </c>
      <c r="J21">
        <f t="shared" si="1"/>
        <v>1.0866975966791999</v>
      </c>
      <c r="K21">
        <f t="shared" si="1"/>
        <v>1.1127783389995007</v>
      </c>
      <c r="L21">
        <f t="shared" si="1"/>
        <v>1.1350339057794907</v>
      </c>
    </row>
    <row r="22" spans="1:38" x14ac:dyDescent="0.2">
      <c r="A22" t="s">
        <v>94</v>
      </c>
      <c r="E22">
        <f t="shared" ref="E22:L23" si="2">E17/$C17*E$21</f>
        <v>21.878836017040939</v>
      </c>
      <c r="F22">
        <f t="shared" si="2"/>
        <v>20.688280742291862</v>
      </c>
      <c r="G22">
        <f t="shared" si="2"/>
        <v>12.71713018990541</v>
      </c>
      <c r="H22">
        <f t="shared" si="2"/>
        <v>13.993694830818111</v>
      </c>
      <c r="I22">
        <f t="shared" si="2"/>
        <v>15.540409688883239</v>
      </c>
      <c r="J22">
        <f t="shared" si="2"/>
        <v>18.126012335395711</v>
      </c>
      <c r="K22">
        <f t="shared" si="2"/>
        <v>20.409105213796895</v>
      </c>
      <c r="L22">
        <f t="shared" si="2"/>
        <v>20.161624725377624</v>
      </c>
    </row>
    <row r="23" spans="1:38" x14ac:dyDescent="0.2">
      <c r="A23" t="s">
        <v>95</v>
      </c>
      <c r="E23">
        <f t="shared" si="2"/>
        <v>36.183182244451395</v>
      </c>
      <c r="F23">
        <f t="shared" si="2"/>
        <v>27.551734917161617</v>
      </c>
      <c r="G23">
        <f t="shared" si="2"/>
        <v>23.549349171616132</v>
      </c>
      <c r="H23">
        <f t="shared" si="2"/>
        <v>24.621162793372932</v>
      </c>
      <c r="I23">
        <f t="shared" si="2"/>
        <v>25.767423704605189</v>
      </c>
      <c r="J23">
        <f t="shared" si="2"/>
        <v>26.921158029642577</v>
      </c>
      <c r="K23">
        <f t="shared" si="2"/>
        <v>28.00208074068766</v>
      </c>
      <c r="L23">
        <f t="shared" si="2"/>
        <v>29.005633572201742</v>
      </c>
    </row>
    <row r="24" spans="1:38" x14ac:dyDescent="0.2">
      <c r="A24" t="s">
        <v>96</v>
      </c>
      <c r="E24">
        <f>E23-E22</f>
        <v>14.304346227410456</v>
      </c>
      <c r="F24">
        <f t="shared" ref="F24:L24" si="3">F23-F22</f>
        <v>6.8634541748697551</v>
      </c>
      <c r="G24">
        <f t="shared" si="3"/>
        <v>10.832218981710723</v>
      </c>
      <c r="H24">
        <f t="shared" si="3"/>
        <v>10.627467962554821</v>
      </c>
      <c r="I24">
        <f t="shared" si="3"/>
        <v>10.22701401572195</v>
      </c>
      <c r="J24">
        <f t="shared" si="3"/>
        <v>8.795145694246866</v>
      </c>
      <c r="K24">
        <f t="shared" si="3"/>
        <v>7.5929755268907648</v>
      </c>
      <c r="L24">
        <f t="shared" si="3"/>
        <v>8.8440088468241171</v>
      </c>
    </row>
    <row r="26" spans="1:38" x14ac:dyDescent="0.2">
      <c r="A26" t="s">
        <v>45</v>
      </c>
    </row>
    <row r="27" spans="1:38" x14ac:dyDescent="0.2">
      <c r="A27" t="s">
        <v>46</v>
      </c>
      <c r="C27">
        <v>1</v>
      </c>
      <c r="D27">
        <v>2</v>
      </c>
      <c r="E27">
        <v>3</v>
      </c>
      <c r="F27">
        <v>4</v>
      </c>
      <c r="G27">
        <v>5</v>
      </c>
      <c r="H27">
        <v>6</v>
      </c>
      <c r="I27">
        <v>7</v>
      </c>
      <c r="J27">
        <v>8</v>
      </c>
      <c r="K27">
        <v>9</v>
      </c>
      <c r="L27">
        <v>10</v>
      </c>
      <c r="M27">
        <v>11</v>
      </c>
      <c r="N27">
        <v>12</v>
      </c>
      <c r="O27">
        <v>1</v>
      </c>
      <c r="P27">
        <v>2</v>
      </c>
      <c r="Q27">
        <v>3</v>
      </c>
      <c r="R27">
        <v>4</v>
      </c>
      <c r="S27">
        <v>5</v>
      </c>
      <c r="T27">
        <v>6</v>
      </c>
      <c r="U27">
        <v>7</v>
      </c>
      <c r="V27">
        <v>8</v>
      </c>
      <c r="W27">
        <v>9</v>
      </c>
      <c r="X27">
        <v>10</v>
      </c>
      <c r="Y27">
        <v>11</v>
      </c>
      <c r="Z27">
        <v>12</v>
      </c>
      <c r="AA27">
        <v>1</v>
      </c>
      <c r="AB27">
        <v>2</v>
      </c>
      <c r="AC27">
        <v>3</v>
      </c>
      <c r="AD27">
        <v>4</v>
      </c>
      <c r="AE27">
        <v>5</v>
      </c>
      <c r="AF27">
        <v>6</v>
      </c>
      <c r="AG27">
        <v>7</v>
      </c>
      <c r="AH27">
        <v>8</v>
      </c>
      <c r="AI27">
        <v>9</v>
      </c>
      <c r="AJ27">
        <v>10</v>
      </c>
      <c r="AK27">
        <v>11</v>
      </c>
      <c r="AL27">
        <v>12</v>
      </c>
    </row>
    <row r="28" spans="1:38" x14ac:dyDescent="0.2">
      <c r="A28" t="s">
        <v>47</v>
      </c>
      <c r="C28">
        <v>2011</v>
      </c>
      <c r="D28">
        <v>2011</v>
      </c>
      <c r="E28">
        <v>2011</v>
      </c>
      <c r="F28">
        <v>2011</v>
      </c>
      <c r="G28">
        <v>2011</v>
      </c>
      <c r="H28">
        <v>2011</v>
      </c>
      <c r="I28">
        <v>2011</v>
      </c>
      <c r="J28">
        <v>2011</v>
      </c>
      <c r="K28">
        <v>2011</v>
      </c>
      <c r="L28">
        <v>2011</v>
      </c>
      <c r="M28">
        <v>2011</v>
      </c>
      <c r="N28">
        <v>2011</v>
      </c>
      <c r="O28">
        <v>2012</v>
      </c>
      <c r="P28">
        <v>2012</v>
      </c>
      <c r="Q28">
        <v>2012</v>
      </c>
      <c r="R28">
        <v>2012</v>
      </c>
      <c r="S28">
        <v>2012</v>
      </c>
      <c r="T28">
        <v>2012</v>
      </c>
      <c r="U28">
        <v>2012</v>
      </c>
      <c r="V28">
        <v>2012</v>
      </c>
      <c r="W28">
        <v>2012</v>
      </c>
      <c r="X28">
        <v>2012</v>
      </c>
      <c r="Y28">
        <v>2012</v>
      </c>
      <c r="Z28">
        <v>2012</v>
      </c>
      <c r="AA28">
        <v>2013</v>
      </c>
      <c r="AB28">
        <v>2013</v>
      </c>
      <c r="AC28">
        <v>2013</v>
      </c>
      <c r="AD28">
        <v>2013</v>
      </c>
      <c r="AE28">
        <v>2013</v>
      </c>
      <c r="AF28">
        <v>2013</v>
      </c>
      <c r="AG28">
        <v>2013</v>
      </c>
      <c r="AH28">
        <v>2013</v>
      </c>
      <c r="AI28">
        <v>2013</v>
      </c>
      <c r="AJ28">
        <v>2013</v>
      </c>
      <c r="AK28">
        <v>2013</v>
      </c>
      <c r="AL28">
        <v>2013</v>
      </c>
    </row>
    <row r="29" spans="1:38" x14ac:dyDescent="0.2">
      <c r="A29" t="s">
        <v>49</v>
      </c>
      <c r="C29">
        <v>1809.31</v>
      </c>
      <c r="D29">
        <v>1845.62</v>
      </c>
      <c r="E29">
        <v>1863.55</v>
      </c>
      <c r="F29">
        <v>1969.2</v>
      </c>
      <c r="G29">
        <v>1970.1</v>
      </c>
      <c r="H29">
        <v>1970.1</v>
      </c>
      <c r="I29">
        <v>1970.1</v>
      </c>
      <c r="J29">
        <v>1970.1</v>
      </c>
      <c r="K29">
        <v>2100.6999999999998</v>
      </c>
      <c r="L29">
        <v>2108.25</v>
      </c>
      <c r="M29">
        <v>2197.29</v>
      </c>
      <c r="N29">
        <v>2198.0100000000002</v>
      </c>
      <c r="O29">
        <v>2198.0100000000002</v>
      </c>
      <c r="P29">
        <v>2198.0100000000002</v>
      </c>
      <c r="Q29">
        <v>2254.9299999999998</v>
      </c>
      <c r="R29">
        <v>2255.7800000000002</v>
      </c>
      <c r="S29">
        <v>2255.77</v>
      </c>
      <c r="T29">
        <v>2255.77</v>
      </c>
      <c r="U29">
        <v>2295.2199999999998</v>
      </c>
      <c r="V29">
        <v>2230.23</v>
      </c>
      <c r="W29">
        <v>2234.58</v>
      </c>
      <c r="X29">
        <v>2234</v>
      </c>
      <c r="Y29">
        <v>2234</v>
      </c>
      <c r="Z29">
        <v>2234</v>
      </c>
      <c r="AA29">
        <v>2272.61</v>
      </c>
      <c r="AB29">
        <v>2284.87</v>
      </c>
      <c r="AC29">
        <v>2315.91</v>
      </c>
      <c r="AD29">
        <v>2317.9499999999998</v>
      </c>
      <c r="AE29">
        <v>2318.08</v>
      </c>
      <c r="AF29">
        <v>2318.09</v>
      </c>
      <c r="AG29">
        <v>2318.09</v>
      </c>
      <c r="AH29">
        <v>2300.96</v>
      </c>
      <c r="AI29">
        <v>2322.59</v>
      </c>
      <c r="AJ29">
        <v>2322.5500000000002</v>
      </c>
      <c r="AK29">
        <v>2344.21</v>
      </c>
      <c r="AL29">
        <v>2345.5100000000002</v>
      </c>
    </row>
    <row r="30" spans="1:38" x14ac:dyDescent="0.2">
      <c r="A30" t="s">
        <v>48</v>
      </c>
      <c r="C30">
        <v>1493.15</v>
      </c>
      <c r="D30">
        <v>1548.89</v>
      </c>
      <c r="E30">
        <v>1614.38</v>
      </c>
      <c r="F30">
        <v>1732.09</v>
      </c>
      <c r="G30">
        <v>1842.3</v>
      </c>
      <c r="H30">
        <v>2010.9</v>
      </c>
      <c r="I30">
        <v>2122.59</v>
      </c>
      <c r="J30">
        <v>2062.1999999999998</v>
      </c>
      <c r="K30">
        <v>2064.4499999999998</v>
      </c>
      <c r="L30">
        <v>2097.35</v>
      </c>
      <c r="M30">
        <v>2084.27</v>
      </c>
      <c r="N30">
        <v>2053.0700000000002</v>
      </c>
      <c r="O30">
        <v>2095.2399999999998</v>
      </c>
      <c r="P30">
        <v>2083.42</v>
      </c>
      <c r="Q30">
        <v>2104.58</v>
      </c>
      <c r="R30">
        <v>2197.71</v>
      </c>
      <c r="S30">
        <v>2270.85</v>
      </c>
      <c r="T30">
        <v>2303.02</v>
      </c>
      <c r="U30">
        <v>2313.5700000000002</v>
      </c>
      <c r="V30">
        <v>2182.06</v>
      </c>
      <c r="W30">
        <v>2084.87</v>
      </c>
      <c r="X30">
        <v>2085.13</v>
      </c>
      <c r="Y30">
        <v>2076.1</v>
      </c>
      <c r="Z30">
        <v>2018.85</v>
      </c>
      <c r="AA30">
        <v>2019.02</v>
      </c>
      <c r="AB30">
        <v>1990.13</v>
      </c>
      <c r="AC30">
        <v>1992.65</v>
      </c>
      <c r="AD30">
        <v>2056.19</v>
      </c>
      <c r="AE30">
        <v>2052.94</v>
      </c>
      <c r="AF30">
        <v>2015.29</v>
      </c>
      <c r="AG30">
        <v>1992.61</v>
      </c>
      <c r="AH30">
        <v>2074.6799999999998</v>
      </c>
      <c r="AI30">
        <v>1883.37</v>
      </c>
      <c r="AJ30">
        <v>2037.21</v>
      </c>
      <c r="AK30">
        <v>2109.23</v>
      </c>
      <c r="AL30">
        <v>2096.62</v>
      </c>
    </row>
    <row r="32" spans="1:38" x14ac:dyDescent="0.2">
      <c r="A32" s="2" t="s">
        <v>92</v>
      </c>
    </row>
    <row r="33" spans="1:44" x14ac:dyDescent="0.2">
      <c r="A33" t="s">
        <v>51</v>
      </c>
      <c r="B33" s="2">
        <f>AVERAGE(C33:E33)</f>
        <v>21.842791666666667</v>
      </c>
      <c r="C33">
        <f>AVERAGE(C29:N29)/100</f>
        <v>19.976941666666669</v>
      </c>
      <c r="D33">
        <f>AVERAGE(O29:Z29)/100</f>
        <v>22.40025</v>
      </c>
      <c r="E33">
        <f>AVERAGE(AA29:AL29)/100</f>
        <v>23.151183333333332</v>
      </c>
    </row>
    <row r="34" spans="1:44" x14ac:dyDescent="0.2">
      <c r="A34" t="s">
        <v>50</v>
      </c>
      <c r="B34" s="2">
        <f>AVERAGE(C34:E34)</f>
        <v>20.239161111111112</v>
      </c>
      <c r="C34">
        <f>AVERAGE(C30:N30)/100</f>
        <v>18.938033333333333</v>
      </c>
      <c r="D34">
        <f>AVERAGE(O30:Z30)/100</f>
        <v>21.512833333333333</v>
      </c>
      <c r="E34">
        <f>AVERAGE(AA30:AL30)/100</f>
        <v>20.266616666666668</v>
      </c>
    </row>
    <row r="35" spans="1:44" x14ac:dyDescent="0.2">
      <c r="A35" t="s">
        <v>80</v>
      </c>
      <c r="B35" s="2">
        <f>AVERAGE(C35:E35)</f>
        <v>3.4933333333333336</v>
      </c>
      <c r="C35">
        <v>4</v>
      </c>
      <c r="D35">
        <v>2.75</v>
      </c>
      <c r="E35">
        <v>3.73</v>
      </c>
    </row>
    <row r="36" spans="1:44" x14ac:dyDescent="0.2">
      <c r="A36" t="s">
        <v>72</v>
      </c>
      <c r="B36">
        <v>2.665</v>
      </c>
      <c r="E36">
        <v>2.6309999999999998</v>
      </c>
      <c r="F36">
        <v>2.665</v>
      </c>
      <c r="G36">
        <v>2.698</v>
      </c>
    </row>
    <row r="38" spans="1:44" x14ac:dyDescent="0.2">
      <c r="A38" s="2" t="s">
        <v>93</v>
      </c>
    </row>
    <row r="39" spans="1:44" x14ac:dyDescent="0.2">
      <c r="A39" t="s">
        <v>53</v>
      </c>
      <c r="B39" s="2">
        <f>AVERAGE(C39:E39)</f>
        <v>-1.880541666666667</v>
      </c>
      <c r="C39">
        <f t="shared" ref="C39:E41" si="4">C33-C10</f>
        <v>-3.3930583333333324</v>
      </c>
      <c r="D39">
        <f t="shared" si="4"/>
        <v>-1.3597500000000018</v>
      </c>
      <c r="E39">
        <f t="shared" si="4"/>
        <v>-0.88881666666666703</v>
      </c>
    </row>
    <row r="40" spans="1:44" x14ac:dyDescent="0.2">
      <c r="A40" t="s">
        <v>52</v>
      </c>
      <c r="B40" s="2">
        <f>AVERAGE(C40:E40)</f>
        <v>1.8791611111111113</v>
      </c>
      <c r="C40">
        <f t="shared" si="4"/>
        <v>3.2680333333333333</v>
      </c>
      <c r="D40">
        <f t="shared" si="4"/>
        <v>0.99283333333333346</v>
      </c>
      <c r="E40">
        <f t="shared" si="4"/>
        <v>1.376616666666667</v>
      </c>
    </row>
    <row r="41" spans="1:44" x14ac:dyDescent="0.2">
      <c r="A41" t="s">
        <v>55</v>
      </c>
      <c r="B41" s="2">
        <f>AVERAGE(C41:E41)</f>
        <v>-0.73000000000000009</v>
      </c>
      <c r="C41">
        <f t="shared" si="4"/>
        <v>-0.79999999999999982</v>
      </c>
      <c r="D41">
        <f t="shared" si="4"/>
        <v>-0.7200000000000002</v>
      </c>
      <c r="E41">
        <f t="shared" si="4"/>
        <v>-0.67000000000000037</v>
      </c>
    </row>
    <row r="42" spans="1:44" x14ac:dyDescent="0.2">
      <c r="A42" t="s">
        <v>73</v>
      </c>
      <c r="B42" s="2">
        <f>AVERAGE(C42:E42)</f>
        <v>0.29099999999999993</v>
      </c>
      <c r="E42">
        <f>E36-E13</f>
        <v>0.29099999999999993</v>
      </c>
    </row>
    <row r="43" spans="1:44" x14ac:dyDescent="0.2">
      <c r="A43" t="s">
        <v>97</v>
      </c>
      <c r="B43" s="2">
        <f>AVERAGE(H24:L24)</f>
        <v>9.2173224092477035</v>
      </c>
      <c r="AG43" s="2" t="s">
        <v>74</v>
      </c>
    </row>
    <row r="44" spans="1:44" x14ac:dyDescent="0.2">
      <c r="AR44" t="s">
        <v>75</v>
      </c>
    </row>
    <row r="45" spans="1:44" x14ac:dyDescent="0.2">
      <c r="B45" t="s">
        <v>102</v>
      </c>
      <c r="C45" t="s">
        <v>103</v>
      </c>
    </row>
    <row r="46" spans="1:44" x14ac:dyDescent="0.2">
      <c r="A46" t="s">
        <v>104</v>
      </c>
      <c r="H46">
        <v>13.25</v>
      </c>
      <c r="I46">
        <v>13.52</v>
      </c>
      <c r="J46">
        <v>13.79</v>
      </c>
      <c r="K46">
        <v>14.06</v>
      </c>
      <c r="L46">
        <v>14.34</v>
      </c>
      <c r="M46">
        <v>14.63</v>
      </c>
      <c r="N46">
        <v>14.92</v>
      </c>
      <c r="O46">
        <v>15.22</v>
      </c>
      <c r="P46">
        <v>15.52</v>
      </c>
      <c r="Q46">
        <v>15.83</v>
      </c>
      <c r="R46">
        <v>16.149999999999999</v>
      </c>
      <c r="S46">
        <v>16.47</v>
      </c>
      <c r="T46">
        <v>16.8</v>
      </c>
      <c r="U46">
        <v>17.14</v>
      </c>
      <c r="V46">
        <v>17.48</v>
      </c>
    </row>
    <row r="47" spans="1:44" x14ac:dyDescent="0.2">
      <c r="A47" t="s">
        <v>105</v>
      </c>
      <c r="G47">
        <v>13</v>
      </c>
      <c r="H47">
        <f>G47</f>
        <v>13</v>
      </c>
      <c r="I47">
        <f t="shared" ref="I47:AP47" si="5">H47</f>
        <v>13</v>
      </c>
      <c r="J47">
        <f t="shared" si="5"/>
        <v>13</v>
      </c>
      <c r="K47">
        <f t="shared" si="5"/>
        <v>13</v>
      </c>
      <c r="L47">
        <f t="shared" si="5"/>
        <v>13</v>
      </c>
      <c r="M47">
        <f t="shared" si="5"/>
        <v>13</v>
      </c>
      <c r="N47">
        <f t="shared" si="5"/>
        <v>13</v>
      </c>
      <c r="O47">
        <f t="shared" si="5"/>
        <v>13</v>
      </c>
      <c r="P47">
        <f t="shared" si="5"/>
        <v>13</v>
      </c>
      <c r="Q47">
        <f t="shared" si="5"/>
        <v>13</v>
      </c>
      <c r="R47">
        <f t="shared" si="5"/>
        <v>13</v>
      </c>
      <c r="S47">
        <f t="shared" si="5"/>
        <v>13</v>
      </c>
      <c r="T47">
        <f t="shared" si="5"/>
        <v>13</v>
      </c>
      <c r="U47">
        <f t="shared" si="5"/>
        <v>13</v>
      </c>
      <c r="V47">
        <f t="shared" si="5"/>
        <v>13</v>
      </c>
      <c r="W47">
        <f t="shared" si="5"/>
        <v>13</v>
      </c>
      <c r="X47">
        <f t="shared" si="5"/>
        <v>13</v>
      </c>
      <c r="Y47">
        <f t="shared" si="5"/>
        <v>13</v>
      </c>
      <c r="Z47">
        <f t="shared" si="5"/>
        <v>13</v>
      </c>
      <c r="AA47">
        <f t="shared" si="5"/>
        <v>13</v>
      </c>
      <c r="AB47">
        <f t="shared" si="5"/>
        <v>13</v>
      </c>
      <c r="AC47">
        <f t="shared" si="5"/>
        <v>13</v>
      </c>
      <c r="AD47">
        <f t="shared" si="5"/>
        <v>13</v>
      </c>
      <c r="AE47">
        <f t="shared" si="5"/>
        <v>13</v>
      </c>
      <c r="AF47">
        <f t="shared" si="5"/>
        <v>13</v>
      </c>
      <c r="AG47">
        <f t="shared" si="5"/>
        <v>13</v>
      </c>
      <c r="AH47">
        <f t="shared" si="5"/>
        <v>13</v>
      </c>
      <c r="AI47">
        <f t="shared" si="5"/>
        <v>13</v>
      </c>
      <c r="AJ47">
        <f t="shared" si="5"/>
        <v>13</v>
      </c>
      <c r="AK47">
        <f t="shared" si="5"/>
        <v>13</v>
      </c>
      <c r="AL47">
        <f t="shared" si="5"/>
        <v>13</v>
      </c>
      <c r="AM47">
        <f t="shared" si="5"/>
        <v>13</v>
      </c>
      <c r="AN47">
        <f t="shared" si="5"/>
        <v>13</v>
      </c>
      <c r="AO47">
        <f t="shared" si="5"/>
        <v>13</v>
      </c>
      <c r="AP47">
        <f t="shared" si="5"/>
        <v>13</v>
      </c>
    </row>
    <row r="49" spans="1:45" x14ac:dyDescent="0.2">
      <c r="A49" t="s">
        <v>61</v>
      </c>
      <c r="B49" t="s">
        <v>140</v>
      </c>
      <c r="D49">
        <v>2012</v>
      </c>
      <c r="E49">
        <v>2013</v>
      </c>
      <c r="F49">
        <v>2014</v>
      </c>
      <c r="G49">
        <v>2015</v>
      </c>
      <c r="H49">
        <v>2016</v>
      </c>
      <c r="I49">
        <v>2017</v>
      </c>
      <c r="J49">
        <v>2018</v>
      </c>
      <c r="K49">
        <v>2019</v>
      </c>
      <c r="L49">
        <v>2020</v>
      </c>
      <c r="M49">
        <v>2021</v>
      </c>
      <c r="N49">
        <v>2022</v>
      </c>
      <c r="O49">
        <v>2023</v>
      </c>
      <c r="P49">
        <v>2024</v>
      </c>
      <c r="Q49">
        <v>2025</v>
      </c>
      <c r="R49">
        <v>2026</v>
      </c>
      <c r="S49">
        <v>2027</v>
      </c>
      <c r="T49">
        <v>2028</v>
      </c>
      <c r="U49">
        <v>2029</v>
      </c>
      <c r="V49">
        <v>2030</v>
      </c>
      <c r="W49">
        <v>2031</v>
      </c>
      <c r="X49">
        <v>2032</v>
      </c>
      <c r="Y49">
        <v>2033</v>
      </c>
      <c r="Z49">
        <v>2034</v>
      </c>
      <c r="AA49">
        <v>2035</v>
      </c>
      <c r="AB49">
        <v>2036</v>
      </c>
      <c r="AC49">
        <v>2037</v>
      </c>
      <c r="AD49">
        <v>2038</v>
      </c>
      <c r="AE49">
        <v>2039</v>
      </c>
      <c r="AF49">
        <v>2040</v>
      </c>
      <c r="AG49" s="2">
        <f>AF49+1</f>
        <v>2041</v>
      </c>
      <c r="AH49" s="2">
        <f>AG49+1</f>
        <v>2042</v>
      </c>
      <c r="AI49" s="2">
        <f t="shared" ref="AI49:AP49" si="6">AH49+1</f>
        <v>2043</v>
      </c>
      <c r="AJ49" s="2">
        <f t="shared" si="6"/>
        <v>2044</v>
      </c>
      <c r="AK49" s="2">
        <f t="shared" si="6"/>
        <v>2045</v>
      </c>
      <c r="AL49" s="2">
        <f t="shared" si="6"/>
        <v>2046</v>
      </c>
      <c r="AM49" s="2">
        <f t="shared" si="6"/>
        <v>2047</v>
      </c>
      <c r="AN49" s="2">
        <f t="shared" si="6"/>
        <v>2048</v>
      </c>
      <c r="AO49" s="2">
        <f t="shared" si="6"/>
        <v>2049</v>
      </c>
      <c r="AP49" s="2">
        <f t="shared" si="6"/>
        <v>2050</v>
      </c>
    </row>
    <row r="50" spans="1:45" x14ac:dyDescent="0.2">
      <c r="A50" t="str">
        <f>INDEX('EIA AEO 2015'!A$9:A$24, $B50)</f>
        <v>Energy Prices : Electric Power : Distillate Fuel Oil : High oil price</v>
      </c>
      <c r="B50">
        <v>2</v>
      </c>
      <c r="D50">
        <f>INDEX('EIA AEO 2015'!E$9:E$24, $B50)</f>
        <v>24.11</v>
      </c>
      <c r="E50">
        <f>INDEX('EIA AEO 2015'!F$9:F$24, $B50)</f>
        <v>24.04</v>
      </c>
      <c r="F50">
        <f>INDEX('EIA AEO 2015'!G$9:G$24, $B50)</f>
        <v>23.19</v>
      </c>
      <c r="G50">
        <f>INDEX('EIA AEO 2015'!H$9:H$24, $B50)</f>
        <v>26.46</v>
      </c>
      <c r="H50">
        <f>INDEX('EIA AEO 2015'!I$9:I$24, $B50)</f>
        <v>28.92</v>
      </c>
      <c r="I50">
        <f>INDEX('EIA AEO 2015'!J$9:J$24, $B50)</f>
        <v>29.88</v>
      </c>
      <c r="J50">
        <f>INDEX('EIA AEO 2015'!K$9:K$24, $B50)</f>
        <v>30.68</v>
      </c>
      <c r="K50">
        <f>INDEX('EIA AEO 2015'!L$9:L$24, $B50)</f>
        <v>31.28</v>
      </c>
      <c r="L50">
        <f>INDEX('EIA AEO 2015'!M$9:M$24, $B50)</f>
        <v>31.84</v>
      </c>
      <c r="M50">
        <f>INDEX('EIA AEO 2015'!N$9:N$24, $B50)</f>
        <v>32.6</v>
      </c>
      <c r="N50">
        <f>INDEX('EIA AEO 2015'!O$9:O$24, $B50)</f>
        <v>33.35</v>
      </c>
      <c r="O50">
        <f>INDEX('EIA AEO 2015'!P$9:P$24, $B50)</f>
        <v>34.04</v>
      </c>
      <c r="P50">
        <f>INDEX('EIA AEO 2015'!Q$9:Q$24, $B50)</f>
        <v>35.049999999999997</v>
      </c>
      <c r="Q50">
        <f>INDEX('EIA AEO 2015'!R$9:R$24, $B50)</f>
        <v>35.97</v>
      </c>
      <c r="R50">
        <f>INDEX('EIA AEO 2015'!S$9:S$24, $B50)</f>
        <v>36.880000000000003</v>
      </c>
      <c r="S50">
        <f>INDEX('EIA AEO 2015'!T$9:T$24, $B50)</f>
        <v>37.82</v>
      </c>
      <c r="T50">
        <f>INDEX('EIA AEO 2015'!U$9:U$24, $B50)</f>
        <v>38.770000000000003</v>
      </c>
      <c r="U50">
        <f>INDEX('EIA AEO 2015'!V$9:V$24, $B50)</f>
        <v>39.700000000000003</v>
      </c>
      <c r="V50">
        <f>INDEX('EIA AEO 2015'!W$9:W$24, $B50)</f>
        <v>40.6</v>
      </c>
      <c r="W50">
        <f>INDEX('EIA AEO 2015'!X$9:X$24, $B50)</f>
        <v>41.49</v>
      </c>
      <c r="X50">
        <f>INDEX('EIA AEO 2015'!Y$9:Y$24, $B50)</f>
        <v>42.45</v>
      </c>
      <c r="Y50">
        <f>INDEX('EIA AEO 2015'!Z$9:Z$24, $B50)</f>
        <v>43.64</v>
      </c>
      <c r="Z50">
        <f>INDEX('EIA AEO 2015'!AA$9:AA$24, $B50)</f>
        <v>44.7</v>
      </c>
      <c r="AA50">
        <f>INDEX('EIA AEO 2015'!AB$9:AB$24, $B50)</f>
        <v>45.45</v>
      </c>
      <c r="AB50">
        <f>INDEX('EIA AEO 2015'!AC$9:AC$24, $B50)</f>
        <v>46.55</v>
      </c>
      <c r="AC50">
        <f>INDEX('EIA AEO 2015'!AD$9:AD$24, $B50)</f>
        <v>47.61</v>
      </c>
      <c r="AD50">
        <f>INDEX('EIA AEO 2015'!AE$9:AE$24, $B50)</f>
        <v>48.74</v>
      </c>
      <c r="AE50">
        <f>INDEX('EIA AEO 2015'!AF$9:AF$24, $B50)</f>
        <v>49.79</v>
      </c>
      <c r="AF50">
        <f>INDEX('EIA AEO 2015'!AG$9:AG$24, $B50)</f>
        <v>51.01</v>
      </c>
      <c r="AG50" s="2">
        <f>AF50+$AR50</f>
        <v>51.991999999999997</v>
      </c>
      <c r="AH50" s="2">
        <f t="shared" ref="AH50:AP50" si="7">AG50+$AR50</f>
        <v>52.973999999999997</v>
      </c>
      <c r="AI50" s="2">
        <f t="shared" si="7"/>
        <v>53.955999999999996</v>
      </c>
      <c r="AJ50" s="2">
        <f t="shared" si="7"/>
        <v>54.937999999999995</v>
      </c>
      <c r="AK50" s="2">
        <f t="shared" si="7"/>
        <v>55.919999999999995</v>
      </c>
      <c r="AL50" s="2">
        <f t="shared" si="7"/>
        <v>56.901999999999994</v>
      </c>
      <c r="AM50" s="2">
        <f t="shared" si="7"/>
        <v>57.883999999999993</v>
      </c>
      <c r="AN50" s="2">
        <f t="shared" si="7"/>
        <v>58.865999999999993</v>
      </c>
      <c r="AO50" s="2">
        <f t="shared" si="7"/>
        <v>59.847999999999992</v>
      </c>
      <c r="AP50" s="2">
        <f t="shared" si="7"/>
        <v>60.829999999999991</v>
      </c>
      <c r="AR50">
        <f>(AF50-G50)/(AF$49-G$49)</f>
        <v>0.98199999999999987</v>
      </c>
      <c r="AS50">
        <f>(AF50/G50)^(1/(AF$61-G$61))</f>
        <v>1.0266032134538283</v>
      </c>
    </row>
    <row r="51" spans="1:45" x14ac:dyDescent="0.2">
      <c r="A51" t="str">
        <f>INDEX('EIA AEO 2015'!A$9:A$24, $B51)</f>
        <v>Energy Prices : Electric Power : Residual Fuel Oil : High oil price</v>
      </c>
      <c r="B51">
        <f>B50+4</f>
        <v>6</v>
      </c>
      <c r="D51">
        <f>INDEX('EIA AEO 2015'!E$9:E$24, $B51)</f>
        <v>20.82</v>
      </c>
      <c r="E51">
        <f>INDEX('EIA AEO 2015'!F$9:F$24, $B51)</f>
        <v>18.89</v>
      </c>
      <c r="F51">
        <f>INDEX('EIA AEO 2015'!G$9:G$24, $B51)</f>
        <v>20.010000000000002</v>
      </c>
      <c r="G51">
        <f>INDEX('EIA AEO 2015'!H$9:H$24, $B51)</f>
        <v>15.97</v>
      </c>
      <c r="H51">
        <f>INDEX('EIA AEO 2015'!I$9:I$24, $B51)</f>
        <v>17.940000000000001</v>
      </c>
      <c r="I51">
        <f>INDEX('EIA AEO 2015'!J$9:J$24, $B51)</f>
        <v>19.399999999999999</v>
      </c>
      <c r="J51">
        <f>INDEX('EIA AEO 2015'!K$9:K$24, $B51)</f>
        <v>19.87</v>
      </c>
      <c r="K51">
        <f>INDEX('EIA AEO 2015'!L$9:L$24, $B51)</f>
        <v>21.26</v>
      </c>
      <c r="L51">
        <f>INDEX('EIA AEO 2015'!M$9:M$24, $B51)</f>
        <v>21.66</v>
      </c>
      <c r="M51">
        <f>INDEX('EIA AEO 2015'!N$9:N$24, $B51)</f>
        <v>22.25</v>
      </c>
      <c r="N51">
        <f>INDEX('EIA AEO 2015'!O$9:O$24, $B51)</f>
        <v>23.01</v>
      </c>
      <c r="O51">
        <f>INDEX('EIA AEO 2015'!P$9:P$24, $B51)</f>
        <v>23.62</v>
      </c>
      <c r="P51">
        <f>INDEX('EIA AEO 2015'!Q$9:Q$24, $B51)</f>
        <v>24.4</v>
      </c>
      <c r="Q51">
        <f>INDEX('EIA AEO 2015'!R$9:R$24, $B51)</f>
        <v>25.08</v>
      </c>
      <c r="R51">
        <f>INDEX('EIA AEO 2015'!S$9:S$24, $B51)</f>
        <v>25.71</v>
      </c>
      <c r="S51">
        <f>INDEX('EIA AEO 2015'!T$9:T$24, $B51)</f>
        <v>26.62</v>
      </c>
      <c r="T51">
        <f>INDEX('EIA AEO 2015'!U$9:U$24, $B51)</f>
        <v>27.4</v>
      </c>
      <c r="U51">
        <f>INDEX('EIA AEO 2015'!V$9:V$24, $B51)</f>
        <v>28.19</v>
      </c>
      <c r="V51">
        <f>INDEX('EIA AEO 2015'!W$9:W$24, $B51)</f>
        <v>28.92</v>
      </c>
      <c r="W51">
        <f>INDEX('EIA AEO 2015'!X$9:X$24, $B51)</f>
        <v>31.24</v>
      </c>
      <c r="X51">
        <f>INDEX('EIA AEO 2015'!Y$9:Y$24, $B51)</f>
        <v>32.159999999999997</v>
      </c>
      <c r="Y51">
        <f>INDEX('EIA AEO 2015'!Z$9:Z$24, $B51)</f>
        <v>33.020000000000003</v>
      </c>
      <c r="Z51">
        <f>INDEX('EIA AEO 2015'!AA$9:AA$24, $B51)</f>
        <v>34.03</v>
      </c>
      <c r="AA51">
        <f>INDEX('EIA AEO 2015'!AB$9:AB$24, $B51)</f>
        <v>34.83</v>
      </c>
      <c r="AB51">
        <f>INDEX('EIA AEO 2015'!AC$9:AC$24, $B51)</f>
        <v>35.840000000000003</v>
      </c>
      <c r="AC51">
        <f>INDEX('EIA AEO 2015'!AD$9:AD$24, $B51)</f>
        <v>36.82</v>
      </c>
      <c r="AD51">
        <f>INDEX('EIA AEO 2015'!AE$9:AE$24, $B51)</f>
        <v>37.880000000000003</v>
      </c>
      <c r="AE51">
        <f>INDEX('EIA AEO 2015'!AF$9:AF$24, $B51)</f>
        <v>38.880000000000003</v>
      </c>
      <c r="AF51">
        <f>INDEX('EIA AEO 2015'!AG$9:AG$24, $B51)</f>
        <v>39.96</v>
      </c>
      <c r="AG51" s="2">
        <f t="shared" ref="AG51:AP51" si="8">AF51+$AR51</f>
        <v>40.919600000000003</v>
      </c>
      <c r="AH51" s="2">
        <f t="shared" si="8"/>
        <v>41.879200000000004</v>
      </c>
      <c r="AI51" s="2">
        <f t="shared" si="8"/>
        <v>42.838800000000006</v>
      </c>
      <c r="AJ51" s="2">
        <f t="shared" si="8"/>
        <v>43.798400000000008</v>
      </c>
      <c r="AK51" s="2">
        <f t="shared" si="8"/>
        <v>44.75800000000001</v>
      </c>
      <c r="AL51" s="2">
        <f t="shared" si="8"/>
        <v>45.717600000000012</v>
      </c>
      <c r="AM51" s="2">
        <f t="shared" si="8"/>
        <v>46.677200000000013</v>
      </c>
      <c r="AN51" s="2">
        <f t="shared" si="8"/>
        <v>47.636800000000015</v>
      </c>
      <c r="AO51" s="2">
        <f t="shared" si="8"/>
        <v>48.596400000000017</v>
      </c>
      <c r="AP51" s="2">
        <f t="shared" si="8"/>
        <v>49.556000000000019</v>
      </c>
      <c r="AR51">
        <f t="shared" ref="AR51:AR53" si="9">(AF51-G51)/(AF$49-G$49)</f>
        <v>0.95960000000000012</v>
      </c>
    </row>
    <row r="52" spans="1:45" x14ac:dyDescent="0.2">
      <c r="A52" s="2" t="s">
        <v>141</v>
      </c>
      <c r="B52" s="4">
        <f t="shared" ref="B52:B53" si="10">B51+4</f>
        <v>10</v>
      </c>
      <c r="C52" s="4"/>
      <c r="D52" s="4">
        <f>INDEX('EIA AEO 2015'!E$9:E$24, $B52)</f>
        <v>3.52</v>
      </c>
      <c r="E52" s="4">
        <f>INDEX('EIA AEO 2015'!F$9:F$24, $B52)</f>
        <v>4.4000000000000004</v>
      </c>
      <c r="F52" s="4">
        <f>INDEX('EIA AEO 2015'!G$9:G$24, $B52)</f>
        <v>5</v>
      </c>
      <c r="G52" s="4">
        <f>INDEX('EIA AEO 2015'!H$9:H$24, $B52)</f>
        <v>4.28</v>
      </c>
      <c r="H52" s="2">
        <f>H50-($G50-$G52)</f>
        <v>6.740000000000002</v>
      </c>
      <c r="I52" s="2">
        <f t="shared" ref="I52:AP52" si="11">I50-($G50-$G52)</f>
        <v>7.6999999999999993</v>
      </c>
      <c r="J52" s="2">
        <f t="shared" si="11"/>
        <v>8.5</v>
      </c>
      <c r="K52" s="2">
        <f t="shared" si="11"/>
        <v>9.1000000000000014</v>
      </c>
      <c r="L52" s="2">
        <f t="shared" si="11"/>
        <v>9.66</v>
      </c>
      <c r="M52" s="2">
        <f t="shared" si="11"/>
        <v>10.420000000000002</v>
      </c>
      <c r="N52" s="2">
        <f t="shared" si="11"/>
        <v>11.170000000000002</v>
      </c>
      <c r="O52" s="2">
        <f t="shared" si="11"/>
        <v>11.86</v>
      </c>
      <c r="P52" s="2">
        <f t="shared" si="11"/>
        <v>12.869999999999997</v>
      </c>
      <c r="Q52" s="2">
        <f t="shared" si="11"/>
        <v>13.79</v>
      </c>
      <c r="R52" s="2">
        <f t="shared" si="11"/>
        <v>14.700000000000003</v>
      </c>
      <c r="S52" s="2">
        <f t="shared" si="11"/>
        <v>15.64</v>
      </c>
      <c r="T52" s="2">
        <f t="shared" si="11"/>
        <v>16.590000000000003</v>
      </c>
      <c r="U52" s="2">
        <f t="shared" si="11"/>
        <v>17.520000000000003</v>
      </c>
      <c r="V52" s="2">
        <f t="shared" si="11"/>
        <v>18.420000000000002</v>
      </c>
      <c r="W52" s="2">
        <f t="shared" si="11"/>
        <v>19.310000000000002</v>
      </c>
      <c r="X52" s="2">
        <f t="shared" si="11"/>
        <v>20.270000000000003</v>
      </c>
      <c r="Y52" s="2">
        <f t="shared" si="11"/>
        <v>21.46</v>
      </c>
      <c r="Z52" s="2">
        <f t="shared" si="11"/>
        <v>22.520000000000003</v>
      </c>
      <c r="AA52" s="2">
        <f t="shared" si="11"/>
        <v>23.270000000000003</v>
      </c>
      <c r="AB52" s="2">
        <f t="shared" si="11"/>
        <v>24.369999999999997</v>
      </c>
      <c r="AC52" s="2">
        <f t="shared" si="11"/>
        <v>25.43</v>
      </c>
      <c r="AD52" s="2">
        <f t="shared" si="11"/>
        <v>26.560000000000002</v>
      </c>
      <c r="AE52" s="2">
        <f t="shared" si="11"/>
        <v>27.61</v>
      </c>
      <c r="AF52" s="2">
        <f t="shared" si="11"/>
        <v>28.83</v>
      </c>
      <c r="AG52" s="2">
        <f t="shared" si="11"/>
        <v>29.811999999999998</v>
      </c>
      <c r="AH52" s="2">
        <f t="shared" si="11"/>
        <v>30.793999999999997</v>
      </c>
      <c r="AI52" s="2">
        <f t="shared" si="11"/>
        <v>31.775999999999996</v>
      </c>
      <c r="AJ52" s="2">
        <f t="shared" si="11"/>
        <v>32.757999999999996</v>
      </c>
      <c r="AK52" s="2">
        <f t="shared" si="11"/>
        <v>33.739999999999995</v>
      </c>
      <c r="AL52" s="2">
        <f t="shared" si="11"/>
        <v>34.721999999999994</v>
      </c>
      <c r="AM52" s="2">
        <f t="shared" si="11"/>
        <v>35.703999999999994</v>
      </c>
      <c r="AN52" s="2">
        <f t="shared" si="11"/>
        <v>36.685999999999993</v>
      </c>
      <c r="AO52" s="2">
        <f t="shared" si="11"/>
        <v>37.667999999999992</v>
      </c>
      <c r="AP52" s="2">
        <f t="shared" si="11"/>
        <v>38.649999999999991</v>
      </c>
      <c r="AR52">
        <f t="shared" si="9"/>
        <v>0.98199999999999987</v>
      </c>
    </row>
    <row r="53" spans="1:45" x14ac:dyDescent="0.2">
      <c r="A53" t="str">
        <f>INDEX('EIA AEO 2015'!A$9:A$24, $B53)</f>
        <v>Energy Prices : Electric Power : Steam Coal : High oil price</v>
      </c>
      <c r="B53">
        <f t="shared" si="10"/>
        <v>14</v>
      </c>
      <c r="D53">
        <f>INDEX('EIA AEO 2015'!E$9:E$24, $B53)</f>
        <v>2.41</v>
      </c>
      <c r="E53">
        <f>INDEX('EIA AEO 2015'!F$9:F$24, $B53)</f>
        <v>2.34</v>
      </c>
      <c r="F53">
        <f>INDEX('EIA AEO 2015'!G$9:G$24, $B53)</f>
        <v>2.27</v>
      </c>
      <c r="G53">
        <f>INDEX('EIA AEO 2015'!H$9:H$24, $B53)</f>
        <v>2.41</v>
      </c>
      <c r="H53">
        <f>INDEX('EIA AEO 2015'!I$9:I$24, $B53)</f>
        <v>2.38</v>
      </c>
      <c r="I53">
        <f>INDEX('EIA AEO 2015'!J$9:J$24, $B53)</f>
        <v>2.4</v>
      </c>
      <c r="J53">
        <f>INDEX('EIA AEO 2015'!K$9:K$24, $B53)</f>
        <v>2.44</v>
      </c>
      <c r="K53">
        <f>INDEX('EIA AEO 2015'!L$9:L$24, $B53)</f>
        <v>2.4900000000000002</v>
      </c>
      <c r="L53">
        <f>INDEX('EIA AEO 2015'!M$9:M$24, $B53)</f>
        <v>2.5499999999999998</v>
      </c>
      <c r="M53">
        <f>INDEX('EIA AEO 2015'!N$9:N$24, $B53)</f>
        <v>2.6</v>
      </c>
      <c r="N53">
        <f>INDEX('EIA AEO 2015'!O$9:O$24, $B53)</f>
        <v>2.64</v>
      </c>
      <c r="O53">
        <f>INDEX('EIA AEO 2015'!P$9:P$24, $B53)</f>
        <v>2.69</v>
      </c>
      <c r="P53">
        <f>INDEX('EIA AEO 2015'!Q$9:Q$24, $B53)</f>
        <v>2.73</v>
      </c>
      <c r="Q53">
        <f>INDEX('EIA AEO 2015'!R$9:R$24, $B53)</f>
        <v>2.76</v>
      </c>
      <c r="R53">
        <f>INDEX('EIA AEO 2015'!S$9:S$24, $B53)</f>
        <v>2.8</v>
      </c>
      <c r="S53">
        <f>INDEX('EIA AEO 2015'!T$9:T$24, $B53)</f>
        <v>2.84</v>
      </c>
      <c r="T53">
        <f>INDEX('EIA AEO 2015'!U$9:U$24, $B53)</f>
        <v>2.88</v>
      </c>
      <c r="U53">
        <f>INDEX('EIA AEO 2015'!V$9:V$24, $B53)</f>
        <v>2.91</v>
      </c>
      <c r="V53">
        <f>INDEX('EIA AEO 2015'!W$9:W$24, $B53)</f>
        <v>2.96</v>
      </c>
      <c r="W53">
        <f>INDEX('EIA AEO 2015'!X$9:X$24, $B53)</f>
        <v>2.99</v>
      </c>
      <c r="X53">
        <f>INDEX('EIA AEO 2015'!Y$9:Y$24, $B53)</f>
        <v>3.02</v>
      </c>
      <c r="Y53">
        <f>INDEX('EIA AEO 2015'!Z$9:Z$24, $B53)</f>
        <v>3.05</v>
      </c>
      <c r="Z53">
        <f>INDEX('EIA AEO 2015'!AA$9:AA$24, $B53)</f>
        <v>3.08</v>
      </c>
      <c r="AA53">
        <f>INDEX('EIA AEO 2015'!AB$9:AB$24, $B53)</f>
        <v>3.12</v>
      </c>
      <c r="AB53">
        <f>INDEX('EIA AEO 2015'!AC$9:AC$24, $B53)</f>
        <v>3.16</v>
      </c>
      <c r="AC53">
        <f>INDEX('EIA AEO 2015'!AD$9:AD$24, $B53)</f>
        <v>3.2</v>
      </c>
      <c r="AD53">
        <f>INDEX('EIA AEO 2015'!AE$9:AE$24, $B53)</f>
        <v>3.24</v>
      </c>
      <c r="AE53">
        <f>INDEX('EIA AEO 2015'!AF$9:AF$24, $B53)</f>
        <v>3.27</v>
      </c>
      <c r="AF53">
        <f>INDEX('EIA AEO 2015'!AG$9:AG$24, $B53)</f>
        <v>3.3</v>
      </c>
      <c r="AG53" s="2">
        <f t="shared" ref="AG53:AP53" si="12">AF53+$AR53</f>
        <v>3.3355999999999999</v>
      </c>
      <c r="AH53" s="2">
        <f t="shared" si="12"/>
        <v>3.3712</v>
      </c>
      <c r="AI53" s="2">
        <f t="shared" si="12"/>
        <v>3.4068000000000001</v>
      </c>
      <c r="AJ53" s="2">
        <f t="shared" si="12"/>
        <v>3.4424000000000001</v>
      </c>
      <c r="AK53" s="2">
        <f t="shared" si="12"/>
        <v>3.4780000000000002</v>
      </c>
      <c r="AL53" s="2">
        <f t="shared" si="12"/>
        <v>3.5136000000000003</v>
      </c>
      <c r="AM53" s="2">
        <f t="shared" si="12"/>
        <v>3.5492000000000004</v>
      </c>
      <c r="AN53" s="2">
        <f t="shared" si="12"/>
        <v>3.5848000000000004</v>
      </c>
      <c r="AO53" s="2">
        <f t="shared" si="12"/>
        <v>3.6204000000000005</v>
      </c>
      <c r="AP53" s="2">
        <f t="shared" si="12"/>
        <v>3.6560000000000006</v>
      </c>
      <c r="AR53">
        <f t="shared" si="9"/>
        <v>3.5599999999999986E-2</v>
      </c>
    </row>
    <row r="54" spans="1:45" x14ac:dyDescent="0.2">
      <c r="A54" t="s">
        <v>60</v>
      </c>
      <c r="AG54" s="2"/>
      <c r="AH54" s="2"/>
      <c r="AI54" s="2"/>
      <c r="AJ54" s="2"/>
      <c r="AK54" s="2"/>
      <c r="AL54" s="2"/>
      <c r="AM54" s="2"/>
      <c r="AN54" s="2"/>
      <c r="AO54" s="2"/>
      <c r="AP54" s="2"/>
    </row>
    <row r="55" spans="1:45" x14ac:dyDescent="0.2">
      <c r="AG55" s="2"/>
      <c r="AH55" s="2"/>
      <c r="AI55" s="2"/>
      <c r="AJ55" s="2"/>
      <c r="AK55" s="2"/>
      <c r="AL55" s="2"/>
      <c r="AM55" s="2"/>
      <c r="AN55" s="2"/>
      <c r="AO55" s="2"/>
      <c r="AP55" s="2"/>
    </row>
    <row r="56" spans="1:45" x14ac:dyDescent="0.2">
      <c r="A56" t="s">
        <v>62</v>
      </c>
      <c r="B56" s="3">
        <v>2.5000000000000001E-2</v>
      </c>
      <c r="AG56" s="2"/>
      <c r="AH56" s="2"/>
      <c r="AI56" s="2"/>
      <c r="AJ56" s="2"/>
      <c r="AK56" s="2"/>
      <c r="AL56" s="2"/>
      <c r="AM56" s="2"/>
      <c r="AN56" s="2"/>
      <c r="AO56" s="2"/>
      <c r="AP56" s="2"/>
    </row>
    <row r="57" spans="1:45" x14ac:dyDescent="0.2">
      <c r="A57" t="s">
        <v>64</v>
      </c>
      <c r="E57">
        <f>'LNG details'!E16-'LNG details'!E15</f>
        <v>17.589999999999996</v>
      </c>
    </row>
    <row r="58" spans="1:45" x14ac:dyDescent="0.2">
      <c r="A58" t="s">
        <v>63</v>
      </c>
      <c r="B58" t="s">
        <v>70</v>
      </c>
      <c r="E58">
        <f>SUM('LNG details'!B4:B5) / (1+B56)^5</f>
        <v>5.1970632111439619</v>
      </c>
    </row>
    <row r="59" spans="1:45" x14ac:dyDescent="0.2">
      <c r="AB59" s="4"/>
      <c r="AC59" s="4"/>
      <c r="AD59" s="4"/>
      <c r="AE59" s="4"/>
      <c r="AF59" s="4"/>
      <c r="AG59" s="4"/>
      <c r="AH59" s="4"/>
      <c r="AI59" s="4"/>
      <c r="AJ59" s="4"/>
      <c r="AK59" s="4"/>
    </row>
    <row r="60" spans="1:45" x14ac:dyDescent="0.2">
      <c r="A60" t="s">
        <v>107</v>
      </c>
      <c r="AB60" s="4"/>
      <c r="AC60" s="4"/>
      <c r="AD60" s="4"/>
      <c r="AE60" s="4"/>
      <c r="AF60" s="4"/>
      <c r="AG60" s="4"/>
      <c r="AH60" s="4"/>
      <c r="AI60" s="4"/>
      <c r="AJ60" s="4"/>
      <c r="AK60" s="4"/>
    </row>
    <row r="61" spans="1:45" x14ac:dyDescent="0.2">
      <c r="A61" t="s">
        <v>76</v>
      </c>
      <c r="B61">
        <v>2015</v>
      </c>
      <c r="C61">
        <v>2016</v>
      </c>
      <c r="D61">
        <v>2017</v>
      </c>
      <c r="E61">
        <v>2018</v>
      </c>
      <c r="F61">
        <v>2019</v>
      </c>
      <c r="G61">
        <v>2020</v>
      </c>
      <c r="H61">
        <v>2021</v>
      </c>
      <c r="I61">
        <v>2022</v>
      </c>
      <c r="J61">
        <v>2023</v>
      </c>
      <c r="K61">
        <v>2024</v>
      </c>
      <c r="L61">
        <v>2025</v>
      </c>
      <c r="M61">
        <v>2026</v>
      </c>
      <c r="N61">
        <v>2027</v>
      </c>
      <c r="O61">
        <v>2028</v>
      </c>
      <c r="P61">
        <v>2029</v>
      </c>
      <c r="Q61">
        <v>2030</v>
      </c>
      <c r="R61">
        <v>2031</v>
      </c>
      <c r="S61">
        <v>2032</v>
      </c>
      <c r="T61">
        <v>2033</v>
      </c>
      <c r="U61">
        <v>2034</v>
      </c>
      <c r="V61">
        <v>2035</v>
      </c>
      <c r="W61">
        <v>2036</v>
      </c>
      <c r="X61">
        <v>2037</v>
      </c>
      <c r="Y61">
        <v>2038</v>
      </c>
      <c r="Z61">
        <v>2039</v>
      </c>
      <c r="AA61">
        <v>2040</v>
      </c>
      <c r="AB61" s="4">
        <f>AA61+1</f>
        <v>2041</v>
      </c>
      <c r="AC61" s="4">
        <f>AB61+1</f>
        <v>2042</v>
      </c>
      <c r="AD61" s="4">
        <f t="shared" ref="AD61:AK61" si="13">AC61+1</f>
        <v>2043</v>
      </c>
      <c r="AE61" s="4">
        <f t="shared" si="13"/>
        <v>2044</v>
      </c>
      <c r="AF61" s="4">
        <f t="shared" si="13"/>
        <v>2045</v>
      </c>
      <c r="AG61" s="4">
        <f t="shared" si="13"/>
        <v>2046</v>
      </c>
      <c r="AH61" s="4">
        <f t="shared" si="13"/>
        <v>2047</v>
      </c>
      <c r="AI61" s="4">
        <f t="shared" si="13"/>
        <v>2048</v>
      </c>
      <c r="AJ61" s="4">
        <f t="shared" si="13"/>
        <v>2049</v>
      </c>
      <c r="AK61" s="4">
        <f t="shared" si="13"/>
        <v>2050</v>
      </c>
    </row>
    <row r="62" spans="1:45" x14ac:dyDescent="0.2">
      <c r="A62" t="s">
        <v>71</v>
      </c>
      <c r="B62">
        <f t="shared" ref="B62:K63" si="14">G50+$B39</f>
        <v>24.579458333333335</v>
      </c>
      <c r="C62">
        <f t="shared" si="14"/>
        <v>27.039458333333336</v>
      </c>
      <c r="D62">
        <f t="shared" si="14"/>
        <v>27.999458333333333</v>
      </c>
      <c r="E62">
        <f t="shared" si="14"/>
        <v>28.799458333333334</v>
      </c>
      <c r="F62">
        <f t="shared" si="14"/>
        <v>29.399458333333335</v>
      </c>
      <c r="G62">
        <f t="shared" si="14"/>
        <v>29.959458333333334</v>
      </c>
      <c r="H62">
        <f t="shared" si="14"/>
        <v>30.719458333333336</v>
      </c>
      <c r="I62">
        <f t="shared" si="14"/>
        <v>31.469458333333336</v>
      </c>
      <c r="J62">
        <f t="shared" si="14"/>
        <v>32.159458333333333</v>
      </c>
      <c r="K62">
        <f t="shared" si="14"/>
        <v>33.169458333333331</v>
      </c>
      <c r="L62">
        <f t="shared" ref="L62:U63" si="15">Q50+$B39</f>
        <v>34.089458333333333</v>
      </c>
      <c r="M62">
        <f t="shared" si="15"/>
        <v>34.999458333333337</v>
      </c>
      <c r="N62">
        <f t="shared" si="15"/>
        <v>35.939458333333334</v>
      </c>
      <c r="O62">
        <f t="shared" si="15"/>
        <v>36.889458333333337</v>
      </c>
      <c r="P62">
        <f t="shared" si="15"/>
        <v>37.819458333333337</v>
      </c>
      <c r="Q62">
        <f t="shared" si="15"/>
        <v>38.719458333333336</v>
      </c>
      <c r="R62">
        <f t="shared" si="15"/>
        <v>39.609458333333336</v>
      </c>
      <c r="S62">
        <f t="shared" si="15"/>
        <v>40.569458333333337</v>
      </c>
      <c r="T62">
        <f t="shared" si="15"/>
        <v>41.759458333333335</v>
      </c>
      <c r="U62">
        <f t="shared" si="15"/>
        <v>42.819458333333337</v>
      </c>
      <c r="V62">
        <f t="shared" ref="V62:AA63" si="16">AA50+$B39</f>
        <v>43.569458333333337</v>
      </c>
      <c r="W62">
        <f t="shared" si="16"/>
        <v>44.669458333333331</v>
      </c>
      <c r="X62">
        <f t="shared" si="16"/>
        <v>45.729458333333334</v>
      </c>
      <c r="Y62">
        <f t="shared" si="16"/>
        <v>46.859458333333336</v>
      </c>
      <c r="Z62">
        <f t="shared" si="16"/>
        <v>47.909458333333333</v>
      </c>
      <c r="AA62">
        <f t="shared" si="16"/>
        <v>49.129458333333332</v>
      </c>
      <c r="AB62">
        <f t="shared" ref="AB62:AK62" si="17">AG50+$B39</f>
        <v>50.111458333333331</v>
      </c>
      <c r="AC62">
        <f t="shared" si="17"/>
        <v>51.093458333333331</v>
      </c>
      <c r="AD62">
        <f t="shared" si="17"/>
        <v>52.07545833333333</v>
      </c>
      <c r="AE62">
        <f t="shared" si="17"/>
        <v>53.057458333333329</v>
      </c>
      <c r="AF62">
        <f t="shared" si="17"/>
        <v>54.039458333333329</v>
      </c>
      <c r="AG62">
        <f t="shared" si="17"/>
        <v>55.021458333333328</v>
      </c>
      <c r="AH62">
        <f t="shared" si="17"/>
        <v>56.003458333333327</v>
      </c>
      <c r="AI62">
        <f t="shared" si="17"/>
        <v>56.985458333333327</v>
      </c>
      <c r="AJ62">
        <f t="shared" si="17"/>
        <v>57.967458333333326</v>
      </c>
      <c r="AK62">
        <f t="shared" si="17"/>
        <v>58.949458333333325</v>
      </c>
    </row>
    <row r="63" spans="1:45" x14ac:dyDescent="0.2">
      <c r="A63" t="s">
        <v>21</v>
      </c>
      <c r="B63">
        <f t="shared" si="14"/>
        <v>17.849161111111112</v>
      </c>
      <c r="C63">
        <f t="shared" si="14"/>
        <v>19.819161111111114</v>
      </c>
      <c r="D63">
        <f t="shared" si="14"/>
        <v>21.279161111111108</v>
      </c>
      <c r="E63">
        <f t="shared" si="14"/>
        <v>21.749161111111114</v>
      </c>
      <c r="F63">
        <f t="shared" si="14"/>
        <v>23.139161111111115</v>
      </c>
      <c r="G63">
        <f t="shared" si="14"/>
        <v>23.539161111111113</v>
      </c>
      <c r="H63">
        <f t="shared" si="14"/>
        <v>24.12916111111111</v>
      </c>
      <c r="I63">
        <f t="shared" si="14"/>
        <v>24.889161111111115</v>
      </c>
      <c r="J63">
        <f t="shared" si="14"/>
        <v>25.499161111111114</v>
      </c>
      <c r="K63">
        <f t="shared" si="14"/>
        <v>26.279161111111108</v>
      </c>
      <c r="L63">
        <f t="shared" si="15"/>
        <v>26.959161111111108</v>
      </c>
      <c r="M63">
        <f t="shared" si="15"/>
        <v>27.58916111111111</v>
      </c>
      <c r="N63">
        <f t="shared" si="15"/>
        <v>28.499161111111114</v>
      </c>
      <c r="O63">
        <f t="shared" si="15"/>
        <v>29.279161111111108</v>
      </c>
      <c r="P63">
        <f t="shared" si="15"/>
        <v>30.069161111111114</v>
      </c>
      <c r="Q63">
        <f t="shared" si="15"/>
        <v>30.799161111111111</v>
      </c>
      <c r="R63">
        <f t="shared" si="15"/>
        <v>33.119161111111111</v>
      </c>
      <c r="S63">
        <f t="shared" si="15"/>
        <v>34.039161111111106</v>
      </c>
      <c r="T63">
        <f t="shared" si="15"/>
        <v>34.899161111111113</v>
      </c>
      <c r="U63">
        <f t="shared" si="15"/>
        <v>35.909161111111111</v>
      </c>
      <c r="V63">
        <f t="shared" si="16"/>
        <v>36.709161111111108</v>
      </c>
      <c r="W63">
        <f t="shared" si="16"/>
        <v>37.719161111111113</v>
      </c>
      <c r="X63">
        <f t="shared" si="16"/>
        <v>38.69916111111111</v>
      </c>
      <c r="Y63">
        <f t="shared" si="16"/>
        <v>39.759161111111112</v>
      </c>
      <c r="Z63">
        <f t="shared" si="16"/>
        <v>40.759161111111112</v>
      </c>
      <c r="AA63">
        <f t="shared" si="16"/>
        <v>41.83916111111111</v>
      </c>
      <c r="AB63">
        <f t="shared" ref="AB63:AK63" si="18">AG51+$B40</f>
        <v>42.798761111111112</v>
      </c>
      <c r="AC63">
        <f t="shared" si="18"/>
        <v>43.758361111111114</v>
      </c>
      <c r="AD63">
        <f t="shared" si="18"/>
        <v>44.717961111111116</v>
      </c>
      <c r="AE63">
        <f t="shared" si="18"/>
        <v>45.677561111111117</v>
      </c>
      <c r="AF63">
        <f t="shared" si="18"/>
        <v>46.637161111111119</v>
      </c>
      <c r="AG63">
        <f t="shared" si="18"/>
        <v>47.596761111111121</v>
      </c>
      <c r="AH63">
        <f t="shared" si="18"/>
        <v>48.556361111111123</v>
      </c>
      <c r="AI63">
        <f t="shared" si="18"/>
        <v>49.515961111111125</v>
      </c>
      <c r="AJ63">
        <f t="shared" si="18"/>
        <v>50.475561111111126</v>
      </c>
      <c r="AK63">
        <f t="shared" si="18"/>
        <v>51.435161111111128</v>
      </c>
    </row>
    <row r="64" spans="1:45" x14ac:dyDescent="0.2">
      <c r="A64" t="s">
        <v>99</v>
      </c>
      <c r="B64">
        <f>0.4*B62+0.6*B63</f>
        <v>20.54128</v>
      </c>
      <c r="C64">
        <f t="shared" ref="C64:AA64" si="19">0.4*C62+0.6*C63</f>
        <v>22.707280000000004</v>
      </c>
      <c r="D64">
        <f t="shared" si="19"/>
        <v>23.967279999999999</v>
      </c>
      <c r="E64">
        <f t="shared" si="19"/>
        <v>24.569280000000003</v>
      </c>
      <c r="F64">
        <f t="shared" si="19"/>
        <v>25.643280000000004</v>
      </c>
      <c r="G64">
        <f t="shared" si="19"/>
        <v>26.107280000000003</v>
      </c>
      <c r="H64">
        <f t="shared" si="19"/>
        <v>26.765280000000001</v>
      </c>
      <c r="I64">
        <f t="shared" si="19"/>
        <v>27.521280000000004</v>
      </c>
      <c r="J64">
        <f t="shared" si="19"/>
        <v>28.16328</v>
      </c>
      <c r="K64">
        <f t="shared" si="19"/>
        <v>29.03528</v>
      </c>
      <c r="L64">
        <f t="shared" si="19"/>
        <v>29.811279999999996</v>
      </c>
      <c r="M64">
        <f t="shared" si="19"/>
        <v>30.553280000000001</v>
      </c>
      <c r="N64">
        <f t="shared" si="19"/>
        <v>31.475280000000001</v>
      </c>
      <c r="O64">
        <f t="shared" si="19"/>
        <v>32.323279999999997</v>
      </c>
      <c r="P64">
        <f t="shared" si="19"/>
        <v>33.169280000000001</v>
      </c>
      <c r="Q64">
        <f t="shared" si="19"/>
        <v>33.967280000000002</v>
      </c>
      <c r="R64">
        <f t="shared" si="19"/>
        <v>35.71528</v>
      </c>
      <c r="S64">
        <f t="shared" si="19"/>
        <v>36.65128</v>
      </c>
      <c r="T64">
        <f t="shared" si="19"/>
        <v>37.643280000000004</v>
      </c>
      <c r="U64">
        <f t="shared" si="19"/>
        <v>38.673280000000005</v>
      </c>
      <c r="V64">
        <f t="shared" si="19"/>
        <v>39.453279999999999</v>
      </c>
      <c r="W64">
        <f t="shared" si="19"/>
        <v>40.499279999999999</v>
      </c>
      <c r="X64">
        <f t="shared" si="19"/>
        <v>41.511279999999999</v>
      </c>
      <c r="Y64">
        <f t="shared" si="19"/>
        <v>42.599280000000007</v>
      </c>
      <c r="Z64">
        <f t="shared" si="19"/>
        <v>43.619280000000003</v>
      </c>
      <c r="AA64">
        <f t="shared" si="19"/>
        <v>44.755279999999999</v>
      </c>
      <c r="AB64">
        <f t="shared" ref="AB64" si="20">0.4*AB62+0.6*AB63</f>
        <v>45.723840000000003</v>
      </c>
      <c r="AC64">
        <f t="shared" ref="AC64" si="21">0.4*AC62+0.6*AC63</f>
        <v>46.692399999999999</v>
      </c>
      <c r="AD64">
        <f t="shared" ref="AD64" si="22">0.4*AD62+0.6*AD63</f>
        <v>47.660960000000003</v>
      </c>
      <c r="AE64">
        <f t="shared" ref="AE64" si="23">0.4*AE62+0.6*AE63</f>
        <v>48.629519999999999</v>
      </c>
      <c r="AF64">
        <f t="shared" ref="AF64" si="24">0.4*AF62+0.6*AF63</f>
        <v>49.598080000000003</v>
      </c>
      <c r="AG64">
        <f t="shared" ref="AG64" si="25">0.4*AG62+0.6*AG63</f>
        <v>50.566640000000007</v>
      </c>
      <c r="AH64">
        <f t="shared" ref="AH64" si="26">0.4*AH62+0.6*AH63</f>
        <v>51.535200000000003</v>
      </c>
      <c r="AI64">
        <f t="shared" ref="AI64" si="27">0.4*AI62+0.6*AI63</f>
        <v>52.503760000000007</v>
      </c>
      <c r="AJ64">
        <f t="shared" ref="AJ64" si="28">0.4*AJ62+0.6*AJ63</f>
        <v>53.472320000000003</v>
      </c>
      <c r="AK64">
        <f t="shared" ref="AK64" si="29">0.4*AK62+0.6*AK63</f>
        <v>54.440880000000007</v>
      </c>
    </row>
    <row r="65" spans="1:37" x14ac:dyDescent="0.2">
      <c r="A65" t="s">
        <v>108</v>
      </c>
      <c r="B65">
        <f t="shared" ref="B65:K66" si="30">G$52+$E57</f>
        <v>21.869999999999997</v>
      </c>
      <c r="C65">
        <f t="shared" si="30"/>
        <v>24.33</v>
      </c>
      <c r="D65">
        <f t="shared" si="30"/>
        <v>25.289999999999996</v>
      </c>
      <c r="E65">
        <f t="shared" si="30"/>
        <v>26.089999999999996</v>
      </c>
      <c r="F65">
        <f t="shared" si="30"/>
        <v>26.689999999999998</v>
      </c>
      <c r="G65">
        <f t="shared" si="30"/>
        <v>27.249999999999996</v>
      </c>
      <c r="H65">
        <f t="shared" si="30"/>
        <v>28.009999999999998</v>
      </c>
      <c r="I65">
        <f t="shared" si="30"/>
        <v>28.759999999999998</v>
      </c>
      <c r="J65">
        <f t="shared" si="30"/>
        <v>29.449999999999996</v>
      </c>
      <c r="K65">
        <f t="shared" si="30"/>
        <v>30.459999999999994</v>
      </c>
      <c r="L65">
        <f t="shared" ref="L65:U66" si="31">Q$52+$E57</f>
        <v>31.379999999999995</v>
      </c>
      <c r="M65">
        <f t="shared" si="31"/>
        <v>32.29</v>
      </c>
      <c r="N65">
        <f t="shared" si="31"/>
        <v>33.229999999999997</v>
      </c>
      <c r="O65">
        <f t="shared" si="31"/>
        <v>34.18</v>
      </c>
      <c r="P65">
        <f t="shared" si="31"/>
        <v>35.11</v>
      </c>
      <c r="Q65">
        <f t="shared" si="31"/>
        <v>36.01</v>
      </c>
      <c r="R65">
        <f t="shared" si="31"/>
        <v>36.9</v>
      </c>
      <c r="S65">
        <f t="shared" si="31"/>
        <v>37.86</v>
      </c>
      <c r="T65">
        <f t="shared" si="31"/>
        <v>39.049999999999997</v>
      </c>
      <c r="U65">
        <f t="shared" si="31"/>
        <v>40.11</v>
      </c>
      <c r="V65">
        <f t="shared" ref="V65:AA66" si="32">AA$52+$E57</f>
        <v>40.86</v>
      </c>
      <c r="W65">
        <f t="shared" si="32"/>
        <v>41.959999999999994</v>
      </c>
      <c r="X65">
        <f t="shared" si="32"/>
        <v>43.019999999999996</v>
      </c>
      <c r="Y65">
        <f t="shared" si="32"/>
        <v>44.15</v>
      </c>
      <c r="Z65">
        <f t="shared" si="32"/>
        <v>45.199999999999996</v>
      </c>
      <c r="AA65">
        <f t="shared" si="32"/>
        <v>46.419999999999995</v>
      </c>
      <c r="AB65">
        <f t="shared" ref="AB65:AK65" si="33">AG$52+$E57</f>
        <v>47.401999999999994</v>
      </c>
      <c r="AC65">
        <f t="shared" si="33"/>
        <v>48.383999999999993</v>
      </c>
      <c r="AD65">
        <f t="shared" si="33"/>
        <v>49.365999999999993</v>
      </c>
      <c r="AE65">
        <f t="shared" si="33"/>
        <v>50.347999999999992</v>
      </c>
      <c r="AF65">
        <f t="shared" si="33"/>
        <v>51.329999999999991</v>
      </c>
      <c r="AG65">
        <f t="shared" si="33"/>
        <v>52.311999999999991</v>
      </c>
      <c r="AH65">
        <f t="shared" si="33"/>
        <v>53.29399999999999</v>
      </c>
      <c r="AI65">
        <f t="shared" si="33"/>
        <v>54.275999999999989</v>
      </c>
      <c r="AJ65">
        <f t="shared" si="33"/>
        <v>55.257999999999988</v>
      </c>
      <c r="AK65">
        <f t="shared" si="33"/>
        <v>56.239999999999988</v>
      </c>
    </row>
    <row r="66" spans="1:37" x14ac:dyDescent="0.2">
      <c r="A66" t="s">
        <v>109</v>
      </c>
      <c r="B66">
        <f t="shared" si="30"/>
        <v>9.4770632111439621</v>
      </c>
      <c r="C66">
        <f t="shared" si="30"/>
        <v>11.937063211143965</v>
      </c>
      <c r="D66">
        <f t="shared" si="30"/>
        <v>12.897063211143962</v>
      </c>
      <c r="E66">
        <f t="shared" si="30"/>
        <v>13.697063211143963</v>
      </c>
      <c r="F66">
        <f t="shared" si="30"/>
        <v>14.297063211143964</v>
      </c>
      <c r="G66">
        <f t="shared" si="30"/>
        <v>14.857063211143963</v>
      </c>
      <c r="H66">
        <f t="shared" si="30"/>
        <v>15.617063211143964</v>
      </c>
      <c r="I66">
        <f t="shared" si="30"/>
        <v>16.367063211143964</v>
      </c>
      <c r="J66">
        <f t="shared" si="30"/>
        <v>17.057063211143962</v>
      </c>
      <c r="K66">
        <f t="shared" si="30"/>
        <v>18.06706321114396</v>
      </c>
      <c r="L66">
        <f t="shared" si="31"/>
        <v>18.987063211143962</v>
      </c>
      <c r="M66">
        <f t="shared" si="31"/>
        <v>19.897063211143966</v>
      </c>
      <c r="N66">
        <f t="shared" si="31"/>
        <v>20.837063211143963</v>
      </c>
      <c r="O66">
        <f t="shared" si="31"/>
        <v>21.787063211143966</v>
      </c>
      <c r="P66">
        <f t="shared" si="31"/>
        <v>22.717063211143966</v>
      </c>
      <c r="Q66">
        <f t="shared" si="31"/>
        <v>23.617063211143964</v>
      </c>
      <c r="R66">
        <f t="shared" si="31"/>
        <v>24.507063211143965</v>
      </c>
      <c r="S66">
        <f t="shared" si="31"/>
        <v>25.467063211143966</v>
      </c>
      <c r="T66">
        <f t="shared" si="31"/>
        <v>26.657063211143964</v>
      </c>
      <c r="U66">
        <f t="shared" si="31"/>
        <v>27.717063211143966</v>
      </c>
      <c r="V66">
        <f t="shared" si="32"/>
        <v>28.467063211143966</v>
      </c>
      <c r="W66">
        <f t="shared" si="32"/>
        <v>29.56706321114396</v>
      </c>
      <c r="X66">
        <f t="shared" si="32"/>
        <v>30.627063211143962</v>
      </c>
      <c r="Y66">
        <f t="shared" si="32"/>
        <v>31.757063211143965</v>
      </c>
      <c r="Z66">
        <f t="shared" si="32"/>
        <v>32.807063211143962</v>
      </c>
      <c r="AA66">
        <f t="shared" si="32"/>
        <v>34.027063211143961</v>
      </c>
      <c r="AB66">
        <f t="shared" ref="AB66:AK66" si="34">AG$52+$E58</f>
        <v>35.00906321114396</v>
      </c>
      <c r="AC66">
        <f t="shared" si="34"/>
        <v>35.99106321114396</v>
      </c>
      <c r="AD66">
        <f t="shared" si="34"/>
        <v>36.973063211143959</v>
      </c>
      <c r="AE66">
        <f t="shared" si="34"/>
        <v>37.955063211143958</v>
      </c>
      <c r="AF66">
        <f t="shared" si="34"/>
        <v>38.937063211143958</v>
      </c>
      <c r="AG66">
        <f t="shared" si="34"/>
        <v>39.919063211143957</v>
      </c>
      <c r="AH66">
        <f t="shared" si="34"/>
        <v>40.901063211143956</v>
      </c>
      <c r="AI66">
        <f t="shared" si="34"/>
        <v>41.883063211143956</v>
      </c>
      <c r="AJ66">
        <f t="shared" si="34"/>
        <v>42.865063211143955</v>
      </c>
      <c r="AK66">
        <f t="shared" si="34"/>
        <v>43.847063211143954</v>
      </c>
    </row>
    <row r="67" spans="1:37" x14ac:dyDescent="0.2">
      <c r="A67" t="s">
        <v>28</v>
      </c>
      <c r="B67">
        <f t="shared" ref="B67:AA67" si="35">G53+$B42</f>
        <v>2.7010000000000001</v>
      </c>
      <c r="C67">
        <f t="shared" si="35"/>
        <v>2.6709999999999998</v>
      </c>
      <c r="D67">
        <f t="shared" si="35"/>
        <v>2.6909999999999998</v>
      </c>
      <c r="E67">
        <f t="shared" si="35"/>
        <v>2.7309999999999999</v>
      </c>
      <c r="F67">
        <f t="shared" si="35"/>
        <v>2.7810000000000001</v>
      </c>
      <c r="G67">
        <f t="shared" si="35"/>
        <v>2.8409999999999997</v>
      </c>
      <c r="H67">
        <f t="shared" si="35"/>
        <v>2.891</v>
      </c>
      <c r="I67">
        <f t="shared" si="35"/>
        <v>2.931</v>
      </c>
      <c r="J67">
        <f t="shared" si="35"/>
        <v>2.9809999999999999</v>
      </c>
      <c r="K67">
        <f t="shared" si="35"/>
        <v>3.0209999999999999</v>
      </c>
      <c r="L67">
        <f t="shared" si="35"/>
        <v>3.0509999999999997</v>
      </c>
      <c r="M67">
        <f t="shared" si="35"/>
        <v>3.0909999999999997</v>
      </c>
      <c r="N67">
        <f t="shared" si="35"/>
        <v>3.1309999999999998</v>
      </c>
      <c r="O67">
        <f t="shared" si="35"/>
        <v>3.1709999999999998</v>
      </c>
      <c r="P67">
        <f t="shared" si="35"/>
        <v>3.2010000000000001</v>
      </c>
      <c r="Q67">
        <f t="shared" si="35"/>
        <v>3.2509999999999999</v>
      </c>
      <c r="R67">
        <f t="shared" si="35"/>
        <v>3.2810000000000001</v>
      </c>
      <c r="S67">
        <f t="shared" si="35"/>
        <v>3.3109999999999999</v>
      </c>
      <c r="T67">
        <f t="shared" si="35"/>
        <v>3.3409999999999997</v>
      </c>
      <c r="U67">
        <f t="shared" si="35"/>
        <v>3.371</v>
      </c>
      <c r="V67">
        <f t="shared" si="35"/>
        <v>3.411</v>
      </c>
      <c r="W67">
        <f t="shared" si="35"/>
        <v>3.4510000000000001</v>
      </c>
      <c r="X67">
        <f t="shared" si="35"/>
        <v>3.4910000000000001</v>
      </c>
      <c r="Y67">
        <f t="shared" si="35"/>
        <v>3.5310000000000001</v>
      </c>
      <c r="Z67">
        <f t="shared" si="35"/>
        <v>3.5609999999999999</v>
      </c>
      <c r="AA67">
        <f t="shared" si="35"/>
        <v>3.5909999999999997</v>
      </c>
      <c r="AB67">
        <f t="shared" ref="AB67:AK67" si="36">AG53+$B42</f>
        <v>3.6265999999999998</v>
      </c>
      <c r="AC67">
        <f t="shared" si="36"/>
        <v>3.6621999999999999</v>
      </c>
      <c r="AD67">
        <f t="shared" si="36"/>
        <v>3.6978</v>
      </c>
      <c r="AE67">
        <f t="shared" si="36"/>
        <v>3.7334000000000001</v>
      </c>
      <c r="AF67">
        <f t="shared" si="36"/>
        <v>3.7690000000000001</v>
      </c>
      <c r="AG67">
        <f t="shared" si="36"/>
        <v>3.8046000000000002</v>
      </c>
      <c r="AH67">
        <f t="shared" si="36"/>
        <v>3.8402000000000003</v>
      </c>
      <c r="AI67">
        <f t="shared" si="36"/>
        <v>3.8758000000000004</v>
      </c>
      <c r="AJ67">
        <f t="shared" si="36"/>
        <v>3.9114000000000004</v>
      </c>
      <c r="AK67">
        <f t="shared" si="36"/>
        <v>3.9470000000000005</v>
      </c>
    </row>
    <row r="68" spans="1:37" x14ac:dyDescent="0.2">
      <c r="A68" t="s">
        <v>106</v>
      </c>
      <c r="B68">
        <f>G47</f>
        <v>13</v>
      </c>
      <c r="C68">
        <f t="shared" ref="C68:AK68" si="37">H47</f>
        <v>13</v>
      </c>
      <c r="D68">
        <f t="shared" si="37"/>
        <v>13</v>
      </c>
      <c r="E68">
        <f t="shared" si="37"/>
        <v>13</v>
      </c>
      <c r="F68">
        <f t="shared" si="37"/>
        <v>13</v>
      </c>
      <c r="G68">
        <f t="shared" si="37"/>
        <v>13</v>
      </c>
      <c r="H68">
        <f t="shared" si="37"/>
        <v>13</v>
      </c>
      <c r="I68">
        <f t="shared" si="37"/>
        <v>13</v>
      </c>
      <c r="J68">
        <f t="shared" si="37"/>
        <v>13</v>
      </c>
      <c r="K68">
        <f t="shared" si="37"/>
        <v>13</v>
      </c>
      <c r="L68">
        <f t="shared" si="37"/>
        <v>13</v>
      </c>
      <c r="M68">
        <f t="shared" si="37"/>
        <v>13</v>
      </c>
      <c r="N68">
        <f t="shared" si="37"/>
        <v>13</v>
      </c>
      <c r="O68">
        <f t="shared" si="37"/>
        <v>13</v>
      </c>
      <c r="P68">
        <f t="shared" si="37"/>
        <v>13</v>
      </c>
      <c r="Q68">
        <f t="shared" si="37"/>
        <v>13</v>
      </c>
      <c r="R68">
        <f t="shared" si="37"/>
        <v>13</v>
      </c>
      <c r="S68">
        <f t="shared" si="37"/>
        <v>13</v>
      </c>
      <c r="T68">
        <f t="shared" si="37"/>
        <v>13</v>
      </c>
      <c r="U68">
        <f t="shared" si="37"/>
        <v>13</v>
      </c>
      <c r="V68">
        <f t="shared" si="37"/>
        <v>13</v>
      </c>
      <c r="W68">
        <f t="shared" si="37"/>
        <v>13</v>
      </c>
      <c r="X68">
        <f t="shared" si="37"/>
        <v>13</v>
      </c>
      <c r="Y68">
        <f t="shared" si="37"/>
        <v>13</v>
      </c>
      <c r="Z68">
        <f t="shared" si="37"/>
        <v>13</v>
      </c>
      <c r="AA68">
        <f t="shared" si="37"/>
        <v>13</v>
      </c>
      <c r="AB68">
        <f t="shared" si="37"/>
        <v>13</v>
      </c>
      <c r="AC68">
        <f t="shared" si="37"/>
        <v>13</v>
      </c>
      <c r="AD68">
        <f t="shared" si="37"/>
        <v>13</v>
      </c>
      <c r="AE68">
        <f t="shared" si="37"/>
        <v>13</v>
      </c>
      <c r="AF68">
        <f t="shared" si="37"/>
        <v>13</v>
      </c>
      <c r="AG68">
        <f t="shared" si="37"/>
        <v>13</v>
      </c>
      <c r="AH68">
        <f t="shared" si="37"/>
        <v>13</v>
      </c>
      <c r="AI68">
        <f t="shared" si="37"/>
        <v>13</v>
      </c>
      <c r="AJ68">
        <f t="shared" si="37"/>
        <v>13</v>
      </c>
      <c r="AK68">
        <f t="shared" si="37"/>
        <v>13</v>
      </c>
    </row>
    <row r="69" spans="1:37" x14ac:dyDescent="0.2">
      <c r="A69" t="s">
        <v>23</v>
      </c>
      <c r="B69">
        <f>G50+$B43</f>
        <v>35.677322409247708</v>
      </c>
      <c r="C69">
        <f t="shared" ref="C69:AA69" si="38">H50+$B43</f>
        <v>38.137322409247702</v>
      </c>
      <c r="D69">
        <f t="shared" si="38"/>
        <v>39.097322409247703</v>
      </c>
      <c r="E69">
        <f t="shared" si="38"/>
        <v>39.897322409247707</v>
      </c>
      <c r="F69">
        <f t="shared" si="38"/>
        <v>40.497322409247701</v>
      </c>
      <c r="G69">
        <f t="shared" si="38"/>
        <v>41.057322409247703</v>
      </c>
      <c r="H69">
        <f t="shared" si="38"/>
        <v>41.817322409247708</v>
      </c>
      <c r="I69">
        <f t="shared" si="38"/>
        <v>42.567322409247708</v>
      </c>
      <c r="J69">
        <f t="shared" si="38"/>
        <v>43.257322409247706</v>
      </c>
      <c r="K69">
        <f t="shared" si="38"/>
        <v>44.267322409247697</v>
      </c>
      <c r="L69">
        <f t="shared" si="38"/>
        <v>45.187322409247699</v>
      </c>
      <c r="M69">
        <f t="shared" si="38"/>
        <v>46.09732240924771</v>
      </c>
      <c r="N69">
        <f t="shared" si="38"/>
        <v>47.037322409247707</v>
      </c>
      <c r="O69">
        <f t="shared" si="38"/>
        <v>47.98732240924771</v>
      </c>
      <c r="P69">
        <f t="shared" si="38"/>
        <v>48.917322409247703</v>
      </c>
      <c r="Q69">
        <f t="shared" si="38"/>
        <v>49.817322409247708</v>
      </c>
      <c r="R69">
        <f t="shared" si="38"/>
        <v>50.707322409247709</v>
      </c>
      <c r="S69">
        <f t="shared" si="38"/>
        <v>51.667322409247703</v>
      </c>
      <c r="T69">
        <f t="shared" si="38"/>
        <v>52.857322409247701</v>
      </c>
      <c r="U69">
        <f t="shared" si="38"/>
        <v>53.917322409247703</v>
      </c>
      <c r="V69">
        <f t="shared" si="38"/>
        <v>54.667322409247703</v>
      </c>
      <c r="W69">
        <f t="shared" si="38"/>
        <v>55.767322409247697</v>
      </c>
      <c r="X69">
        <f t="shared" si="38"/>
        <v>56.827322409247699</v>
      </c>
      <c r="Y69">
        <f t="shared" si="38"/>
        <v>57.957322409247709</v>
      </c>
      <c r="Z69">
        <f t="shared" si="38"/>
        <v>59.007322409247706</v>
      </c>
      <c r="AA69">
        <f t="shared" si="38"/>
        <v>60.227322409247705</v>
      </c>
      <c r="AB69">
        <f t="shared" ref="AB69" si="39">AG50+$B43</f>
        <v>61.209322409247704</v>
      </c>
      <c r="AC69">
        <f t="shared" ref="AC69" si="40">AH50+$B43</f>
        <v>62.191322409247704</v>
      </c>
      <c r="AD69">
        <f t="shared" ref="AD69" si="41">AI50+$B43</f>
        <v>63.173322409247703</v>
      </c>
      <c r="AE69">
        <f t="shared" ref="AE69" si="42">AJ50+$B43</f>
        <v>64.155322409247702</v>
      </c>
      <c r="AF69">
        <f t="shared" ref="AF69" si="43">AK50+$B43</f>
        <v>65.137322409247702</v>
      </c>
      <c r="AG69">
        <f t="shared" ref="AG69" si="44">AL50+$B43</f>
        <v>66.119322409247701</v>
      </c>
      <c r="AH69">
        <f t="shared" ref="AH69" si="45">AM50+$B43</f>
        <v>67.1013224092477</v>
      </c>
      <c r="AI69">
        <f t="shared" ref="AI69" si="46">AN50+$B43</f>
        <v>68.0833224092477</v>
      </c>
      <c r="AJ69">
        <f t="shared" ref="AJ69" si="47">AO50+$B43</f>
        <v>69.065322409247699</v>
      </c>
      <c r="AK69">
        <f t="shared" ref="AK69" si="48">AP50+$B43</f>
        <v>70.047322409247698</v>
      </c>
    </row>
    <row r="71" spans="1:37" x14ac:dyDescent="0.2">
      <c r="A71" t="s">
        <v>101</v>
      </c>
      <c r="B71">
        <f>B66+4.95</f>
        <v>14.427063211143963</v>
      </c>
      <c r="C71">
        <f t="shared" ref="C71:AA71" si="49">C66+4.95</f>
        <v>16.887063211143964</v>
      </c>
      <c r="D71">
        <f t="shared" si="49"/>
        <v>17.847063211143961</v>
      </c>
      <c r="E71">
        <f t="shared" si="49"/>
        <v>18.647063211143962</v>
      </c>
      <c r="F71">
        <f t="shared" si="49"/>
        <v>19.247063211143963</v>
      </c>
      <c r="G71">
        <f t="shared" si="49"/>
        <v>19.807063211143962</v>
      </c>
      <c r="H71">
        <f t="shared" si="49"/>
        <v>20.567063211143964</v>
      </c>
      <c r="I71">
        <f t="shared" si="49"/>
        <v>21.317063211143964</v>
      </c>
      <c r="J71">
        <f t="shared" si="49"/>
        <v>22.007063211143961</v>
      </c>
      <c r="K71">
        <f t="shared" si="49"/>
        <v>23.017063211143959</v>
      </c>
      <c r="L71">
        <f t="shared" si="49"/>
        <v>23.937063211143961</v>
      </c>
      <c r="M71">
        <f t="shared" si="49"/>
        <v>24.847063211143965</v>
      </c>
      <c r="N71">
        <f t="shared" si="49"/>
        <v>25.787063211143963</v>
      </c>
      <c r="O71">
        <f t="shared" si="49"/>
        <v>26.737063211143965</v>
      </c>
      <c r="P71">
        <f t="shared" si="49"/>
        <v>27.667063211143965</v>
      </c>
      <c r="Q71">
        <f t="shared" si="49"/>
        <v>28.567063211143964</v>
      </c>
      <c r="R71">
        <f t="shared" si="49"/>
        <v>29.457063211143964</v>
      </c>
      <c r="S71">
        <f t="shared" si="49"/>
        <v>30.417063211143965</v>
      </c>
      <c r="T71">
        <f t="shared" si="49"/>
        <v>31.607063211143963</v>
      </c>
      <c r="U71">
        <f t="shared" si="49"/>
        <v>32.667063211143969</v>
      </c>
      <c r="V71">
        <f t="shared" si="49"/>
        <v>33.417063211143969</v>
      </c>
      <c r="W71">
        <f t="shared" si="49"/>
        <v>34.517063211143963</v>
      </c>
      <c r="X71">
        <f t="shared" si="49"/>
        <v>35.577063211143965</v>
      </c>
      <c r="Y71">
        <f t="shared" si="49"/>
        <v>36.707063211143968</v>
      </c>
      <c r="Z71">
        <f t="shared" si="49"/>
        <v>37.757063211143965</v>
      </c>
      <c r="AA71">
        <f t="shared" si="49"/>
        <v>38.977063211143964</v>
      </c>
      <c r="AB71">
        <f t="shared" ref="AB71:AK71" si="50">AB66+4.95</f>
        <v>39.959063211143963</v>
      </c>
      <c r="AC71">
        <f t="shared" si="50"/>
        <v>40.941063211143963</v>
      </c>
      <c r="AD71">
        <f t="shared" si="50"/>
        <v>41.923063211143962</v>
      </c>
      <c r="AE71">
        <f t="shared" si="50"/>
        <v>42.905063211143961</v>
      </c>
      <c r="AF71">
        <f t="shared" si="50"/>
        <v>43.88706321114396</v>
      </c>
      <c r="AG71">
        <f t="shared" si="50"/>
        <v>44.86906321114396</v>
      </c>
      <c r="AH71">
        <f t="shared" si="50"/>
        <v>45.851063211143959</v>
      </c>
      <c r="AI71">
        <f t="shared" si="50"/>
        <v>46.833063211143958</v>
      </c>
      <c r="AJ71">
        <f t="shared" si="50"/>
        <v>47.815063211143958</v>
      </c>
      <c r="AK71">
        <f t="shared" si="50"/>
        <v>48.797063211143957</v>
      </c>
    </row>
    <row r="73" spans="1:37" x14ac:dyDescent="0.2">
      <c r="B73" t="s">
        <v>112</v>
      </c>
      <c r="D73" t="s">
        <v>117</v>
      </c>
    </row>
    <row r="74" spans="1:37" x14ac:dyDescent="0.2">
      <c r="A74" t="s">
        <v>110</v>
      </c>
      <c r="B74" t="s">
        <v>111</v>
      </c>
      <c r="C74" t="s">
        <v>114</v>
      </c>
      <c r="D74" t="s">
        <v>118</v>
      </c>
    </row>
    <row r="75" spans="1:37" x14ac:dyDescent="0.2">
      <c r="A75" t="str">
        <f>A62</f>
        <v>Diesel</v>
      </c>
      <c r="B75">
        <v>3</v>
      </c>
      <c r="C75">
        <v>0</v>
      </c>
      <c r="D75">
        <v>73.2</v>
      </c>
    </row>
    <row r="76" spans="1:37" x14ac:dyDescent="0.2">
      <c r="A76" t="str">
        <f t="shared" ref="A76:A82" si="51">A63</f>
        <v>LSFO</v>
      </c>
      <c r="B76">
        <v>2</v>
      </c>
      <c r="C76">
        <v>0</v>
      </c>
      <c r="D76">
        <v>78.8</v>
      </c>
    </row>
    <row r="77" spans="1:37" x14ac:dyDescent="0.2">
      <c r="A77" t="str">
        <f t="shared" si="51"/>
        <v>LSFO-Diesel-Blend</v>
      </c>
      <c r="B77">
        <v>2</v>
      </c>
      <c r="C77">
        <v>0</v>
      </c>
      <c r="D77">
        <f>0.4*D75+0.6*D76</f>
        <v>76.56</v>
      </c>
    </row>
    <row r="78" spans="1:37" x14ac:dyDescent="0.2">
      <c r="A78" t="str">
        <f t="shared" si="51"/>
        <v>LNG, container</v>
      </c>
      <c r="B78">
        <v>4</v>
      </c>
      <c r="C78">
        <v>0</v>
      </c>
      <c r="D78">
        <v>53.1</v>
      </c>
    </row>
    <row r="79" spans="1:37" x14ac:dyDescent="0.2">
      <c r="A79" t="str">
        <f t="shared" si="51"/>
        <v>LNG, bulk</v>
      </c>
      <c r="B79">
        <v>4</v>
      </c>
      <c r="C79">
        <v>0</v>
      </c>
      <c r="D79">
        <v>53.1</v>
      </c>
    </row>
    <row r="80" spans="1:37" x14ac:dyDescent="0.2">
      <c r="A80" t="str">
        <f t="shared" si="51"/>
        <v>Coal</v>
      </c>
      <c r="B80">
        <v>1</v>
      </c>
      <c r="C80">
        <v>0</v>
      </c>
      <c r="D80">
        <v>95.3</v>
      </c>
    </row>
    <row r="81" spans="1:4" x14ac:dyDescent="0.2">
      <c r="A81" t="str">
        <f t="shared" si="51"/>
        <v>Pellet-Biomass</v>
      </c>
      <c r="B81">
        <v>1</v>
      </c>
      <c r="C81">
        <v>1</v>
      </c>
      <c r="D81">
        <v>0</v>
      </c>
    </row>
    <row r="82" spans="1:4" x14ac:dyDescent="0.2">
      <c r="A82" t="str">
        <f t="shared" si="51"/>
        <v>Biodiesel</v>
      </c>
      <c r="B82">
        <v>3</v>
      </c>
      <c r="C82">
        <v>1</v>
      </c>
      <c r="D82">
        <v>0</v>
      </c>
    </row>
    <row r="83" spans="1:4" x14ac:dyDescent="0.2">
      <c r="A83" t="s">
        <v>113</v>
      </c>
      <c r="B83">
        <v>0</v>
      </c>
      <c r="C83">
        <v>1</v>
      </c>
      <c r="D83">
        <v>0</v>
      </c>
    </row>
    <row r="84" spans="1:4" x14ac:dyDescent="0.2">
      <c r="A84" t="s">
        <v>115</v>
      </c>
      <c r="B84">
        <v>0</v>
      </c>
      <c r="C84">
        <v>1</v>
      </c>
      <c r="D84">
        <v>0</v>
      </c>
    </row>
    <row r="85" spans="1:4" x14ac:dyDescent="0.2">
      <c r="A85" t="s">
        <v>116</v>
      </c>
      <c r="B85">
        <v>0</v>
      </c>
      <c r="C85">
        <v>1</v>
      </c>
      <c r="D85">
        <v>0</v>
      </c>
    </row>
    <row r="86" spans="1:4" x14ac:dyDescent="0.2">
      <c r="A86" t="s">
        <v>27</v>
      </c>
      <c r="B86">
        <v>1.5</v>
      </c>
      <c r="C86">
        <v>1</v>
      </c>
      <c r="D86">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LNG details</vt:lpstr>
      <vt:lpstr>multi-fuel forecasts</vt:lpstr>
      <vt:lpstr>EIA AEO 2015</vt:lpstr>
      <vt:lpstr>EIA-derived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Matthias Fripp</cp:lastModifiedBy>
  <dcterms:created xsi:type="dcterms:W3CDTF">2015-09-08T10:44:36Z</dcterms:created>
  <dcterms:modified xsi:type="dcterms:W3CDTF">2015-09-28T09:31:03Z</dcterms:modified>
</cp:coreProperties>
</file>