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1460" yWindow="1380" windowWidth="25600" windowHeight="190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1" l="1"/>
  <c r="B65" i="1"/>
  <c r="C78" i="1"/>
  <c r="B79" i="1"/>
  <c r="B82" i="1"/>
  <c r="A7" i="1"/>
  <c r="B7" i="1"/>
  <c r="C39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40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41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42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43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C6" i="1"/>
  <c r="B6" i="1"/>
  <c r="D6" i="1"/>
  <c r="H6" i="1"/>
  <c r="G6" i="1"/>
  <c r="F6" i="1"/>
  <c r="E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B64" i="1"/>
  <c r="B66" i="1"/>
  <c r="B67" i="1"/>
  <c r="C66" i="1"/>
  <c r="D66" i="1"/>
  <c r="C65" i="1"/>
  <c r="D65" i="1"/>
  <c r="C64" i="1"/>
  <c r="D64" i="1"/>
  <c r="D61" i="1"/>
  <c r="B61" i="1"/>
  <c r="D60" i="1"/>
  <c r="B60" i="1"/>
  <c r="D59" i="1"/>
  <c r="B59" i="1"/>
  <c r="D58" i="1"/>
  <c r="B58" i="1"/>
  <c r="D57" i="1"/>
  <c r="B57" i="1"/>
  <c r="D56" i="1"/>
  <c r="B56" i="1"/>
  <c r="D55" i="1"/>
  <c r="B55" i="1"/>
  <c r="D54" i="1"/>
  <c r="B54" i="1"/>
  <c r="D53" i="1"/>
  <c r="B53" i="1"/>
  <c r="D52" i="1"/>
  <c r="B52" i="1"/>
  <c r="D51" i="1"/>
  <c r="B51" i="1"/>
  <c r="I6" i="1"/>
</calcChain>
</file>

<file path=xl/comments1.xml><?xml version="1.0" encoding="utf-8"?>
<comments xmlns="http://schemas.openxmlformats.org/spreadsheetml/2006/main">
  <authors>
    <author>Matthias Fripp</author>
    <author>Microsoft Office User</author>
  </authors>
  <commentList>
    <comment ref="B2" authorId="0">
      <text>
        <r>
          <rPr>
            <sz val="9"/>
            <color indexed="81"/>
            <rFont val="Calibri"/>
            <family val="2"/>
          </rPr>
          <t>NYMEX price for December 2016, as of 2016-11-21</t>
        </r>
      </text>
    </comment>
    <comment ref="I5" authorId="0">
      <text>
        <r>
          <rPr>
            <sz val="9"/>
            <color indexed="81"/>
            <rFont val="Calibri"/>
            <family val="2"/>
          </rPr>
          <t>Uses formula calculated below.</t>
        </r>
      </text>
    </comment>
    <comment ref="B38" authorId="0">
      <text>
        <r>
          <rPr>
            <sz val="9"/>
            <color indexed="81"/>
            <rFont val="Calibri"/>
            <family val="2"/>
          </rPr>
          <t>for 2% escalator with 4% discount rate (to be slightly conservative vs. our standard 3% discount rate), from table 7 of Constantinides addendum 2016-10-21, p. 12 (see e-mail from Murray Clay 2016-11-02)</t>
        </r>
      </text>
    </comment>
    <comment ref="A49" authorId="1">
      <text>
        <r>
          <rPr>
            <sz val="10"/>
            <color indexed="81"/>
            <rFont val="Calibri"/>
          </rPr>
          <t>From Table 2 of "HG Response to PSIP File Stamped 1-15-16.pdf" e-mailed by Barbara Treat 6/3/16</t>
        </r>
      </text>
    </comment>
    <comment ref="B66" authorId="1">
      <text>
        <r>
          <rPr>
            <sz val="10"/>
            <color indexed="81"/>
            <rFont val="Calibri"/>
          </rPr>
          <t>From phone call with Barbara Treat at Hawaii Gas 6/3/16; also matches reported cost of $0.70/MMBtu.</t>
        </r>
      </text>
    </comment>
    <comment ref="A77" authorId="1">
      <text>
        <r>
          <rPr>
            <sz val="10"/>
            <color indexed="81"/>
            <rFont val="Calibri"/>
          </rPr>
          <t>All data from Exhibit J of "Application of Hawaiian Electric Company, Inc., Hawai'i Electric Light Company, Inc., and Maui Electric Company, Limited; Verification; Exhibits A-T; Testimonies T-1 through T-9; Book 1 of 3", Hawaii PUC Docket Number 2016-0135, 2016-05-18</t>
        </r>
      </text>
    </comment>
  </commentList>
</comments>
</file>

<file path=xl/sharedStrings.xml><?xml version="1.0" encoding="utf-8"?>
<sst xmlns="http://schemas.openxmlformats.org/spreadsheetml/2006/main" count="42" uniqueCount="41">
  <si>
    <t>fixed price multiplier</t>
  </si>
  <si>
    <t>escalator</t>
  </si>
  <si>
    <t>escalated price</t>
  </si>
  <si>
    <t>hedged BC price</t>
  </si>
  <si>
    <t>baseline Brent Crude price ($/bbl)</t>
  </si>
  <si>
    <t>year number</t>
  </si>
  <si>
    <t>multiplier</t>
  </si>
  <si>
    <t>rate per year</t>
  </si>
  <si>
    <t>LNG price</t>
  </si>
  <si>
    <t>Hawaii Gas price formula</t>
  </si>
  <si>
    <t>Brent price</t>
  </si>
  <si>
    <t>Brent price $/mmBtu</t>
  </si>
  <si>
    <t>LNG into FSRU price</t>
  </si>
  <si>
    <t>calculated</t>
  </si>
  <si>
    <t>volume (MMBtu/year)</t>
  </si>
  <si>
    <t>cost per unit</t>
  </si>
  <si>
    <t>pipeline pmt</t>
  </si>
  <si>
    <t>K5 &amp; K6 burners</t>
  </si>
  <si>
    <t>FSRU charter</t>
  </si>
  <si>
    <t>Total per year</t>
  </si>
  <si>
    <t>finance rate</t>
  </si>
  <si>
    <t>finance term (years)</t>
  </si>
  <si>
    <t>LSFO</t>
  </si>
  <si>
    <t>Diesel</t>
  </si>
  <si>
    <t>USLD</t>
  </si>
  <si>
    <t>Biodiesel</t>
  </si>
  <si>
    <t>regression coefficients for oil-based fuels from /Users/matthias/Dropbox/Research/Shared/Switch-Hawaii/data/HECO Plans/PSIP-WebDAV/Resource Assumptions/PSIP Fuel Price Forecasts for HE 2016-06-27 regressions.xlsx</t>
  </si>
  <si>
    <t>conversion table from http://www.beg.utexas.edu/energyecon/lng/LNG_introduction_12.php based on BP Statistical Review of U.S. Energy June 2002</t>
  </si>
  <si>
    <t>unit</t>
  </si>
  <si>
    <t>MMBtu</t>
  </si>
  <si>
    <t>1e9 cubic feet</t>
  </si>
  <si>
    <t>1e6 tons LNG</t>
  </si>
  <si>
    <t>Btu/ton gas</t>
  </si>
  <si>
    <t>http://energy.gov/sites/prod/files/2013/04/f0/LNG_primerupd.pdf p. 9</t>
  </si>
  <si>
    <t>HECO Oahu conversion cost</t>
  </si>
  <si>
    <t>cost</t>
  </si>
  <si>
    <t>MW</t>
  </si>
  <si>
    <t>K5, K6, CC receiving</t>
  </si>
  <si>
    <t>Kalaeloa receiving</t>
  </si>
  <si>
    <t>ISO containers (Oahu)</t>
  </si>
  <si>
    <t>Total Oahu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</si>
</sst>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color indexed="81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6" fontId="0" fillId="0" borderId="0" xfId="0" applyNumberFormat="1"/>
    <xf numFmtId="3" fontId="0" fillId="0" borderId="0" xfId="0" applyNumberFormat="1"/>
    <xf numFmtId="8" fontId="0" fillId="0" borderId="0" xfId="0" applyNumberFormat="1"/>
    <xf numFmtId="6" fontId="1" fillId="0" borderId="0" xfId="0" applyNumberFormat="1" applyFont="1"/>
    <xf numFmtId="0" fontId="6" fillId="0" borderId="0" xfId="0" applyFont="1"/>
    <xf numFmtId="10" fontId="6" fillId="0" borderId="0" xfId="0" applyNumberFormat="1" applyFont="1"/>
    <xf numFmtId="11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'[1]hedged hubs'!$C$40</c:f>
              <c:strCache>
                <c:ptCount val="1"/>
                <c:pt idx="0">
                  <c:v>LNG into FSRU price</c:v>
                </c:pt>
              </c:strCache>
            </c:strRef>
          </c:tx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803587051619"/>
                  <c:y val="-0.000416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'[1]hedged hubs'!$A$41:$A$51</c:f>
              <c:numCache>
                <c:formatCode>General</c:formatCode>
                <c:ptCount val="11"/>
                <c:pt idx="0">
                  <c:v>20.0</c:v>
                </c:pt>
                <c:pt idx="1">
                  <c:v>30.0</c:v>
                </c:pt>
                <c:pt idx="2">
                  <c:v>40.0</c:v>
                </c:pt>
                <c:pt idx="3">
                  <c:v>50.0</c:v>
                </c:pt>
                <c:pt idx="4">
                  <c:v>60.0</c:v>
                </c:pt>
                <c:pt idx="5">
                  <c:v>70.0</c:v>
                </c:pt>
                <c:pt idx="6">
                  <c:v>80.0</c:v>
                </c:pt>
                <c:pt idx="7">
                  <c:v>90.0</c:v>
                </c:pt>
                <c:pt idx="8">
                  <c:v>100.0</c:v>
                </c:pt>
                <c:pt idx="9">
                  <c:v>110.0</c:v>
                </c:pt>
                <c:pt idx="10">
                  <c:v>120.0</c:v>
                </c:pt>
              </c:numCache>
            </c:numRef>
          </c:xVal>
          <c:yVal>
            <c:numRef>
              <c:f>'[1]hedged hubs'!$C$41:$C$51</c:f>
              <c:numCache>
                <c:formatCode>General</c:formatCode>
                <c:ptCount val="11"/>
                <c:pt idx="0">
                  <c:v>3.12</c:v>
                </c:pt>
                <c:pt idx="1">
                  <c:v>4.45</c:v>
                </c:pt>
                <c:pt idx="2">
                  <c:v>5.78</c:v>
                </c:pt>
                <c:pt idx="3">
                  <c:v>7.12</c:v>
                </c:pt>
                <c:pt idx="4">
                  <c:v>8.45</c:v>
                </c:pt>
                <c:pt idx="5">
                  <c:v>9.78</c:v>
                </c:pt>
                <c:pt idx="6">
                  <c:v>11.11</c:v>
                </c:pt>
                <c:pt idx="7">
                  <c:v>12.45</c:v>
                </c:pt>
                <c:pt idx="8">
                  <c:v>13.78</c:v>
                </c:pt>
                <c:pt idx="9">
                  <c:v>15.11</c:v>
                </c:pt>
                <c:pt idx="10">
                  <c:v>16.45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7677400"/>
        <c:axId val="-2061525944"/>
      </c:scatterChart>
      <c:valAx>
        <c:axId val="-198767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525944"/>
        <c:crosses val="autoZero"/>
        <c:crossBetween val="midCat"/>
      </c:valAx>
      <c:valAx>
        <c:axId val="-206152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7677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49</xdr:row>
      <xdr:rowOff>63500</xdr:rowOff>
    </xdr:from>
    <xdr:to>
      <xdr:col>10</xdr:col>
      <xdr:colOff>488950</xdr:colOff>
      <xdr:row>64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dged%20fuel%20pric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dged hubs"/>
      <sheetName val="storage hedge"/>
      <sheetName val="Sheet2"/>
    </sheetNames>
    <sheetDataSet>
      <sheetData sheetId="0">
        <row r="40">
          <cell r="C40" t="str">
            <v>LNG into FSRU price</v>
          </cell>
        </row>
        <row r="41">
          <cell r="A41">
            <v>20</v>
          </cell>
          <cell r="C41">
            <v>3.12</v>
          </cell>
        </row>
        <row r="42">
          <cell r="A42">
            <v>30</v>
          </cell>
          <cell r="C42">
            <v>4.45</v>
          </cell>
        </row>
        <row r="43">
          <cell r="A43">
            <v>40</v>
          </cell>
          <cell r="C43">
            <v>5.78</v>
          </cell>
        </row>
        <row r="44">
          <cell r="A44">
            <v>50</v>
          </cell>
          <cell r="C44">
            <v>7.12</v>
          </cell>
        </row>
        <row r="45">
          <cell r="A45">
            <v>60</v>
          </cell>
          <cell r="C45">
            <v>8.4499999999999993</v>
          </cell>
        </row>
        <row r="46">
          <cell r="A46">
            <v>70</v>
          </cell>
          <cell r="C46">
            <v>9.7799999999999994</v>
          </cell>
        </row>
        <row r="47">
          <cell r="A47">
            <v>80</v>
          </cell>
          <cell r="C47">
            <v>11.11</v>
          </cell>
        </row>
        <row r="48">
          <cell r="A48">
            <v>90</v>
          </cell>
          <cell r="C48">
            <v>12.45</v>
          </cell>
        </row>
        <row r="49">
          <cell r="A49">
            <v>100</v>
          </cell>
          <cell r="C49">
            <v>13.78</v>
          </cell>
        </row>
        <row r="50">
          <cell r="A50">
            <v>110</v>
          </cell>
          <cell r="C50">
            <v>15.11</v>
          </cell>
        </row>
        <row r="51">
          <cell r="A51">
            <v>120</v>
          </cell>
          <cell r="C51">
            <v>16.45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2"/>
  <sheetViews>
    <sheetView tabSelected="1" workbookViewId="0">
      <selection activeCell="B6" sqref="B6"/>
    </sheetView>
  </sheetViews>
  <sheetFormatPr baseColWidth="10" defaultRowHeight="15" x14ac:dyDescent="0"/>
  <cols>
    <col min="1" max="1" width="20.5" customWidth="1"/>
    <col min="2" max="2" width="18.5" bestFit="1" customWidth="1"/>
    <col min="7" max="7" width="13" bestFit="1" customWidth="1"/>
  </cols>
  <sheetData>
    <row r="1" spans="1:9">
      <c r="A1" t="s">
        <v>4</v>
      </c>
    </row>
    <row r="2" spans="1:9">
      <c r="A2">
        <v>2016</v>
      </c>
      <c r="B2">
        <v>47.49</v>
      </c>
    </row>
    <row r="3" spans="1:9">
      <c r="A3" t="s">
        <v>1</v>
      </c>
      <c r="B3" s="1">
        <v>0.02</v>
      </c>
    </row>
    <row r="4" spans="1:9">
      <c r="B4" s="1"/>
      <c r="E4" t="s">
        <v>26</v>
      </c>
    </row>
    <row r="5" spans="1:9">
      <c r="B5" t="s">
        <v>2</v>
      </c>
      <c r="C5" t="s">
        <v>0</v>
      </c>
      <c r="D5" t="s">
        <v>3</v>
      </c>
      <c r="E5" t="s">
        <v>22</v>
      </c>
      <c r="F5" t="s">
        <v>23</v>
      </c>
      <c r="G5" t="s">
        <v>24</v>
      </c>
      <c r="H5" t="s">
        <v>25</v>
      </c>
      <c r="I5" t="s">
        <v>8</v>
      </c>
    </row>
    <row r="6" spans="1:9">
      <c r="A6">
        <v>2016</v>
      </c>
      <c r="B6">
        <f>B$2*(1+B$3)^($A6-$A$2)</f>
        <v>47.49</v>
      </c>
      <c r="C6">
        <f>VLOOKUP($A6-$A$2, $A$39:$C$44, 2, TRUE)+($A6-$A$2-VLOOKUP($A6-$A$2, $A$39:$C$44, 1, TRUE))*VLOOKUP($A6-$A$2, $A$39:$C$44, 3, TRUE)</f>
        <v>1</v>
      </c>
      <c r="D6" s="2">
        <f>B6*C6</f>
        <v>47.49</v>
      </c>
      <c r="E6" s="2">
        <f>0.1829*$D6-0.0159</f>
        <v>8.6700210000000002</v>
      </c>
      <c r="F6" s="2">
        <f>0.1864*$D6+2.3619</f>
        <v>11.214036000000002</v>
      </c>
      <c r="G6" s="2">
        <f>0.1906*$D6+3.1063</f>
        <v>12.157893999999999</v>
      </c>
      <c r="H6" s="2">
        <f>0.1549*$D6+23.626</f>
        <v>30.982201000000003</v>
      </c>
      <c r="I6" s="2">
        <f>0.1333*D6+0.4521</f>
        <v>6.7825170000000004</v>
      </c>
    </row>
    <row r="7" spans="1:9">
      <c r="A7">
        <f t="shared" ref="A7:A35" si="0">A6+1</f>
        <v>2017</v>
      </c>
      <c r="B7">
        <f t="shared" ref="B7:B35" si="1">B$2*(1+B$3)^($A7-$A$2)</f>
        <v>48.439800000000005</v>
      </c>
      <c r="C7">
        <f>VLOOKUP($A7-$A$2, $A$39:$C$44, 2, TRUE)+($A7-$A$2-VLOOKUP($A7-$A$2, $A$39:$C$44, 1, TRUE))*VLOOKUP($A7-$A$2, $A$39:$C$44, 3, TRUE)</f>
        <v>1.0398000000000001</v>
      </c>
      <c r="D7" s="2">
        <f t="shared" ref="D7:D35" si="2">B7*C7</f>
        <v>50.367704040000007</v>
      </c>
      <c r="E7" s="2">
        <f t="shared" ref="E7:E35" si="3">0.1829*$D7-0.0159</f>
        <v>9.196353068916002</v>
      </c>
      <c r="F7" s="2">
        <f t="shared" ref="F7:F35" si="4">0.1864*$D7+2.3619</f>
        <v>11.750440033056002</v>
      </c>
      <c r="G7" s="2">
        <f t="shared" ref="G7:G35" si="5">0.1906*$D7+3.1063</f>
        <v>12.706384390024002</v>
      </c>
      <c r="H7" s="2">
        <f t="shared" ref="H7:H35" si="6">0.1549*$D7+23.626</f>
        <v>31.427957355796003</v>
      </c>
      <c r="I7" s="2">
        <f>0.1333*D7+0.4521</f>
        <v>7.1661149485320008</v>
      </c>
    </row>
    <row r="8" spans="1:9">
      <c r="A8">
        <f t="shared" si="0"/>
        <v>2018</v>
      </c>
      <c r="B8">
        <f t="shared" si="1"/>
        <v>49.408596000000003</v>
      </c>
      <c r="C8">
        <f>VLOOKUP($A8-$A$2, $A$39:$C$44, 2, TRUE)+($A8-$A$2-VLOOKUP($A8-$A$2, $A$39:$C$44, 1, TRUE))*VLOOKUP($A8-$A$2, $A$39:$C$44, 3, TRUE)</f>
        <v>1.0796000000000001</v>
      </c>
      <c r="D8" s="2">
        <f t="shared" si="2"/>
        <v>53.341520241600008</v>
      </c>
      <c r="E8" s="2">
        <f t="shared" si="3"/>
        <v>9.7402640521886426</v>
      </c>
      <c r="F8" s="2">
        <f t="shared" si="4"/>
        <v>12.304759373034242</v>
      </c>
      <c r="G8" s="2">
        <f t="shared" si="5"/>
        <v>13.273193758048961</v>
      </c>
      <c r="H8" s="2">
        <f t="shared" si="6"/>
        <v>31.888601485423841</v>
      </c>
      <c r="I8" s="2">
        <f>0.1333*D8+0.4521</f>
        <v>7.5625246482052813</v>
      </c>
    </row>
    <row r="9" spans="1:9">
      <c r="A9">
        <f t="shared" si="0"/>
        <v>2019</v>
      </c>
      <c r="B9">
        <f t="shared" si="1"/>
        <v>50.396767920000002</v>
      </c>
      <c r="C9">
        <f>VLOOKUP($A9-$A$2, $A$39:$C$44, 2, TRUE)+($A9-$A$2-VLOOKUP($A9-$A$2, $A$39:$C$44, 1, TRUE))*VLOOKUP($A9-$A$2, $A$39:$C$44, 3, TRUE)</f>
        <v>1.1194</v>
      </c>
      <c r="D9" s="2">
        <f t="shared" si="2"/>
        <v>56.414142009648003</v>
      </c>
      <c r="E9" s="2">
        <f t="shared" si="3"/>
        <v>10.30224657356462</v>
      </c>
      <c r="F9" s="2">
        <f t="shared" si="4"/>
        <v>12.877496070598388</v>
      </c>
      <c r="G9" s="2">
        <f t="shared" si="5"/>
        <v>13.858835467038908</v>
      </c>
      <c r="H9" s="2">
        <f t="shared" si="6"/>
        <v>32.364550597294482</v>
      </c>
      <c r="I9" s="2">
        <f>0.1333*D9+0.4521</f>
        <v>7.9721051298860788</v>
      </c>
    </row>
    <row r="10" spans="1:9">
      <c r="A10">
        <f t="shared" si="0"/>
        <v>2020</v>
      </c>
      <c r="B10">
        <f t="shared" si="1"/>
        <v>51.4047032784</v>
      </c>
      <c r="C10">
        <f>VLOOKUP($A10-$A$2, $A$39:$C$44, 2, TRUE)+($A10-$A$2-VLOOKUP($A10-$A$2, $A$39:$C$44, 1, TRUE))*VLOOKUP($A10-$A$2, $A$39:$C$44, 3, TRUE)</f>
        <v>1.1592</v>
      </c>
      <c r="D10" s="2">
        <f t="shared" si="2"/>
        <v>59.588332040321276</v>
      </c>
      <c r="E10" s="2">
        <f t="shared" si="3"/>
        <v>10.882805930174761</v>
      </c>
      <c r="F10" s="2">
        <f t="shared" si="4"/>
        <v>13.469165092315887</v>
      </c>
      <c r="G10" s="2">
        <f t="shared" si="5"/>
        <v>14.463836086885234</v>
      </c>
      <c r="H10" s="2">
        <f t="shared" si="6"/>
        <v>32.856232633045764</v>
      </c>
      <c r="I10" s="2">
        <f>0.1333*D10+0.4521</f>
        <v>8.3952246609748258</v>
      </c>
    </row>
    <row r="11" spans="1:9">
      <c r="A11">
        <f t="shared" si="0"/>
        <v>2021</v>
      </c>
      <c r="B11">
        <f t="shared" si="1"/>
        <v>52.432797343968005</v>
      </c>
      <c r="C11">
        <f>VLOOKUP($A11-$A$2, $A$39:$C$44, 2, TRUE)+($A11-$A$2-VLOOKUP($A11-$A$2, $A$39:$C$44, 1, TRUE))*VLOOKUP($A11-$A$2, $A$39:$C$44, 3, TRUE)</f>
        <v>1.1990000000000001</v>
      </c>
      <c r="D11" s="2">
        <f t="shared" si="2"/>
        <v>62.866924015417645</v>
      </c>
      <c r="E11" s="2">
        <f t="shared" si="3"/>
        <v>11.482460402419887</v>
      </c>
      <c r="F11" s="2">
        <f t="shared" si="4"/>
        <v>14.08029463647385</v>
      </c>
      <c r="G11" s="2">
        <f t="shared" si="5"/>
        <v>15.088735717338604</v>
      </c>
      <c r="H11" s="2">
        <f t="shared" si="6"/>
        <v>33.364086529988199</v>
      </c>
      <c r="I11" s="2">
        <f>0.1333*D11+0.4521</f>
        <v>8.8322609712551721</v>
      </c>
    </row>
    <row r="12" spans="1:9">
      <c r="A12">
        <f t="shared" si="0"/>
        <v>2022</v>
      </c>
      <c r="B12">
        <f t="shared" si="1"/>
        <v>53.481453290847362</v>
      </c>
      <c r="C12">
        <f>VLOOKUP($A12-$A$2, $A$39:$C$44, 2, TRUE)+($A12-$A$2-VLOOKUP($A12-$A$2, $A$39:$C$44, 1, TRUE))*VLOOKUP($A12-$A$2, $A$39:$C$44, 3, TRUE)</f>
        <v>1.2468000000000001</v>
      </c>
      <c r="D12" s="2">
        <f t="shared" si="2"/>
        <v>66.680675963028492</v>
      </c>
      <c r="E12" s="2">
        <f t="shared" si="3"/>
        <v>12.179995633637912</v>
      </c>
      <c r="F12" s="2">
        <f t="shared" si="4"/>
        <v>14.791177999508513</v>
      </c>
      <c r="G12" s="2">
        <f t="shared" si="5"/>
        <v>15.815636838553228</v>
      </c>
      <c r="H12" s="2">
        <f t="shared" si="6"/>
        <v>33.954836706673113</v>
      </c>
      <c r="I12" s="2">
        <f>0.1333*D12+0.4521</f>
        <v>9.3406341058716986</v>
      </c>
    </row>
    <row r="13" spans="1:9">
      <c r="A13">
        <f t="shared" si="0"/>
        <v>2023</v>
      </c>
      <c r="B13">
        <f t="shared" si="1"/>
        <v>54.551082356664303</v>
      </c>
      <c r="C13">
        <f>VLOOKUP($A13-$A$2, $A$39:$C$44, 2, TRUE)+($A13-$A$2-VLOOKUP($A13-$A$2, $A$39:$C$44, 1, TRUE))*VLOOKUP($A13-$A$2, $A$39:$C$44, 3, TRUE)</f>
        <v>1.2946</v>
      </c>
      <c r="D13" s="2">
        <f t="shared" si="2"/>
        <v>70.621831218937601</v>
      </c>
      <c r="E13" s="2">
        <f t="shared" si="3"/>
        <v>12.900832929943688</v>
      </c>
      <c r="F13" s="2">
        <f t="shared" si="4"/>
        <v>15.525809339209969</v>
      </c>
      <c r="G13" s="2">
        <f t="shared" si="5"/>
        <v>16.566821030329507</v>
      </c>
      <c r="H13" s="2">
        <f t="shared" si="6"/>
        <v>34.565321655813435</v>
      </c>
      <c r="I13" s="2">
        <f>0.1333*D13+0.4521</f>
        <v>9.8659901014843818</v>
      </c>
    </row>
    <row r="14" spans="1:9">
      <c r="A14">
        <f t="shared" si="0"/>
        <v>2024</v>
      </c>
      <c r="B14">
        <f t="shared" si="1"/>
        <v>55.642104003797591</v>
      </c>
      <c r="C14">
        <f>VLOOKUP($A14-$A$2, $A$39:$C$44, 2, TRUE)+($A14-$A$2-VLOOKUP($A14-$A$2, $A$39:$C$44, 1, TRUE))*VLOOKUP($A14-$A$2, $A$39:$C$44, 3, TRUE)</f>
        <v>1.3424</v>
      </c>
      <c r="D14" s="2">
        <f t="shared" si="2"/>
        <v>74.693960414697884</v>
      </c>
      <c r="E14" s="2">
        <f t="shared" si="3"/>
        <v>13.645625359848243</v>
      </c>
      <c r="F14" s="2">
        <f t="shared" si="4"/>
        <v>16.284854221299685</v>
      </c>
      <c r="G14" s="2">
        <f t="shared" si="5"/>
        <v>17.342968855041416</v>
      </c>
      <c r="H14" s="2">
        <f t="shared" si="6"/>
        <v>35.196094468236709</v>
      </c>
      <c r="I14" s="2">
        <f>0.1333*D14+0.4521</f>
        <v>10.408804923279227</v>
      </c>
    </row>
    <row r="15" spans="1:9">
      <c r="A15">
        <f t="shared" si="0"/>
        <v>2025</v>
      </c>
      <c r="B15">
        <f t="shared" si="1"/>
        <v>56.754946083873541</v>
      </c>
      <c r="C15">
        <f>VLOOKUP($A15-$A$2, $A$39:$C$44, 2, TRUE)+($A15-$A$2-VLOOKUP($A15-$A$2, $A$39:$C$44, 1, TRUE))*VLOOKUP($A15-$A$2, $A$39:$C$44, 3, TRUE)</f>
        <v>1.3901999999999999</v>
      </c>
      <c r="D15" s="2">
        <f t="shared" si="2"/>
        <v>78.900726045800994</v>
      </c>
      <c r="E15" s="2">
        <f t="shared" si="3"/>
        <v>14.415042793777003</v>
      </c>
      <c r="F15" s="2">
        <f t="shared" si="4"/>
        <v>17.068995334937306</v>
      </c>
      <c r="G15" s="2">
        <f t="shared" si="5"/>
        <v>18.144778384329669</v>
      </c>
      <c r="H15" s="2">
        <f t="shared" si="6"/>
        <v>35.847722464494574</v>
      </c>
      <c r="I15" s="2">
        <f>0.1333*D15+0.4521</f>
        <v>10.969566781905272</v>
      </c>
    </row>
    <row r="16" spans="1:9">
      <c r="A16">
        <f t="shared" si="0"/>
        <v>2026</v>
      </c>
      <c r="B16">
        <f t="shared" si="1"/>
        <v>57.890045005551016</v>
      </c>
      <c r="C16">
        <f>VLOOKUP($A16-$A$2, $A$39:$C$44, 2, TRUE)+($A16-$A$2-VLOOKUP($A16-$A$2, $A$39:$C$44, 1, TRUE))*VLOOKUP($A16-$A$2, $A$39:$C$44, 3, TRUE)</f>
        <v>1.4379999999999999</v>
      </c>
      <c r="D16" s="2">
        <f t="shared" si="2"/>
        <v>83.245884717982364</v>
      </c>
      <c r="E16" s="2">
        <f t="shared" si="3"/>
        <v>15.209772314918975</v>
      </c>
      <c r="F16" s="2">
        <f t="shared" si="4"/>
        <v>17.878932911431914</v>
      </c>
      <c r="G16" s="2">
        <f t="shared" si="5"/>
        <v>18.972965627247437</v>
      </c>
      <c r="H16" s="2">
        <f t="shared" si="6"/>
        <v>36.520787542815469</v>
      </c>
      <c r="I16" s="2">
        <f>0.1333*D16+0.4521</f>
        <v>11.548776432907049</v>
      </c>
    </row>
    <row r="17" spans="1:9">
      <c r="A17">
        <f t="shared" si="0"/>
        <v>2027</v>
      </c>
      <c r="B17">
        <f t="shared" si="1"/>
        <v>59.04784590566203</v>
      </c>
      <c r="C17">
        <f>VLOOKUP($A17-$A$2, $A$39:$C$44, 2, TRUE)+($A17-$A$2-VLOOKUP($A17-$A$2, $A$39:$C$44, 1, TRUE))*VLOOKUP($A17-$A$2, $A$39:$C$44, 3, TRUE)</f>
        <v>1.4956</v>
      </c>
      <c r="D17" s="2">
        <f t="shared" si="2"/>
        <v>88.311958336508127</v>
      </c>
      <c r="E17" s="2">
        <f t="shared" si="3"/>
        <v>16.136357179747339</v>
      </c>
      <c r="F17" s="2">
        <f t="shared" si="4"/>
        <v>18.823249033925116</v>
      </c>
      <c r="G17" s="2">
        <f t="shared" si="5"/>
        <v>19.938559258938451</v>
      </c>
      <c r="H17" s="2">
        <f t="shared" si="6"/>
        <v>37.305522346325112</v>
      </c>
      <c r="I17" s="2">
        <f>0.1333*D17+0.4521</f>
        <v>12.224084046256532</v>
      </c>
    </row>
    <row r="18" spans="1:9">
      <c r="A18">
        <f t="shared" si="0"/>
        <v>2028</v>
      </c>
      <c r="B18">
        <f t="shared" si="1"/>
        <v>60.228802823775275</v>
      </c>
      <c r="C18">
        <f>VLOOKUP($A18-$A$2, $A$39:$C$44, 2, TRUE)+($A18-$A$2-VLOOKUP($A18-$A$2, $A$39:$C$44, 1, TRUE))*VLOOKUP($A18-$A$2, $A$39:$C$44, 3, TRUE)</f>
        <v>1.5531999999999999</v>
      </c>
      <c r="D18" s="2">
        <f t="shared" si="2"/>
        <v>93.547376545887758</v>
      </c>
      <c r="E18" s="2">
        <f t="shared" si="3"/>
        <v>17.093915170242873</v>
      </c>
      <c r="F18" s="2">
        <f t="shared" si="4"/>
        <v>19.799130988153479</v>
      </c>
      <c r="G18" s="2">
        <f t="shared" si="5"/>
        <v>20.936429969646206</v>
      </c>
      <c r="H18" s="2">
        <f t="shared" si="6"/>
        <v>38.116488626958017</v>
      </c>
      <c r="I18" s="2">
        <f>0.1333*D18+0.4521</f>
        <v>12.921965293566839</v>
      </c>
    </row>
    <row r="19" spans="1:9">
      <c r="A19">
        <f t="shared" si="0"/>
        <v>2029</v>
      </c>
      <c r="B19">
        <f t="shared" si="1"/>
        <v>61.433378880250778</v>
      </c>
      <c r="C19">
        <f>VLOOKUP($A19-$A$2, $A$39:$C$44, 2, TRUE)+($A19-$A$2-VLOOKUP($A19-$A$2, $A$39:$C$44, 1, TRUE))*VLOOKUP($A19-$A$2, $A$39:$C$44, 3, TRUE)</f>
        <v>1.6108</v>
      </c>
      <c r="D19" s="2">
        <f t="shared" si="2"/>
        <v>98.956886700307948</v>
      </c>
      <c r="E19" s="2">
        <f t="shared" si="3"/>
        <v>18.083314577486327</v>
      </c>
      <c r="F19" s="2">
        <f t="shared" si="4"/>
        <v>20.807463680937403</v>
      </c>
      <c r="G19" s="2">
        <f t="shared" si="5"/>
        <v>21.967482605078693</v>
      </c>
      <c r="H19" s="2">
        <f t="shared" si="6"/>
        <v>38.954421749877703</v>
      </c>
      <c r="I19" s="2">
        <f>0.1333*D19+0.4521</f>
        <v>13.643052997151049</v>
      </c>
    </row>
    <row r="20" spans="1:9">
      <c r="A20">
        <f t="shared" si="0"/>
        <v>2030</v>
      </c>
      <c r="B20">
        <f t="shared" si="1"/>
        <v>62.662046457855801</v>
      </c>
      <c r="C20">
        <f>VLOOKUP($A20-$A$2, $A$39:$C$44, 2, TRUE)+($A20-$A$2-VLOOKUP($A20-$A$2, $A$39:$C$44, 1, TRUE))*VLOOKUP($A20-$A$2, $A$39:$C$44, 3, TRUE)</f>
        <v>1.6683999999999999</v>
      </c>
      <c r="D20" s="2">
        <f t="shared" si="2"/>
        <v>104.54535831028662</v>
      </c>
      <c r="E20" s="2">
        <f t="shared" si="3"/>
        <v>19.105446034951424</v>
      </c>
      <c r="F20" s="2">
        <f t="shared" si="4"/>
        <v>21.849154789037424</v>
      </c>
      <c r="G20" s="2">
        <f t="shared" si="5"/>
        <v>23.032645293940629</v>
      </c>
      <c r="H20" s="2">
        <f t="shared" si="6"/>
        <v>39.820076002263399</v>
      </c>
      <c r="I20" s="2">
        <f>0.1333*D20+0.4521</f>
        <v>14.387996262761206</v>
      </c>
    </row>
    <row r="21" spans="1:9">
      <c r="A21">
        <f t="shared" si="0"/>
        <v>2031</v>
      </c>
      <c r="B21">
        <f t="shared" si="1"/>
        <v>63.915287387012903</v>
      </c>
      <c r="C21">
        <f>VLOOKUP($A21-$A$2, $A$39:$C$44, 2, TRUE)+($A21-$A$2-VLOOKUP($A21-$A$2, $A$39:$C$44, 1, TRUE))*VLOOKUP($A21-$A$2, $A$39:$C$44, 3, TRUE)</f>
        <v>1.726</v>
      </c>
      <c r="D21" s="2">
        <f t="shared" si="2"/>
        <v>110.31778602998426</v>
      </c>
      <c r="E21" s="2">
        <f t="shared" si="3"/>
        <v>20.161223064884123</v>
      </c>
      <c r="F21" s="2">
        <f t="shared" si="4"/>
        <v>22.925135315989067</v>
      </c>
      <c r="G21" s="2">
        <f t="shared" si="5"/>
        <v>24.132870017315</v>
      </c>
      <c r="H21" s="2">
        <f t="shared" si="6"/>
        <v>40.714225056044569</v>
      </c>
      <c r="I21" s="2">
        <f>0.1333*D21+0.4521</f>
        <v>15.157460877796902</v>
      </c>
    </row>
    <row r="22" spans="1:9">
      <c r="A22">
        <f t="shared" si="0"/>
        <v>2032</v>
      </c>
      <c r="B22">
        <f t="shared" si="1"/>
        <v>65.193593134753172</v>
      </c>
      <c r="C22">
        <f>VLOOKUP($A22-$A$2, $A$39:$C$44, 2, TRUE)+($A22-$A$2-VLOOKUP($A22-$A$2, $A$39:$C$44, 1, TRUE))*VLOOKUP($A22-$A$2, $A$39:$C$44, 3, TRUE)</f>
        <v>1.7968</v>
      </c>
      <c r="D22" s="2">
        <f t="shared" si="2"/>
        <v>117.13984814452449</v>
      </c>
      <c r="E22" s="2">
        <f t="shared" si="3"/>
        <v>21.408978225633533</v>
      </c>
      <c r="F22" s="2">
        <f t="shared" si="4"/>
        <v>24.196767694139364</v>
      </c>
      <c r="G22" s="2">
        <f t="shared" si="5"/>
        <v>25.433155056346369</v>
      </c>
      <c r="H22" s="2">
        <f t="shared" si="6"/>
        <v>41.770962477586849</v>
      </c>
      <c r="I22" s="2">
        <f>0.1333*D22+0.4521</f>
        <v>16.066841757665117</v>
      </c>
    </row>
    <row r="23" spans="1:9">
      <c r="A23">
        <f t="shared" si="0"/>
        <v>2033</v>
      </c>
      <c r="B23">
        <f t="shared" si="1"/>
        <v>66.497464997448233</v>
      </c>
      <c r="C23">
        <f>VLOOKUP($A23-$A$2, $A$39:$C$44, 2, TRUE)+($A23-$A$2-VLOOKUP($A23-$A$2, $A$39:$C$44, 1, TRUE))*VLOOKUP($A23-$A$2, $A$39:$C$44, 3, TRUE)</f>
        <v>1.8675999999999999</v>
      </c>
      <c r="D23" s="2">
        <f t="shared" si="2"/>
        <v>124.19066562923432</v>
      </c>
      <c r="E23" s="2">
        <f t="shared" si="3"/>
        <v>22.698572743586958</v>
      </c>
      <c r="F23" s="2">
        <f t="shared" si="4"/>
        <v>25.511040073289276</v>
      </c>
      <c r="G23" s="2">
        <f t="shared" si="5"/>
        <v>26.777040868932062</v>
      </c>
      <c r="H23" s="2">
        <f t="shared" si="6"/>
        <v>42.863134105968399</v>
      </c>
      <c r="I23" s="2">
        <f>0.1333*D23+0.4521</f>
        <v>17.006715728376935</v>
      </c>
    </row>
    <row r="24" spans="1:9">
      <c r="A24">
        <f t="shared" si="0"/>
        <v>2034</v>
      </c>
      <c r="B24">
        <f t="shared" si="1"/>
        <v>67.827414297397198</v>
      </c>
      <c r="C24">
        <f>VLOOKUP($A24-$A$2, $A$39:$C$44, 2, TRUE)+($A24-$A$2-VLOOKUP($A24-$A$2, $A$39:$C$44, 1, TRUE))*VLOOKUP($A24-$A$2, $A$39:$C$44, 3, TRUE)</f>
        <v>1.9384000000000001</v>
      </c>
      <c r="D24" s="2">
        <f t="shared" si="2"/>
        <v>131.47665987407473</v>
      </c>
      <c r="E24" s="2">
        <f t="shared" si="3"/>
        <v>24.031181090968271</v>
      </c>
      <c r="F24" s="2">
        <f t="shared" si="4"/>
        <v>26.86914940052753</v>
      </c>
      <c r="G24" s="2">
        <f t="shared" si="5"/>
        <v>28.165751371998642</v>
      </c>
      <c r="H24" s="2">
        <f t="shared" si="6"/>
        <v>43.991734614494177</v>
      </c>
      <c r="I24" s="2">
        <f>0.1333*D24+0.4521</f>
        <v>17.977938761214162</v>
      </c>
    </row>
    <row r="25" spans="1:9">
      <c r="A25">
        <f t="shared" si="0"/>
        <v>2035</v>
      </c>
      <c r="B25">
        <f t="shared" si="1"/>
        <v>69.183962583345135</v>
      </c>
      <c r="C25">
        <f>VLOOKUP($A25-$A$2, $A$39:$C$44, 2, TRUE)+($A25-$A$2-VLOOKUP($A25-$A$2, $A$39:$C$44, 1, TRUE))*VLOOKUP($A25-$A$2, $A$39:$C$44, 3, TRUE)</f>
        <v>2.0091999999999999</v>
      </c>
      <c r="D25" s="2">
        <f t="shared" si="2"/>
        <v>139.00441762245703</v>
      </c>
      <c r="E25" s="2">
        <f t="shared" si="3"/>
        <v>25.408007983147392</v>
      </c>
      <c r="F25" s="2">
        <f t="shared" si="4"/>
        <v>28.272323444825989</v>
      </c>
      <c r="G25" s="2">
        <f t="shared" si="5"/>
        <v>29.60054199884031</v>
      </c>
      <c r="H25" s="2">
        <f t="shared" si="6"/>
        <v>45.157784289718592</v>
      </c>
      <c r="I25" s="2">
        <f>0.1333*D25+0.4521</f>
        <v>18.981388869073523</v>
      </c>
    </row>
    <row r="26" spans="1:9">
      <c r="A26">
        <f t="shared" si="0"/>
        <v>2036</v>
      </c>
      <c r="B26">
        <f t="shared" si="1"/>
        <v>70.56764183501204</v>
      </c>
      <c r="C26">
        <f>VLOOKUP($A26-$A$2, $A$39:$C$44, 2, TRUE)+($A26-$A$2-VLOOKUP($A26-$A$2, $A$39:$C$44, 1, TRUE))*VLOOKUP($A26-$A$2, $A$39:$C$44, 3, TRUE)</f>
        <v>2.08</v>
      </c>
      <c r="D26" s="2">
        <f t="shared" si="2"/>
        <v>146.78069501682504</v>
      </c>
      <c r="E26" s="2">
        <f t="shared" si="3"/>
        <v>26.830289118577301</v>
      </c>
      <c r="F26" s="2">
        <f t="shared" si="4"/>
        <v>29.721821551136188</v>
      </c>
      <c r="G26" s="2">
        <f t="shared" si="5"/>
        <v>31.082700470206852</v>
      </c>
      <c r="H26" s="2">
        <f t="shared" si="6"/>
        <v>46.362329658106205</v>
      </c>
      <c r="I26" s="2">
        <f>0.1333*D26+0.4521</f>
        <v>20.017966645742778</v>
      </c>
    </row>
    <row r="27" spans="1:9">
      <c r="A27">
        <f t="shared" si="0"/>
        <v>2037</v>
      </c>
      <c r="B27">
        <f t="shared" si="1"/>
        <v>71.978994671712286</v>
      </c>
      <c r="C27">
        <f>VLOOKUP($A27-$A$2, $A$39:$C$44, 2, TRUE)+($A27-$A$2-VLOOKUP($A27-$A$2, $A$39:$C$44, 1, TRUE))*VLOOKUP($A27-$A$2, $A$39:$C$44, 3, TRUE)</f>
        <v>2.1777000000000002</v>
      </c>
      <c r="D27" s="2">
        <f t="shared" si="2"/>
        <v>156.74865669658786</v>
      </c>
      <c r="E27" s="2">
        <f t="shared" si="3"/>
        <v>28.653429309805922</v>
      </c>
      <c r="F27" s="2">
        <f t="shared" si="4"/>
        <v>31.579849608243975</v>
      </c>
      <c r="G27" s="2">
        <f t="shared" si="5"/>
        <v>32.982593966369642</v>
      </c>
      <c r="H27" s="2">
        <f t="shared" si="6"/>
        <v>47.906366922301459</v>
      </c>
      <c r="I27" s="2">
        <f>0.1333*D27+0.4521</f>
        <v>21.346695937655163</v>
      </c>
    </row>
    <row r="28" spans="1:9">
      <c r="A28">
        <f t="shared" si="0"/>
        <v>2038</v>
      </c>
      <c r="B28">
        <f t="shared" si="1"/>
        <v>73.418574565146528</v>
      </c>
      <c r="C28">
        <f>VLOOKUP($A28-$A$2, $A$39:$C$44, 2, TRUE)+($A28-$A$2-VLOOKUP($A28-$A$2, $A$39:$C$44, 1, TRUE))*VLOOKUP($A28-$A$2, $A$39:$C$44, 3, TRUE)</f>
        <v>2.2753999999999999</v>
      </c>
      <c r="D28" s="2">
        <f t="shared" si="2"/>
        <v>167.05662456553441</v>
      </c>
      <c r="E28" s="2">
        <f t="shared" si="3"/>
        <v>30.538756633036247</v>
      </c>
      <c r="F28" s="2">
        <f t="shared" si="4"/>
        <v>33.501254819015614</v>
      </c>
      <c r="G28" s="2">
        <f t="shared" si="5"/>
        <v>34.947292642190853</v>
      </c>
      <c r="H28" s="2">
        <f t="shared" si="6"/>
        <v>49.503071145201282</v>
      </c>
      <c r="I28" s="2">
        <f>0.1333*D28+0.4521</f>
        <v>22.720748054585737</v>
      </c>
    </row>
    <row r="29" spans="1:9">
      <c r="A29">
        <f t="shared" si="0"/>
        <v>2039</v>
      </c>
      <c r="B29">
        <f t="shared" si="1"/>
        <v>74.886946056449446</v>
      </c>
      <c r="C29">
        <f>VLOOKUP($A29-$A$2, $A$39:$C$44, 2, TRUE)+($A29-$A$2-VLOOKUP($A29-$A$2, $A$39:$C$44, 1, TRUE))*VLOOKUP($A29-$A$2, $A$39:$C$44, 3, TRUE)</f>
        <v>2.3731</v>
      </c>
      <c r="D29" s="2">
        <f t="shared" si="2"/>
        <v>177.71421168656019</v>
      </c>
      <c r="E29" s="2">
        <f t="shared" si="3"/>
        <v>32.488029317471856</v>
      </c>
      <c r="F29" s="2">
        <f t="shared" si="4"/>
        <v>35.487829058374821</v>
      </c>
      <c r="G29" s="2">
        <f t="shared" si="5"/>
        <v>36.978628747458366</v>
      </c>
      <c r="H29" s="2">
        <f t="shared" si="6"/>
        <v>51.153931390248175</v>
      </c>
      <c r="I29" s="2">
        <f>0.1333*D29+0.4521</f>
        <v>24.141404417818475</v>
      </c>
    </row>
    <row r="30" spans="1:9">
      <c r="A30">
        <f t="shared" si="0"/>
        <v>2040</v>
      </c>
      <c r="B30">
        <f t="shared" si="1"/>
        <v>76.384684977578445</v>
      </c>
      <c r="C30">
        <f>VLOOKUP($A30-$A$2, $A$39:$C$44, 2, TRUE)+($A30-$A$2-VLOOKUP($A30-$A$2, $A$39:$C$44, 1, TRUE))*VLOOKUP($A30-$A$2, $A$39:$C$44, 3, TRUE)</f>
        <v>2.4708000000000001</v>
      </c>
      <c r="D30" s="2">
        <f t="shared" si="2"/>
        <v>188.73127964260084</v>
      </c>
      <c r="E30" s="2">
        <f t="shared" si="3"/>
        <v>34.50305104663169</v>
      </c>
      <c r="F30" s="2">
        <f t="shared" si="4"/>
        <v>37.541410525380797</v>
      </c>
      <c r="G30" s="2">
        <f t="shared" si="5"/>
        <v>39.078481899879719</v>
      </c>
      <c r="H30" s="2">
        <f t="shared" si="6"/>
        <v>52.860475216638875</v>
      </c>
      <c r="I30" s="2">
        <f>0.1333*D30+0.4521</f>
        <v>25.609979576358693</v>
      </c>
    </row>
    <row r="31" spans="1:9">
      <c r="A31">
        <f t="shared" si="0"/>
        <v>2041</v>
      </c>
      <c r="B31">
        <f t="shared" si="1"/>
        <v>77.912378677130008</v>
      </c>
      <c r="C31">
        <f>VLOOKUP($A31-$A$2, $A$39:$C$44, 2, TRUE)+($A31-$A$2-VLOOKUP($A31-$A$2, $A$39:$C$44, 1, TRUE))*VLOOKUP($A31-$A$2, $A$39:$C$44, 3, TRUE)</f>
        <v>2.5685000000000002</v>
      </c>
      <c r="D31" s="2">
        <f t="shared" si="2"/>
        <v>200.11794463220843</v>
      </c>
      <c r="E31" s="2">
        <f t="shared" si="3"/>
        <v>36.585672073230924</v>
      </c>
      <c r="F31" s="2">
        <f t="shared" si="4"/>
        <v>39.66388487944365</v>
      </c>
      <c r="G31" s="2">
        <f t="shared" si="5"/>
        <v>41.248780246898924</v>
      </c>
      <c r="H31" s="2">
        <f t="shared" si="6"/>
        <v>54.624269623529088</v>
      </c>
      <c r="I31" s="2">
        <f>0.1333*D31+0.4521</f>
        <v>27.127822019473385</v>
      </c>
    </row>
    <row r="32" spans="1:9">
      <c r="A32">
        <f t="shared" si="0"/>
        <v>2042</v>
      </c>
      <c r="B32">
        <f t="shared" si="1"/>
        <v>79.470626250672623</v>
      </c>
      <c r="C32">
        <f>VLOOKUP($A32-$A$2, $A$39:$C$44, 2, TRUE)+($A32-$A$2-VLOOKUP($A32-$A$2, $A$39:$C$44, 1, TRUE))*VLOOKUP($A32-$A$2, $A$39:$C$44, 3, TRUE)</f>
        <v>2.6661999999999999</v>
      </c>
      <c r="D32" s="2">
        <f t="shared" si="2"/>
        <v>211.88458370954334</v>
      </c>
      <c r="E32" s="2">
        <f t="shared" si="3"/>
        <v>38.737790360475472</v>
      </c>
      <c r="F32" s="2">
        <f t="shared" si="4"/>
        <v>41.857186403458876</v>
      </c>
      <c r="G32" s="2">
        <f t="shared" si="5"/>
        <v>43.491501655038952</v>
      </c>
      <c r="H32" s="2">
        <f t="shared" si="6"/>
        <v>56.446922016608269</v>
      </c>
      <c r="I32" s="2">
        <f>0.1333*D32+0.4521</f>
        <v>28.696315008482127</v>
      </c>
    </row>
    <row r="33" spans="1:9">
      <c r="A33">
        <f t="shared" si="0"/>
        <v>2043</v>
      </c>
      <c r="B33">
        <f t="shared" si="1"/>
        <v>81.060038775686053</v>
      </c>
      <c r="C33">
        <f>VLOOKUP($A33-$A$2, $A$39:$C$44, 2, TRUE)+($A33-$A$2-VLOOKUP($A33-$A$2, $A$39:$C$44, 1, TRUE))*VLOOKUP($A33-$A$2, $A$39:$C$44, 3, TRUE)</f>
        <v>2.7639</v>
      </c>
      <c r="D33" s="2">
        <f t="shared" si="2"/>
        <v>224.04184117211869</v>
      </c>
      <c r="E33" s="2">
        <f t="shared" si="3"/>
        <v>40.961352750380506</v>
      </c>
      <c r="F33" s="2">
        <f t="shared" si="4"/>
        <v>44.123299194482925</v>
      </c>
      <c r="G33" s="2">
        <f t="shared" si="5"/>
        <v>45.808674927405818</v>
      </c>
      <c r="H33" s="2">
        <f t="shared" si="6"/>
        <v>58.330081197561185</v>
      </c>
      <c r="I33" s="2">
        <f>0.1333*D33+0.4521</f>
        <v>30.316877428243423</v>
      </c>
    </row>
    <row r="34" spans="1:9">
      <c r="A34">
        <f t="shared" si="0"/>
        <v>2044</v>
      </c>
      <c r="B34">
        <f t="shared" si="1"/>
        <v>82.681239551199795</v>
      </c>
      <c r="C34">
        <f>VLOOKUP($A34-$A$2, $A$39:$C$44, 2, TRUE)+($A34-$A$2-VLOOKUP($A34-$A$2, $A$39:$C$44, 1, TRUE))*VLOOKUP($A34-$A$2, $A$39:$C$44, 3, TRUE)</f>
        <v>2.8616000000000001</v>
      </c>
      <c r="D34" s="2">
        <f t="shared" si="2"/>
        <v>236.60063509971334</v>
      </c>
      <c r="E34" s="2">
        <f t="shared" si="3"/>
        <v>43.258356159737573</v>
      </c>
      <c r="F34" s="2">
        <f t="shared" si="4"/>
        <v>46.464258382586571</v>
      </c>
      <c r="G34" s="2">
        <f t="shared" si="5"/>
        <v>48.202381050005357</v>
      </c>
      <c r="H34" s="2">
        <f t="shared" si="6"/>
        <v>60.275438376945601</v>
      </c>
      <c r="I34" s="2">
        <f>0.1333*D34+0.4521</f>
        <v>31.990964658791789</v>
      </c>
    </row>
    <row r="35" spans="1:9">
      <c r="A35">
        <f t="shared" si="0"/>
        <v>2045</v>
      </c>
      <c r="B35">
        <f t="shared" si="1"/>
        <v>84.334864342223781</v>
      </c>
      <c r="C35">
        <f>VLOOKUP($A35-$A$2, $A$39:$C$44, 2, TRUE)+($A35-$A$2-VLOOKUP($A35-$A$2, $A$39:$C$44, 1, TRUE))*VLOOKUP($A35-$A$2, $A$39:$C$44, 3, TRUE)</f>
        <v>2.9592999999999998</v>
      </c>
      <c r="D35" s="2">
        <f t="shared" si="2"/>
        <v>249.57216404794283</v>
      </c>
      <c r="E35" s="2">
        <f t="shared" si="3"/>
        <v>45.630848804368746</v>
      </c>
      <c r="F35" s="2">
        <f t="shared" si="4"/>
        <v>48.882151378536548</v>
      </c>
      <c r="G35" s="2">
        <f t="shared" si="5"/>
        <v>50.674754467537902</v>
      </c>
      <c r="H35" s="2">
        <f t="shared" si="6"/>
        <v>62.284728211026348</v>
      </c>
      <c r="I35" s="2">
        <f>0.1333*D35+0.4521</f>
        <v>33.720069467590783</v>
      </c>
    </row>
    <row r="38" spans="1:9">
      <c r="A38" t="s">
        <v>5</v>
      </c>
      <c r="B38" t="s">
        <v>6</v>
      </c>
      <c r="C38" t="s">
        <v>7</v>
      </c>
    </row>
    <row r="39" spans="1:9">
      <c r="A39">
        <v>0</v>
      </c>
      <c r="B39">
        <v>1</v>
      </c>
      <c r="C39">
        <f>(B40-B39)/(A40-A39)</f>
        <v>3.9800000000000016E-2</v>
      </c>
    </row>
    <row r="40" spans="1:9">
      <c r="A40">
        <v>5</v>
      </c>
      <c r="B40">
        <v>1.1990000000000001</v>
      </c>
      <c r="C40">
        <f>(B41-B40)/(A41-A40)</f>
        <v>4.7799999999999974E-2</v>
      </c>
    </row>
    <row r="41" spans="1:9">
      <c r="A41">
        <v>10</v>
      </c>
      <c r="B41">
        <v>1.4379999999999999</v>
      </c>
      <c r="C41">
        <f>(B42-B41)/(A42-A41)</f>
        <v>5.7600000000000005E-2</v>
      </c>
    </row>
    <row r="42" spans="1:9">
      <c r="A42">
        <v>15</v>
      </c>
      <c r="B42">
        <v>1.726</v>
      </c>
      <c r="C42">
        <f>(B43-B42)/(A43-A42)</f>
        <v>7.0800000000000016E-2</v>
      </c>
      <c r="I42" s="7"/>
    </row>
    <row r="43" spans="1:9">
      <c r="A43">
        <v>20</v>
      </c>
      <c r="B43">
        <v>2.08</v>
      </c>
      <c r="C43">
        <f>(B44-B43)/(A44-A43)</f>
        <v>9.7699999999999981E-2</v>
      </c>
      <c r="I43" s="8"/>
    </row>
    <row r="44" spans="1:9">
      <c r="A44">
        <v>30</v>
      </c>
      <c r="B44">
        <v>3.0569999999999999</v>
      </c>
    </row>
    <row r="46" spans="1:9">
      <c r="A46" s="7" t="s">
        <v>20</v>
      </c>
      <c r="B46" s="7" t="s">
        <v>21</v>
      </c>
      <c r="C46" s="7"/>
    </row>
    <row r="47" spans="1:9">
      <c r="A47" s="7">
        <v>0.06</v>
      </c>
      <c r="B47" s="7">
        <v>20</v>
      </c>
      <c r="C47" s="7"/>
    </row>
    <row r="48" spans="1:9">
      <c r="A48" s="7"/>
      <c r="B48" s="7"/>
      <c r="C48" s="7"/>
    </row>
    <row r="49" spans="1:4">
      <c r="A49" t="s">
        <v>9</v>
      </c>
    </row>
    <row r="50" spans="1:4">
      <c r="A50" t="s">
        <v>10</v>
      </c>
      <c r="B50" t="s">
        <v>11</v>
      </c>
      <c r="C50" t="s">
        <v>12</v>
      </c>
      <c r="D50" t="s">
        <v>13</v>
      </c>
    </row>
    <row r="51" spans="1:4">
      <c r="A51">
        <v>20</v>
      </c>
      <c r="B51" s="2">
        <f>A51/5.8</f>
        <v>3.4482758620689657</v>
      </c>
      <c r="C51">
        <v>3.12</v>
      </c>
      <c r="D51" s="2">
        <f>0.1333*A51+0.4521</f>
        <v>3.1181000000000001</v>
      </c>
    </row>
    <row r="52" spans="1:4">
      <c r="A52">
        <v>30</v>
      </c>
      <c r="B52" s="2">
        <f>A52/5.8</f>
        <v>5.1724137931034484</v>
      </c>
      <c r="C52">
        <v>4.45</v>
      </c>
      <c r="D52" s="2">
        <f>0.1333*A52+0.4521</f>
        <v>4.4511000000000003</v>
      </c>
    </row>
    <row r="53" spans="1:4">
      <c r="A53">
        <v>40</v>
      </c>
      <c r="B53" s="2">
        <f>A53/5.8</f>
        <v>6.8965517241379315</v>
      </c>
      <c r="C53">
        <v>5.78</v>
      </c>
      <c r="D53" s="2">
        <f>0.1333*A53+0.4521</f>
        <v>5.7840999999999996</v>
      </c>
    </row>
    <row r="54" spans="1:4">
      <c r="A54">
        <v>50</v>
      </c>
      <c r="B54" s="2">
        <f>A54/5.8</f>
        <v>8.6206896551724146</v>
      </c>
      <c r="C54">
        <v>7.12</v>
      </c>
      <c r="D54" s="2">
        <f>0.1333*A54+0.4521</f>
        <v>7.1170999999999998</v>
      </c>
    </row>
    <row r="55" spans="1:4">
      <c r="A55">
        <v>60</v>
      </c>
      <c r="B55" s="2">
        <f>A55/5.8</f>
        <v>10.344827586206897</v>
      </c>
      <c r="C55">
        <v>8.4499999999999993</v>
      </c>
      <c r="D55" s="2">
        <f>0.1333*A55+0.4521</f>
        <v>8.4501000000000008</v>
      </c>
    </row>
    <row r="56" spans="1:4">
      <c r="A56">
        <v>70</v>
      </c>
      <c r="B56" s="2">
        <f>A56/5.8</f>
        <v>12.068965517241379</v>
      </c>
      <c r="C56">
        <v>9.7799999999999994</v>
      </c>
      <c r="D56" s="2">
        <f>0.1333*A56+0.4521</f>
        <v>9.7830999999999992</v>
      </c>
    </row>
    <row r="57" spans="1:4">
      <c r="A57">
        <v>80</v>
      </c>
      <c r="B57" s="2">
        <f>A57/5.8</f>
        <v>13.793103448275863</v>
      </c>
      <c r="C57">
        <v>11.11</v>
      </c>
      <c r="D57" s="2">
        <f>0.1333*A57+0.4521</f>
        <v>11.116099999999999</v>
      </c>
    </row>
    <row r="58" spans="1:4">
      <c r="A58">
        <v>90</v>
      </c>
      <c r="B58" s="2">
        <f>A58/5.8</f>
        <v>15.517241379310345</v>
      </c>
      <c r="C58">
        <v>12.45</v>
      </c>
      <c r="D58" s="2">
        <f>0.1333*A58+0.4521</f>
        <v>12.4491</v>
      </c>
    </row>
    <row r="59" spans="1:4">
      <c r="A59">
        <v>100</v>
      </c>
      <c r="B59" s="2">
        <f>A59/5.8</f>
        <v>17.241379310344829</v>
      </c>
      <c r="C59">
        <v>13.78</v>
      </c>
      <c r="D59" s="2">
        <f>0.1333*A59+0.4521</f>
        <v>13.7821</v>
      </c>
    </row>
    <row r="60" spans="1:4">
      <c r="A60">
        <v>110</v>
      </c>
      <c r="B60" s="2">
        <f>A60/5.8</f>
        <v>18.96551724137931</v>
      </c>
      <c r="C60">
        <v>15.11</v>
      </c>
      <c r="D60" s="2">
        <f>0.1333*A60+0.4521</f>
        <v>15.1151</v>
      </c>
    </row>
    <row r="61" spans="1:4">
      <c r="A61">
        <v>120</v>
      </c>
      <c r="B61" s="2">
        <f>A61/5.8</f>
        <v>20.689655172413794</v>
      </c>
      <c r="C61">
        <v>16.45</v>
      </c>
      <c r="D61" s="2">
        <f>0.1333*A61+0.4521</f>
        <v>16.4481</v>
      </c>
    </row>
    <row r="63" spans="1:4">
      <c r="C63" t="s">
        <v>14</v>
      </c>
      <c r="D63" t="s">
        <v>15</v>
      </c>
    </row>
    <row r="64" spans="1:4">
      <c r="A64" t="s">
        <v>16</v>
      </c>
      <c r="B64" s="3">
        <f>PMT($A$47, $B$47, -200000000)</f>
        <v>17436911.39537029</v>
      </c>
      <c r="C64" s="4">
        <f>$B$73</f>
        <v>51113806</v>
      </c>
      <c r="D64" s="5">
        <f>B64/C64</f>
        <v>0.3411389751600632</v>
      </c>
    </row>
    <row r="65" spans="1:4">
      <c r="A65" t="s">
        <v>17</v>
      </c>
      <c r="B65" s="3">
        <f>PMT($A$47, $B$47, -$B$80)</f>
        <v>1562029.2989458833</v>
      </c>
      <c r="C65" s="4">
        <f>$B$73</f>
        <v>51113806</v>
      </c>
      <c r="D65" s="5">
        <f>B65/C65</f>
        <v>3.0559831505129618E-2</v>
      </c>
    </row>
    <row r="66" spans="1:4">
      <c r="A66" t="s">
        <v>18</v>
      </c>
      <c r="B66" s="3">
        <f>98000*365</f>
        <v>35770000</v>
      </c>
      <c r="C66" s="4">
        <f>$B$73</f>
        <v>51113806</v>
      </c>
      <c r="D66" s="5">
        <f>B66/C66</f>
        <v>0.69981092779512444</v>
      </c>
    </row>
    <row r="67" spans="1:4">
      <c r="A67" t="s">
        <v>19</v>
      </c>
      <c r="B67" s="6">
        <f>SUM(B64:B66)</f>
        <v>54768940.694316171</v>
      </c>
    </row>
    <row r="70" spans="1:4">
      <c r="A70" t="s">
        <v>27</v>
      </c>
    </row>
    <row r="71" spans="1:4">
      <c r="A71" t="s">
        <v>28</v>
      </c>
      <c r="B71" t="s">
        <v>29</v>
      </c>
    </row>
    <row r="72" spans="1:4">
      <c r="A72" t="s">
        <v>30</v>
      </c>
      <c r="B72" s="9">
        <v>1030000</v>
      </c>
      <c r="C72" s="9"/>
    </row>
    <row r="73" spans="1:4">
      <c r="A73" t="s">
        <v>31</v>
      </c>
      <c r="B73" s="4">
        <v>51113806</v>
      </c>
      <c r="C73" t="s">
        <v>32</v>
      </c>
    </row>
    <row r="74" spans="1:4">
      <c r="C74" t="s">
        <v>33</v>
      </c>
    </row>
    <row r="77" spans="1:4">
      <c r="A77" t="s">
        <v>34</v>
      </c>
      <c r="B77" t="s">
        <v>35</v>
      </c>
      <c r="C77" t="s">
        <v>36</v>
      </c>
    </row>
    <row r="78" spans="1:4">
      <c r="A78" t="s">
        <v>37</v>
      </c>
      <c r="B78" s="3">
        <v>148152158</v>
      </c>
      <c r="C78">
        <f>280+383</f>
        <v>663</v>
      </c>
    </row>
    <row r="79" spans="1:4">
      <c r="A79" t="s">
        <v>38</v>
      </c>
      <c r="B79" s="3">
        <f>B78*C79/C78</f>
        <v>46479108.392156862</v>
      </c>
      <c r="C79">
        <v>208</v>
      </c>
    </row>
    <row r="80" spans="1:4">
      <c r="A80" t="s">
        <v>17</v>
      </c>
      <c r="B80" s="3">
        <f>8958092+8958261</f>
        <v>17916353</v>
      </c>
    </row>
    <row r="81" spans="1:2">
      <c r="A81" t="s">
        <v>39</v>
      </c>
      <c r="B81" s="3">
        <v>51600000</v>
      </c>
    </row>
    <row r="82" spans="1:2">
      <c r="A82" t="s">
        <v>40</v>
      </c>
      <c r="B82" s="3">
        <f>SUM(B78:B81)</f>
        <v>264147619.39215687</v>
      </c>
    </row>
  </sheetData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2016-11-22T00:37:31Z</dcterms:created>
  <dcterms:modified xsi:type="dcterms:W3CDTF">2016-11-22T02:56:15Z</dcterms:modified>
</cp:coreProperties>
</file>