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4080" yWindow="2160" windowWidth="26600" windowHeight="18320" tabRatio="500"/>
  </bookViews>
  <sheets>
    <sheet name="hedged hubs" sheetId="1" r:id="rId1"/>
    <sheet name="physical hedge" sheetId="2" r:id="rId2"/>
    <sheet name="Sheet2" sheetId="3" r:id="rId3"/>
  </sheets>
  <externalReferences>
    <externalReference r:id="rId4"/>
  </externalReferences>
  <definedNames>
    <definedName name="base_year">'hedged hubs'!$I$43</definedName>
    <definedName name="fuel_prices">'hedged hubs'!$H$3:$O$35</definedName>
    <definedName name="inflation_rate">'hedged hubs'!$J$43</definedName>
    <definedName name="interest_rate">'hedged hubs'!$F$43</definedName>
    <definedName name="interest_rate_nominal">'hedged hubs'!$G$43</definedName>
    <definedName name="interest_rate_real">'hedged hubs'!$F$43</definedName>
    <definedName name="tier_fixed_costs">'hedged hubs'!$F$57:$M$64</definedName>
    <definedName name="tier_properties">'hedged hubs'!$Q$3:$X$5</definedName>
    <definedName name="years">'hedged hubs'!$A$5:$A$20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6" i="1" l="1"/>
  <c r="I6" i="1"/>
  <c r="D7" i="1"/>
  <c r="I7" i="1"/>
  <c r="D8" i="1"/>
  <c r="I8" i="1"/>
  <c r="D9" i="1"/>
  <c r="I9" i="1"/>
  <c r="D10" i="1"/>
  <c r="I10" i="1"/>
  <c r="D11" i="1"/>
  <c r="I11" i="1"/>
  <c r="D12" i="1"/>
  <c r="I12" i="1"/>
  <c r="D13" i="1"/>
  <c r="I13" i="1"/>
  <c r="D14" i="1"/>
  <c r="I14" i="1"/>
  <c r="G43" i="1"/>
  <c r="C2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I14" i="2"/>
  <c r="K14" i="2"/>
  <c r="L14" i="2"/>
  <c r="B2" i="2"/>
  <c r="J15" i="2"/>
  <c r="K15" i="2"/>
  <c r="L15" i="2"/>
  <c r="B15" i="1"/>
  <c r="D15" i="1"/>
  <c r="I15" i="1"/>
  <c r="J16" i="2"/>
  <c r="K16" i="2"/>
  <c r="L16" i="2"/>
  <c r="B16" i="1"/>
  <c r="D16" i="1"/>
  <c r="I16" i="1"/>
  <c r="J17" i="2"/>
  <c r="K17" i="2"/>
  <c r="L17" i="2"/>
  <c r="B17" i="1"/>
  <c r="D17" i="1"/>
  <c r="I17" i="1"/>
  <c r="J18" i="2"/>
  <c r="K18" i="2"/>
  <c r="L18" i="2"/>
  <c r="B18" i="1"/>
  <c r="D18" i="1"/>
  <c r="I18" i="1"/>
  <c r="J19" i="2"/>
  <c r="K19" i="2"/>
  <c r="L19" i="2"/>
  <c r="B19" i="1"/>
  <c r="A19" i="1"/>
  <c r="D19" i="1"/>
  <c r="I19" i="1"/>
  <c r="J20" i="2"/>
  <c r="K20" i="2"/>
  <c r="L20" i="2"/>
  <c r="B20" i="1"/>
  <c r="A20" i="1"/>
  <c r="D20" i="1"/>
  <c r="I20" i="1"/>
  <c r="J21" i="2"/>
  <c r="K21" i="2"/>
  <c r="L21" i="2"/>
  <c r="B21" i="1"/>
  <c r="A21" i="1"/>
  <c r="D21" i="1"/>
  <c r="I21" i="1"/>
  <c r="J22" i="2"/>
  <c r="K22" i="2"/>
  <c r="L22" i="2"/>
  <c r="B22" i="1"/>
  <c r="A22" i="1"/>
  <c r="D22" i="1"/>
  <c r="I22" i="1"/>
  <c r="J23" i="2"/>
  <c r="K23" i="2"/>
  <c r="L23" i="2"/>
  <c r="B23" i="1"/>
  <c r="A23" i="1"/>
  <c r="D23" i="1"/>
  <c r="I23" i="1"/>
  <c r="J24" i="2"/>
  <c r="K24" i="2"/>
  <c r="L24" i="2"/>
  <c r="B24" i="1"/>
  <c r="A24" i="1"/>
  <c r="D24" i="1"/>
  <c r="I24" i="1"/>
  <c r="J25" i="2"/>
  <c r="K25" i="2"/>
  <c r="L25" i="2"/>
  <c r="B25" i="1"/>
  <c r="A25" i="1"/>
  <c r="D25" i="1"/>
  <c r="I25" i="1"/>
  <c r="J26" i="2"/>
  <c r="K26" i="2"/>
  <c r="L26" i="2"/>
  <c r="B26" i="1"/>
  <c r="A26" i="1"/>
  <c r="D26" i="1"/>
  <c r="I26" i="1"/>
  <c r="J27" i="2"/>
  <c r="K27" i="2"/>
  <c r="L27" i="2"/>
  <c r="B27" i="1"/>
  <c r="A27" i="1"/>
  <c r="D27" i="1"/>
  <c r="I27" i="1"/>
  <c r="J28" i="2"/>
  <c r="K28" i="2"/>
  <c r="L28" i="2"/>
  <c r="B28" i="1"/>
  <c r="A28" i="1"/>
  <c r="D28" i="1"/>
  <c r="I28" i="1"/>
  <c r="J29" i="2"/>
  <c r="K29" i="2"/>
  <c r="L29" i="2"/>
  <c r="B29" i="1"/>
  <c r="A29" i="1"/>
  <c r="D29" i="1"/>
  <c r="I29" i="1"/>
  <c r="J30" i="2"/>
  <c r="K30" i="2"/>
  <c r="L30" i="2"/>
  <c r="B30" i="1"/>
  <c r="A30" i="1"/>
  <c r="D30" i="1"/>
  <c r="I30" i="1"/>
  <c r="J31" i="2"/>
  <c r="K31" i="2"/>
  <c r="L31" i="2"/>
  <c r="B31" i="1"/>
  <c r="A31" i="1"/>
  <c r="D31" i="1"/>
  <c r="I31" i="1"/>
  <c r="J32" i="2"/>
  <c r="K32" i="2"/>
  <c r="L32" i="2"/>
  <c r="B32" i="1"/>
  <c r="A32" i="1"/>
  <c r="D32" i="1"/>
  <c r="I32" i="1"/>
  <c r="J33" i="2"/>
  <c r="K33" i="2"/>
  <c r="L33" i="2"/>
  <c r="B33" i="1"/>
  <c r="A33" i="1"/>
  <c r="D33" i="1"/>
  <c r="I33" i="1"/>
  <c r="J34" i="2"/>
  <c r="K34" i="2"/>
  <c r="L34" i="2"/>
  <c r="B34" i="1"/>
  <c r="A34" i="1"/>
  <c r="D34" i="1"/>
  <c r="I34" i="1"/>
  <c r="J35" i="2"/>
  <c r="K35" i="2"/>
  <c r="L35" i="2"/>
  <c r="B35" i="1"/>
  <c r="A35" i="1"/>
  <c r="D35" i="1"/>
  <c r="I35" i="1"/>
  <c r="D5" i="1"/>
  <c r="I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H47" i="1"/>
  <c r="G48" i="1"/>
  <c r="G49" i="1"/>
  <c r="G51" i="1"/>
  <c r="G53" i="1"/>
  <c r="B55" i="1"/>
  <c r="B54" i="1"/>
  <c r="D2" i="2"/>
  <c r="E35" i="1"/>
  <c r="E7" i="1"/>
  <c r="F7" i="1"/>
  <c r="F6" i="1"/>
  <c r="E16" i="1"/>
  <c r="J16" i="1"/>
  <c r="E17" i="1"/>
  <c r="J17" i="1"/>
  <c r="E18" i="1"/>
  <c r="J18" i="1"/>
  <c r="E19" i="1"/>
  <c r="J19" i="1"/>
  <c r="E20" i="1"/>
  <c r="J20" i="1"/>
  <c r="E21" i="1"/>
  <c r="J21" i="1"/>
  <c r="E22" i="1"/>
  <c r="J22" i="1"/>
  <c r="E23" i="1"/>
  <c r="J23" i="1"/>
  <c r="E24" i="1"/>
  <c r="J24" i="1"/>
  <c r="E25" i="1"/>
  <c r="J25" i="1"/>
  <c r="E26" i="1"/>
  <c r="J26" i="1"/>
  <c r="E27" i="1"/>
  <c r="J27" i="1"/>
  <c r="E28" i="1"/>
  <c r="J28" i="1"/>
  <c r="E29" i="1"/>
  <c r="J29" i="1"/>
  <c r="E30" i="1"/>
  <c r="J30" i="1"/>
  <c r="E31" i="1"/>
  <c r="J31" i="1"/>
  <c r="E32" i="1"/>
  <c r="J32" i="1"/>
  <c r="E33" i="1"/>
  <c r="J33" i="1"/>
  <c r="E34" i="1"/>
  <c r="J34" i="1"/>
  <c r="J35" i="1"/>
  <c r="H6" i="1"/>
  <c r="N6" i="1"/>
  <c r="O6" i="1"/>
  <c r="H7" i="1"/>
  <c r="N7" i="1"/>
  <c r="O7" i="1"/>
  <c r="H8" i="1"/>
  <c r="N8" i="1"/>
  <c r="O8" i="1"/>
  <c r="H9" i="1"/>
  <c r="N9" i="1"/>
  <c r="O9" i="1"/>
  <c r="H10" i="1"/>
  <c r="N10" i="1"/>
  <c r="O10" i="1"/>
  <c r="H11" i="1"/>
  <c r="N11" i="1"/>
  <c r="O11" i="1"/>
  <c r="H12" i="1"/>
  <c r="N12" i="1"/>
  <c r="O12" i="1"/>
  <c r="H13" i="1"/>
  <c r="N13" i="1"/>
  <c r="O13" i="1"/>
  <c r="H14" i="1"/>
  <c r="N14" i="1"/>
  <c r="O14" i="1"/>
  <c r="H15" i="1"/>
  <c r="N15" i="1"/>
  <c r="O15" i="1"/>
  <c r="H16" i="1"/>
  <c r="N16" i="1"/>
  <c r="O16" i="1"/>
  <c r="H17" i="1"/>
  <c r="N17" i="1"/>
  <c r="O17" i="1"/>
  <c r="H18" i="1"/>
  <c r="N18" i="1"/>
  <c r="O18" i="1"/>
  <c r="H19" i="1"/>
  <c r="N19" i="1"/>
  <c r="O19" i="1"/>
  <c r="H20" i="1"/>
  <c r="N20" i="1"/>
  <c r="O20" i="1"/>
  <c r="H21" i="1"/>
  <c r="N21" i="1"/>
  <c r="O21" i="1"/>
  <c r="H22" i="1"/>
  <c r="N22" i="1"/>
  <c r="O22" i="1"/>
  <c r="H23" i="1"/>
  <c r="N23" i="1"/>
  <c r="O23" i="1"/>
  <c r="H24" i="1"/>
  <c r="N24" i="1"/>
  <c r="O24" i="1"/>
  <c r="H25" i="1"/>
  <c r="N25" i="1"/>
  <c r="O25" i="1"/>
  <c r="H26" i="1"/>
  <c r="N26" i="1"/>
  <c r="O26" i="1"/>
  <c r="H27" i="1"/>
  <c r="N27" i="1"/>
  <c r="O27" i="1"/>
  <c r="H28" i="1"/>
  <c r="N28" i="1"/>
  <c r="O28" i="1"/>
  <c r="H29" i="1"/>
  <c r="N29" i="1"/>
  <c r="O29" i="1"/>
  <c r="H30" i="1"/>
  <c r="N30" i="1"/>
  <c r="O30" i="1"/>
  <c r="H31" i="1"/>
  <c r="N31" i="1"/>
  <c r="O31" i="1"/>
  <c r="H32" i="1"/>
  <c r="N32" i="1"/>
  <c r="O32" i="1"/>
  <c r="H33" i="1"/>
  <c r="N33" i="1"/>
  <c r="O33" i="1"/>
  <c r="H34" i="1"/>
  <c r="N34" i="1"/>
  <c r="O34" i="1"/>
  <c r="H35" i="1"/>
  <c r="N35" i="1"/>
  <c r="O35" i="1"/>
  <c r="H5" i="1"/>
  <c r="O5" i="1"/>
  <c r="N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M5" i="1"/>
  <c r="L5" i="1"/>
  <c r="K5" i="1"/>
  <c r="E6" i="1"/>
  <c r="J6" i="1"/>
  <c r="J7" i="1"/>
  <c r="E8" i="1"/>
  <c r="J8" i="1"/>
  <c r="E9" i="1"/>
  <c r="J9" i="1"/>
  <c r="E10" i="1"/>
  <c r="J10" i="1"/>
  <c r="E11" i="1"/>
  <c r="J11" i="1"/>
  <c r="E12" i="1"/>
  <c r="J12" i="1"/>
  <c r="E13" i="1"/>
  <c r="J13" i="1"/>
  <c r="E14" i="1"/>
  <c r="J14" i="1"/>
  <c r="E15" i="1"/>
  <c r="J15" i="1"/>
  <c r="E5" i="1"/>
  <c r="J5" i="1"/>
  <c r="P7" i="2"/>
  <c r="Q7" i="2"/>
  <c r="R7" i="2"/>
  <c r="S7" i="2"/>
  <c r="P8" i="2"/>
  <c r="Q8" i="2"/>
  <c r="R8" i="2"/>
  <c r="S8" i="2"/>
  <c r="P9" i="2"/>
  <c r="Q9" i="2"/>
  <c r="R9" i="2"/>
  <c r="S9" i="2"/>
  <c r="P10" i="2"/>
  <c r="Q10" i="2"/>
  <c r="R10" i="2"/>
  <c r="S10" i="2"/>
  <c r="P11" i="2"/>
  <c r="Q11" i="2"/>
  <c r="R11" i="2"/>
  <c r="S11" i="2"/>
  <c r="P12" i="2"/>
  <c r="Q12" i="2"/>
  <c r="R12" i="2"/>
  <c r="S12" i="2"/>
  <c r="P13" i="2"/>
  <c r="Q13" i="2"/>
  <c r="R13" i="2"/>
  <c r="S13" i="2"/>
  <c r="P14" i="2"/>
  <c r="Q14" i="2"/>
  <c r="R14" i="2"/>
  <c r="S14" i="2"/>
  <c r="P15" i="2"/>
  <c r="Q15" i="2"/>
  <c r="R15" i="2"/>
  <c r="S15" i="2"/>
  <c r="P16" i="2"/>
  <c r="Q16" i="2"/>
  <c r="R16" i="2"/>
  <c r="S16" i="2"/>
  <c r="P17" i="2"/>
  <c r="Q17" i="2"/>
  <c r="R17" i="2"/>
  <c r="S17" i="2"/>
  <c r="P18" i="2"/>
  <c r="Q18" i="2"/>
  <c r="R18" i="2"/>
  <c r="S18" i="2"/>
  <c r="P19" i="2"/>
  <c r="Q19" i="2"/>
  <c r="R19" i="2"/>
  <c r="S19" i="2"/>
  <c r="P20" i="2"/>
  <c r="Q20" i="2"/>
  <c r="R20" i="2"/>
  <c r="S20" i="2"/>
  <c r="P21" i="2"/>
  <c r="Q21" i="2"/>
  <c r="R21" i="2"/>
  <c r="S21" i="2"/>
  <c r="P22" i="2"/>
  <c r="Q22" i="2"/>
  <c r="R22" i="2"/>
  <c r="S22" i="2"/>
  <c r="P23" i="2"/>
  <c r="Q23" i="2"/>
  <c r="R23" i="2"/>
  <c r="S23" i="2"/>
  <c r="P24" i="2"/>
  <c r="Q24" i="2"/>
  <c r="R24" i="2"/>
  <c r="S24" i="2"/>
  <c r="P25" i="2"/>
  <c r="Q25" i="2"/>
  <c r="R25" i="2"/>
  <c r="S25" i="2"/>
  <c r="P26" i="2"/>
  <c r="Q26" i="2"/>
  <c r="R26" i="2"/>
  <c r="S26" i="2"/>
  <c r="P27" i="2"/>
  <c r="Q27" i="2"/>
  <c r="R27" i="2"/>
  <c r="S27" i="2"/>
  <c r="P28" i="2"/>
  <c r="Q28" i="2"/>
  <c r="R28" i="2"/>
  <c r="S28" i="2"/>
  <c r="P29" i="2"/>
  <c r="Q29" i="2"/>
  <c r="R29" i="2"/>
  <c r="S29" i="2"/>
  <c r="P30" i="2"/>
  <c r="Q30" i="2"/>
  <c r="R30" i="2"/>
  <c r="S30" i="2"/>
  <c r="P31" i="2"/>
  <c r="Q31" i="2"/>
  <c r="R31" i="2"/>
  <c r="S31" i="2"/>
  <c r="P32" i="2"/>
  <c r="Q32" i="2"/>
  <c r="R32" i="2"/>
  <c r="S32" i="2"/>
  <c r="P33" i="2"/>
  <c r="Q33" i="2"/>
  <c r="R33" i="2"/>
  <c r="S33" i="2"/>
  <c r="P34" i="2"/>
  <c r="Q34" i="2"/>
  <c r="R34" i="2"/>
  <c r="S34" i="2"/>
  <c r="P35" i="2"/>
  <c r="Q35" i="2"/>
  <c r="R35" i="2"/>
  <c r="S35" i="2"/>
  <c r="Q6" i="2"/>
  <c r="R6" i="2"/>
  <c r="S6" i="2"/>
  <c r="L6" i="2"/>
  <c r="E6" i="2"/>
  <c r="D7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7" i="2"/>
  <c r="C16" i="2"/>
  <c r="C15" i="2"/>
  <c r="C14" i="2"/>
  <c r="C13" i="2"/>
  <c r="C12" i="2"/>
  <c r="C11" i="2"/>
  <c r="C10" i="2"/>
  <c r="C9" i="2"/>
  <c r="C8" i="2"/>
  <c r="C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C18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E37" i="2"/>
  <c r="F35" i="2"/>
  <c r="F19" i="2"/>
  <c r="F37" i="2"/>
  <c r="X3" i="1"/>
  <c r="M57" i="1"/>
  <c r="X4" i="1"/>
  <c r="M58" i="1"/>
  <c r="T3" i="1"/>
  <c r="I57" i="1"/>
  <c r="U3" i="1"/>
  <c r="J57" i="1"/>
  <c r="V3" i="1"/>
  <c r="K57" i="1"/>
  <c r="W3" i="1"/>
  <c r="L57" i="1"/>
  <c r="T4" i="1"/>
  <c r="I58" i="1"/>
  <c r="U4" i="1"/>
  <c r="J58" i="1"/>
  <c r="V4" i="1"/>
  <c r="K58" i="1"/>
  <c r="W4" i="1"/>
  <c r="L58" i="1"/>
  <c r="Q4" i="1"/>
  <c r="Q3" i="1"/>
  <c r="R4" i="1"/>
  <c r="G58" i="1"/>
  <c r="S4" i="1"/>
  <c r="H58" i="1"/>
  <c r="S3" i="1"/>
  <c r="H57" i="1"/>
  <c r="R3" i="1"/>
  <c r="G57" i="1"/>
  <c r="D3" i="3"/>
  <c r="AA8" i="1"/>
  <c r="AA7" i="1"/>
  <c r="AA6" i="1"/>
  <c r="AA5" i="1"/>
  <c r="AA4" i="1"/>
  <c r="AB3" i="1"/>
  <c r="AC3" i="1"/>
  <c r="AD3" i="1"/>
  <c r="AE3" i="1"/>
  <c r="AF3" i="1"/>
  <c r="AA3" i="1"/>
  <c r="Z8" i="1"/>
  <c r="Z7" i="1"/>
  <c r="Z6" i="1"/>
  <c r="Z5" i="1"/>
  <c r="Z4" i="1"/>
  <c r="AB4" i="1"/>
  <c r="AC4" i="1"/>
  <c r="AD4" i="1"/>
  <c r="AE4" i="1"/>
  <c r="AF4" i="1"/>
  <c r="AB5" i="1"/>
  <c r="AC5" i="1"/>
  <c r="AD5" i="1"/>
  <c r="AE5" i="1"/>
  <c r="AF5" i="1"/>
  <c r="AB6" i="1"/>
  <c r="AC6" i="1"/>
  <c r="AD6" i="1"/>
  <c r="AE6" i="1"/>
  <c r="AF6" i="1"/>
  <c r="AB7" i="1"/>
  <c r="AC7" i="1"/>
  <c r="AD7" i="1"/>
  <c r="AE7" i="1"/>
  <c r="AF7" i="1"/>
  <c r="AB8" i="1"/>
  <c r="AC8" i="1"/>
  <c r="AD8" i="1"/>
  <c r="AE8" i="1"/>
  <c r="AF8" i="1"/>
  <c r="R2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2" i="2"/>
  <c r="E2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C55" i="1"/>
  <c r="D55" i="1"/>
  <c r="G54" i="1"/>
  <c r="S5" i="1"/>
  <c r="H59" i="1"/>
  <c r="B56" i="1"/>
  <c r="B57" i="1"/>
  <c r="C54" i="1"/>
  <c r="R5" i="1"/>
  <c r="G59" i="1"/>
  <c r="C56" i="1"/>
  <c r="D42" i="1"/>
  <c r="D43" i="1"/>
  <c r="D44" i="1"/>
  <c r="D45" i="1"/>
  <c r="D46" i="1"/>
  <c r="D47" i="1"/>
  <c r="D48" i="1"/>
  <c r="D49" i="1"/>
  <c r="D50" i="1"/>
  <c r="D51" i="1"/>
  <c r="D41" i="1"/>
  <c r="D54" i="1"/>
  <c r="D56" i="1"/>
  <c r="B42" i="1"/>
  <c r="B43" i="1"/>
  <c r="B44" i="1"/>
  <c r="B45" i="1"/>
  <c r="B46" i="1"/>
  <c r="B47" i="1"/>
  <c r="B48" i="1"/>
  <c r="B49" i="1"/>
  <c r="B50" i="1"/>
  <c r="B51" i="1"/>
  <c r="B41" i="1"/>
</calcChain>
</file>

<file path=xl/comments1.xml><?xml version="1.0" encoding="utf-8"?>
<comments xmlns="http://schemas.openxmlformats.org/spreadsheetml/2006/main">
  <authors>
    <author>Matthias Fripp</author>
    <author>Microsoft Office User</author>
  </authors>
  <commentList>
    <comment ref="H1" authorId="0">
      <text>
        <r>
          <rPr>
            <sz val="9"/>
            <color indexed="81"/>
            <rFont val="Calibri"/>
            <family val="2"/>
          </rPr>
          <t>regression coefficients from Research/Shared/Switch-Hawaii/data/HECO Plans/PSIP-WebDAV/Resource Assumptions/PSIP Fuel Price Forecasts for HE 2016-06-27 regressions.xlsx</t>
        </r>
      </text>
    </comment>
    <comment ref="I2" authorId="1">
      <text>
        <r>
          <rPr>
            <sz val="10"/>
            <color indexed="81"/>
            <rFont val="Calibri"/>
          </rPr>
          <t>cost coefficiencts found from regression below. Also match Barbara Treat phone call 6/3/16, which said they were around 0.13 * Brent Crude (bbl) + 0.50/MMBtu</t>
        </r>
      </text>
    </comment>
    <comment ref="J2" authorId="0">
      <text>
        <r>
          <rPr>
            <sz val="9"/>
            <color indexed="81"/>
            <rFont val="Calibri"/>
            <family val="2"/>
          </rPr>
          <t>Coefficients found by regressing delivered cost of LNG in 2016-09-07 PSIP workplan against EIA AEO 2016 Early Release data (see PSIP Fuel Price Forecasts for HE 2016-06-27 regressions.xlsx).
HECO's formula doesn't seem to account for inflation, so we just use the coefficients from the nominal-cost regression.</t>
        </r>
      </text>
    </comment>
    <comment ref="N3" authorId="0">
      <text>
        <r>
          <rPr>
            <sz val="9"/>
            <color indexed="81"/>
            <rFont val="Calibri"/>
            <family val="2"/>
          </rPr>
          <t>From AEO 2015; see linked spreadsheet.</t>
        </r>
      </text>
    </comment>
    <comment ref="B5" authorId="0">
      <text>
        <r>
          <rPr>
            <sz val="10"/>
            <color indexed="81"/>
            <rFont val="Calibri"/>
          </rPr>
          <t>Brent Crude price for 2015 from https://www.eia.gov/dnav/pet/pet_pri_spt_s1_a.htm</t>
        </r>
      </text>
    </comment>
    <comment ref="C5" authorId="0">
      <text>
        <r>
          <rPr>
            <sz val="9"/>
            <color indexed="81"/>
            <rFont val="Calibri"/>
            <family val="2"/>
          </rPr>
          <t>Henry Hub for 2015 from http://www.eia.gov/dnav/ng/ng_pri_fut_s1_a.htm</t>
        </r>
      </text>
    </comment>
    <comment ref="Q5" authorId="1">
      <text>
        <r>
          <rPr>
            <sz val="10"/>
            <color indexed="81"/>
            <rFont val="Calibri"/>
          </rPr>
          <t>MMBtu/year</t>
        </r>
      </text>
    </comment>
    <comment ref="B6" authorId="0">
      <text>
        <r>
          <rPr>
            <sz val="10"/>
            <color indexed="81"/>
            <rFont val="Calibri"/>
          </rPr>
          <t>Brent Crude price for 10/16 from https://www.eia.gov/dnav/pet/pet_pri_spt_s1_m.htm</t>
        </r>
      </text>
    </comment>
    <comment ref="C6" authorId="0">
      <text>
        <r>
          <rPr>
            <sz val="9"/>
            <color indexed="81"/>
            <rFont val="Calibri"/>
            <family val="2"/>
          </rPr>
          <t>Henry Hub for 10/2016 from http://www.eia.gov/dnav/ng/ng_pri_fut_s1_m.htm</t>
        </r>
      </text>
    </comment>
    <comment ref="B7" authorId="0">
      <text>
        <r>
          <rPr>
            <sz val="9"/>
            <color indexed="81"/>
            <rFont val="Calibri"/>
            <family val="2"/>
          </rPr>
          <t xml:space="preserve">Brent Crude Globex futures for June of each year, as of 2016-11-22, from http://www.cmegroup.com/trading/energy/crude-oil/brent-crude-oil-last-day.html
</t>
        </r>
      </text>
    </comment>
    <comment ref="C7" authorId="0">
      <text>
        <r>
          <rPr>
            <sz val="9"/>
            <color indexed="81"/>
            <rFont val="Calibri"/>
            <family val="2"/>
          </rPr>
          <t>For June of each year, as of 2016-11-22,  from http://www.cmegroup.com/trading/energy/natural-gas/natural-gas.html</t>
        </r>
      </text>
    </comment>
    <comment ref="B15" authorId="0">
      <text>
        <r>
          <rPr>
            <sz val="9"/>
            <color indexed="81"/>
            <rFont val="Calibri"/>
            <family val="2"/>
          </rPr>
          <t>From storage hedge page</t>
        </r>
      </text>
    </comment>
    <comment ref="C16" authorId="0">
      <text>
        <r>
          <rPr>
            <sz val="9"/>
            <color indexed="81"/>
            <rFont val="Calibri"/>
            <family val="2"/>
          </rPr>
          <t>We assume hedged price rises at interest rate after 2025, based on buying gas in 2025 and storing it in a well (for free) until the time of use.</t>
        </r>
      </text>
    </comment>
    <comment ref="A39" authorId="1">
      <text>
        <r>
          <rPr>
            <sz val="10"/>
            <color indexed="81"/>
            <rFont val="Calibri"/>
          </rPr>
          <t>From Table 2 of "HG Response to PSIP File Stamped 1-15-16.pdf" e-mailed by Barbara Treat 6/3/16</t>
        </r>
      </text>
    </comment>
    <comment ref="J42" authorId="0">
      <text>
        <r>
          <rPr>
            <sz val="9"/>
            <color indexed="81"/>
            <rFont val="Calibri"/>
            <family val="2"/>
          </rPr>
          <t>We use the same inflation rate as for capital costs, so all costs are in the same real terms.</t>
        </r>
      </text>
    </comment>
    <comment ref="F46" authorId="1">
      <text>
        <r>
          <rPr>
            <sz val="10"/>
            <color indexed="81"/>
            <rFont val="Calibri"/>
          </rPr>
          <t>All data from Exhibit J of "Application of Hawaiian Electric Company, Inc., Hawai'i Electric Light Company, Inc., and Maui Electric Company, Limited; Verification; Exhibits A-T; Testimonies T-1 through T-9; Book 1 of 3", Hawaii PUC Docket Number 2016-0135, 2016-05-18</t>
        </r>
      </text>
    </comment>
    <comment ref="G54" authorId="1">
      <text>
        <r>
          <rPr>
            <sz val="10"/>
            <color indexed="81"/>
            <rFont val="Calibri"/>
          </rPr>
          <t>based on max Oahu share from p. 78 of HECO LNG application  2016-05-18</t>
        </r>
      </text>
    </comment>
    <comment ref="B56" authorId="1">
      <text>
        <r>
          <rPr>
            <sz val="10"/>
            <color indexed="81"/>
            <rFont val="Calibri"/>
          </rPr>
          <t>From phone call with Barbara Treat at Hawaii Gas 6/3/16; also matches reported cost of $0.70/MMBtu.</t>
        </r>
      </text>
    </comment>
    <comment ref="F59" authorId="1">
      <text>
        <r>
          <rPr>
            <sz val="10"/>
            <color indexed="81"/>
            <rFont val="Calibri"/>
          </rPr>
          <t>$/MMBtu, at full utilization</t>
        </r>
      </text>
    </comment>
  </commentList>
</comments>
</file>

<file path=xl/comments2.xml><?xml version="1.0" encoding="utf-8"?>
<comments xmlns="http://schemas.openxmlformats.org/spreadsheetml/2006/main">
  <authors>
    <author>Matthias Fripp</author>
  </authors>
  <commentList>
    <comment ref="D2" authorId="0">
      <text>
        <r>
          <rPr>
            <sz val="10"/>
            <color indexed="81"/>
            <rFont val="Calibri"/>
          </rPr>
          <t>This is the year-ahead cost of LOOP storage futures as of 11/22/16 
http://www.cmegroup.com/trading/energy/crude-oil/loop-crude-oil-storage.html</t>
        </r>
      </text>
    </comment>
    <comment ref="B6" authorId="0">
      <text>
        <r>
          <rPr>
            <sz val="10"/>
            <color indexed="81"/>
            <rFont val="Calibri"/>
          </rPr>
          <t>Brent Crude price for 10/16 from https://www.eia.gov/dnav/pet/pet_pri_spt_s1_m.htm</t>
        </r>
      </text>
    </comment>
    <comment ref="P6" authorId="0">
      <text>
        <r>
          <rPr>
            <sz val="9"/>
            <color indexed="81"/>
            <rFont val="Calibri"/>
            <family val="2"/>
          </rPr>
          <t>Roughly equivalent to $5.00 production cost, $2.50 taxes and $2.50 admin/transport; see http://graphics.wsj.com/oil-barrel-breakdown/</t>
        </r>
      </text>
    </comment>
  </commentList>
</comments>
</file>

<file path=xl/sharedStrings.xml><?xml version="1.0" encoding="utf-8"?>
<sst xmlns="http://schemas.openxmlformats.org/spreadsheetml/2006/main" count="85" uniqueCount="69">
  <si>
    <t>Hawaii Gas price formula</t>
  </si>
  <si>
    <t>Brent price</t>
  </si>
  <si>
    <t>Brent price $/mmBtu</t>
  </si>
  <si>
    <t>calculated</t>
  </si>
  <si>
    <t>volume (MMBtu/year)</t>
  </si>
  <si>
    <t>cost per unit</t>
  </si>
  <si>
    <t>FSRU charter</t>
  </si>
  <si>
    <t>MMBtu</t>
  </si>
  <si>
    <t>conversion table from http://www.beg.utexas.edu/energyecon/lng/LNG_introduction_12.php based on BP Statistical Review of U.S. Energy June 2002</t>
  </si>
  <si>
    <t>unit</t>
  </si>
  <si>
    <t>1e9 cubic feet</t>
  </si>
  <si>
    <t>1e6 tons LNG</t>
  </si>
  <si>
    <t>LNG into FSRU price</t>
  </si>
  <si>
    <t>Diesel</t>
  </si>
  <si>
    <t>LSFO</t>
  </si>
  <si>
    <t>Biodiesel</t>
  </si>
  <si>
    <t>LNG</t>
  </si>
  <si>
    <t>HG</t>
  </si>
  <si>
    <t>HECO</t>
  </si>
  <si>
    <t>tier</t>
  </si>
  <si>
    <t>bulk</t>
  </si>
  <si>
    <t>container</t>
  </si>
  <si>
    <t>base</t>
  </si>
  <si>
    <t>Btu/ton gas</t>
  </si>
  <si>
    <t>http://energy.gov/sites/prod/files/2013/04/f0/LNG_primerupd.pdf p. 9</t>
  </si>
  <si>
    <t>max_avail_at_cost</t>
  </si>
  <si>
    <t>finance term (years)</t>
  </si>
  <si>
    <t>cost</t>
  </si>
  <si>
    <t>MW</t>
  </si>
  <si>
    <t>K5, K6, CC receiving</t>
  </si>
  <si>
    <t>K5 &amp; K6 burners</t>
  </si>
  <si>
    <t>Kalaeloa receiving</t>
  </si>
  <si>
    <t>HECO Oahu conversion cost</t>
  </si>
  <si>
    <t>ISO containers (Oahu)</t>
  </si>
  <si>
    <t>Annual cost</t>
  </si>
  <si>
    <t>Total per year</t>
  </si>
  <si>
    <t>Max vol (MMBtu/y)</t>
  </si>
  <si>
    <t>Total Oahu capital</t>
  </si>
  <si>
    <t>fuel_type</t>
  </si>
  <si>
    <t>pipeline pmt</t>
  </si>
  <si>
    <t>base financial year</t>
  </si>
  <si>
    <t>inflation rate</t>
  </si>
  <si>
    <t>Coal</t>
  </si>
  <si>
    <t>Pellet-Biomass</t>
  </si>
  <si>
    <t>inflation</t>
  </si>
  <si>
    <t>interest</t>
  </si>
  <si>
    <t>oil purchase</t>
  </si>
  <si>
    <t>storage</t>
  </si>
  <si>
    <t>total required to date</t>
  </si>
  <si>
    <t>real price</t>
  </si>
  <si>
    <t>profit</t>
  </si>
  <si>
    <t>total</t>
  </si>
  <si>
    <t>Hotelling's rule</t>
  </si>
  <si>
    <t>multiplier (2029-45)</t>
  </si>
  <si>
    <t>pumping cost</t>
  </si>
  <si>
    <t>thing</t>
  </si>
  <si>
    <t>term</t>
  </si>
  <si>
    <t>fixed cost, all terms</t>
  </si>
  <si>
    <t>Hedged Brent Crude (nominal $/bbl)</t>
  </si>
  <si>
    <t>storage cost per year</t>
  </si>
  <si>
    <t>base year</t>
  </si>
  <si>
    <t>storage-based hedge (per bbl)</t>
  </si>
  <si>
    <t>late-start storage-based hedge (per bbl)</t>
  </si>
  <si>
    <t>Brent Crude (real $/bbl)</t>
  </si>
  <si>
    <t>Henry Hub (real $/MMBtul)</t>
  </si>
  <si>
    <t>interest rate (real)</t>
  </si>
  <si>
    <t>interest rate (nominal)</t>
  </si>
  <si>
    <t>Product prices (real)</t>
  </si>
  <si>
    <t>Hedged Henry Hub (nominal $/MMBtu)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</si>
</sst>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  <numFmt numFmtId="166" formatCode="0.0%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sz val="12"/>
      <color rgb="FF0000FF"/>
      <name val="Calibri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sz val="12"/>
      <color rgb="FF0070C0"/>
      <name val="Calibri"/>
      <family val="2"/>
      <scheme val="minor"/>
    </font>
    <font>
      <b/>
      <sz val="12"/>
      <color rgb="FF0070C0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2" fontId="4" fillId="0" borderId="0" xfId="0" applyNumberFormat="1" applyFont="1"/>
    <xf numFmtId="2" fontId="0" fillId="0" borderId="0" xfId="0" applyNumberFormat="1"/>
    <xf numFmtId="8" fontId="0" fillId="0" borderId="0" xfId="0" applyNumberFormat="1"/>
    <xf numFmtId="11" fontId="0" fillId="0" borderId="0" xfId="0" applyNumberFormat="1"/>
    <xf numFmtId="164" fontId="0" fillId="0" borderId="0" xfId="0" applyNumberFormat="1"/>
    <xf numFmtId="6" fontId="0" fillId="0" borderId="0" xfId="0" applyNumberFormat="1"/>
    <xf numFmtId="0" fontId="7" fillId="0" borderId="0" xfId="0" applyFont="1"/>
    <xf numFmtId="0" fontId="5" fillId="0" borderId="0" xfId="0" applyFont="1"/>
    <xf numFmtId="0" fontId="8" fillId="0" borderId="0" xfId="0" applyFont="1"/>
    <xf numFmtId="2" fontId="8" fillId="0" borderId="0" xfId="0" applyNumberFormat="1" applyFont="1"/>
    <xf numFmtId="3" fontId="0" fillId="0" borderId="0" xfId="0" applyNumberFormat="1"/>
    <xf numFmtId="8" fontId="5" fillId="0" borderId="0" xfId="0" applyNumberFormat="1" applyFont="1"/>
    <xf numFmtId="6" fontId="5" fillId="0" borderId="0" xfId="0" applyNumberFormat="1" applyFont="1"/>
    <xf numFmtId="10" fontId="0" fillId="0" borderId="0" xfId="0" applyNumberFormat="1"/>
    <xf numFmtId="166" fontId="0" fillId="0" borderId="0" xfId="0" applyNumberFormat="1"/>
    <xf numFmtId="0" fontId="9" fillId="0" borderId="0" xfId="0" applyFont="1"/>
    <xf numFmtId="165" fontId="9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33681102362205"/>
          <c:y val="0.0601851851851852"/>
          <c:w val="0.892349956255468"/>
          <c:h val="0.803654228004108"/>
        </c:manualLayout>
      </c:layout>
      <c:lineChart>
        <c:grouping val="standard"/>
        <c:varyColors val="0"/>
        <c:ser>
          <c:idx val="0"/>
          <c:order val="0"/>
          <c:tx>
            <c:strRef>
              <c:f>'hedged hubs'!$I$4</c:f>
              <c:strCache>
                <c:ptCount val="1"/>
                <c:pt idx="0">
                  <c:v>bulk</c:v>
                </c:pt>
              </c:strCache>
            </c:strRef>
          </c:tx>
          <c:marker>
            <c:symbol val="none"/>
          </c:marker>
          <c:cat>
            <c:numRef>
              <c:f>'hedged hubs'!$H$5:$H$35</c:f>
              <c:numCache>
                <c:formatCode>General</c:formatCode>
                <c:ptCount val="31"/>
                <c:pt idx="0">
                  <c:v>2015.0</c:v>
                </c:pt>
                <c:pt idx="1">
                  <c:v>2016.0</c:v>
                </c:pt>
                <c:pt idx="2">
                  <c:v>2017.0</c:v>
                </c:pt>
                <c:pt idx="3">
                  <c:v>2018.0</c:v>
                </c:pt>
                <c:pt idx="4">
                  <c:v>2019.0</c:v>
                </c:pt>
                <c:pt idx="5">
                  <c:v>2020.0</c:v>
                </c:pt>
                <c:pt idx="6">
                  <c:v>2021.0</c:v>
                </c:pt>
                <c:pt idx="7">
                  <c:v>2022.0</c:v>
                </c:pt>
                <c:pt idx="8">
                  <c:v>2023.0</c:v>
                </c:pt>
                <c:pt idx="9">
                  <c:v>2024.0</c:v>
                </c:pt>
                <c:pt idx="10">
                  <c:v>2025.0</c:v>
                </c:pt>
                <c:pt idx="11">
                  <c:v>2026.0</c:v>
                </c:pt>
                <c:pt idx="12">
                  <c:v>2027.0</c:v>
                </c:pt>
                <c:pt idx="13">
                  <c:v>2028.0</c:v>
                </c:pt>
                <c:pt idx="14">
                  <c:v>2029.0</c:v>
                </c:pt>
                <c:pt idx="15">
                  <c:v>2030.0</c:v>
                </c:pt>
                <c:pt idx="16">
                  <c:v>2031.0</c:v>
                </c:pt>
                <c:pt idx="17">
                  <c:v>2032.0</c:v>
                </c:pt>
                <c:pt idx="18">
                  <c:v>2033.0</c:v>
                </c:pt>
                <c:pt idx="19">
                  <c:v>2034.0</c:v>
                </c:pt>
                <c:pt idx="20">
                  <c:v>2035.0</c:v>
                </c:pt>
                <c:pt idx="21">
                  <c:v>2036.0</c:v>
                </c:pt>
                <c:pt idx="22">
                  <c:v>2037.0</c:v>
                </c:pt>
                <c:pt idx="23">
                  <c:v>2038.0</c:v>
                </c:pt>
                <c:pt idx="24">
                  <c:v>2039.0</c:v>
                </c:pt>
                <c:pt idx="25">
                  <c:v>2040.0</c:v>
                </c:pt>
                <c:pt idx="26">
                  <c:v>2041.0</c:v>
                </c:pt>
                <c:pt idx="27">
                  <c:v>2042.0</c:v>
                </c:pt>
                <c:pt idx="28">
                  <c:v>2043.0</c:v>
                </c:pt>
                <c:pt idx="29">
                  <c:v>2044.0</c:v>
                </c:pt>
                <c:pt idx="30">
                  <c:v>2045.0</c:v>
                </c:pt>
              </c:numCache>
            </c:numRef>
          </c:cat>
          <c:val>
            <c:numRef>
              <c:f>'hedged hubs'!$I$5:$I$35</c:f>
              <c:numCache>
                <c:formatCode>0.00</c:formatCode>
                <c:ptCount val="31"/>
                <c:pt idx="0">
                  <c:v>7.551892608</c:v>
                </c:pt>
                <c:pt idx="1">
                  <c:v>7.087774</c:v>
                </c:pt>
                <c:pt idx="2">
                  <c:v>7.342322003929272</c:v>
                </c:pt>
                <c:pt idx="3">
                  <c:v>7.518907291928007</c:v>
                </c:pt>
                <c:pt idx="4">
                  <c:v>7.589801638454901</c:v>
                </c:pt>
                <c:pt idx="5">
                  <c:v>7.633638064546093</c:v>
                </c:pt>
                <c:pt idx="6">
                  <c:v>7.684665938731493</c:v>
                </c:pt>
                <c:pt idx="7">
                  <c:v>7.731644029387746</c:v>
                </c:pt>
                <c:pt idx="8">
                  <c:v>7.741757311222358</c:v>
                </c:pt>
                <c:pt idx="9">
                  <c:v>7.699541628269492</c:v>
                </c:pt>
                <c:pt idx="10">
                  <c:v>8.454308125965663</c:v>
                </c:pt>
                <c:pt idx="11">
                  <c:v>9.254360613523601</c:v>
                </c:pt>
                <c:pt idx="12">
                  <c:v>10.10241625033502</c:v>
                </c:pt>
                <c:pt idx="13">
                  <c:v>11.00135522535512</c:v>
                </c:pt>
                <c:pt idx="14">
                  <c:v>11.95423053887643</c:v>
                </c:pt>
                <c:pt idx="15">
                  <c:v>12.96427837120901</c:v>
                </c:pt>
                <c:pt idx="16">
                  <c:v>14.03492907348155</c:v>
                </c:pt>
                <c:pt idx="17">
                  <c:v>15.16981881789045</c:v>
                </c:pt>
                <c:pt idx="18">
                  <c:v>16.37280194696388</c:v>
                </c:pt>
                <c:pt idx="19">
                  <c:v>17.64796406378171</c:v>
                </c:pt>
                <c:pt idx="20">
                  <c:v>18.99963590760862</c:v>
                </c:pt>
                <c:pt idx="21">
                  <c:v>20.43240806206513</c:v>
                </c:pt>
                <c:pt idx="22">
                  <c:v>21.95114654578904</c:v>
                </c:pt>
                <c:pt idx="23">
                  <c:v>23.56100933853638</c:v>
                </c:pt>
                <c:pt idx="24">
                  <c:v>25.26746389884856</c:v>
                </c:pt>
                <c:pt idx="25">
                  <c:v>27.07630573277948</c:v>
                </c:pt>
                <c:pt idx="26">
                  <c:v>28.99367807674625</c:v>
                </c:pt>
                <c:pt idx="27">
                  <c:v>31.02609276135102</c:v>
                </c:pt>
                <c:pt idx="28">
                  <c:v>33.18045232703208</c:v>
                </c:pt>
                <c:pt idx="29">
                  <c:v>35.46407346665401</c:v>
                </c:pt>
                <c:pt idx="30">
                  <c:v>37.88471187465324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'hedged hubs'!$J$4</c:f>
              <c:strCache>
                <c:ptCount val="1"/>
                <c:pt idx="0">
                  <c:v>container</c:v>
                </c:pt>
              </c:strCache>
            </c:strRef>
          </c:tx>
          <c:marker>
            <c:symbol val="none"/>
          </c:marker>
          <c:cat>
            <c:numRef>
              <c:f>'hedged hubs'!$H$5:$H$35</c:f>
              <c:numCache>
                <c:formatCode>General</c:formatCode>
                <c:ptCount val="31"/>
                <c:pt idx="0">
                  <c:v>2015.0</c:v>
                </c:pt>
                <c:pt idx="1">
                  <c:v>2016.0</c:v>
                </c:pt>
                <c:pt idx="2">
                  <c:v>2017.0</c:v>
                </c:pt>
                <c:pt idx="3">
                  <c:v>2018.0</c:v>
                </c:pt>
                <c:pt idx="4">
                  <c:v>2019.0</c:v>
                </c:pt>
                <c:pt idx="5">
                  <c:v>2020.0</c:v>
                </c:pt>
                <c:pt idx="6">
                  <c:v>2021.0</c:v>
                </c:pt>
                <c:pt idx="7">
                  <c:v>2022.0</c:v>
                </c:pt>
                <c:pt idx="8">
                  <c:v>2023.0</c:v>
                </c:pt>
                <c:pt idx="9">
                  <c:v>2024.0</c:v>
                </c:pt>
                <c:pt idx="10">
                  <c:v>2025.0</c:v>
                </c:pt>
                <c:pt idx="11">
                  <c:v>2026.0</c:v>
                </c:pt>
                <c:pt idx="12">
                  <c:v>2027.0</c:v>
                </c:pt>
                <c:pt idx="13">
                  <c:v>2028.0</c:v>
                </c:pt>
                <c:pt idx="14">
                  <c:v>2029.0</c:v>
                </c:pt>
                <c:pt idx="15">
                  <c:v>2030.0</c:v>
                </c:pt>
                <c:pt idx="16">
                  <c:v>2031.0</c:v>
                </c:pt>
                <c:pt idx="17">
                  <c:v>2032.0</c:v>
                </c:pt>
                <c:pt idx="18">
                  <c:v>2033.0</c:v>
                </c:pt>
                <c:pt idx="19">
                  <c:v>2034.0</c:v>
                </c:pt>
                <c:pt idx="20">
                  <c:v>2035.0</c:v>
                </c:pt>
                <c:pt idx="21">
                  <c:v>2036.0</c:v>
                </c:pt>
                <c:pt idx="22">
                  <c:v>2037.0</c:v>
                </c:pt>
                <c:pt idx="23">
                  <c:v>2038.0</c:v>
                </c:pt>
                <c:pt idx="24">
                  <c:v>2039.0</c:v>
                </c:pt>
                <c:pt idx="25">
                  <c:v>2040.0</c:v>
                </c:pt>
                <c:pt idx="26">
                  <c:v>2041.0</c:v>
                </c:pt>
                <c:pt idx="27">
                  <c:v>2042.0</c:v>
                </c:pt>
                <c:pt idx="28">
                  <c:v>2043.0</c:v>
                </c:pt>
                <c:pt idx="29">
                  <c:v>2044.0</c:v>
                </c:pt>
                <c:pt idx="30">
                  <c:v>2045.0</c:v>
                </c:pt>
              </c:numCache>
            </c:numRef>
          </c:cat>
          <c:val>
            <c:numRef>
              <c:f>'hedged hubs'!$J$5:$J$35</c:f>
              <c:numCache>
                <c:formatCode>0.00</c:formatCode>
                <c:ptCount val="31"/>
                <c:pt idx="0">
                  <c:v>10.757668712</c:v>
                </c:pt>
                <c:pt idx="1">
                  <c:v>11.245136</c:v>
                </c:pt>
                <c:pt idx="2">
                  <c:v>11.328342043222</c:v>
                </c:pt>
                <c:pt idx="3">
                  <c:v>10.87939597153014</c:v>
                </c:pt>
                <c:pt idx="4">
                  <c:v>10.72990901813982</c:v>
                </c:pt>
                <c:pt idx="5">
                  <c:v>10.63660279774325</c:v>
                </c:pt>
                <c:pt idx="6">
                  <c:v>10.62084262782181</c:v>
                </c:pt>
                <c:pt idx="7">
                  <c:v>10.64217904523323</c:v>
                </c:pt>
                <c:pt idx="8">
                  <c:v>10.775651990397</c:v>
                </c:pt>
                <c:pt idx="9">
                  <c:v>10.91530023864916</c:v>
                </c:pt>
                <c:pt idx="10">
                  <c:v>11.06595696769633</c:v>
                </c:pt>
                <c:pt idx="11">
                  <c:v>11.33381238575811</c:v>
                </c:pt>
                <c:pt idx="12">
                  <c:v>11.6177391289036</c:v>
                </c:pt>
                <c:pt idx="13">
                  <c:v>11.91870147663781</c:v>
                </c:pt>
                <c:pt idx="14">
                  <c:v>12.23772156523608</c:v>
                </c:pt>
                <c:pt idx="15">
                  <c:v>12.57588285915025</c:v>
                </c:pt>
                <c:pt idx="16">
                  <c:v>12.93433383069926</c:v>
                </c:pt>
                <c:pt idx="17">
                  <c:v>13.31429186054122</c:v>
                </c:pt>
                <c:pt idx="18">
                  <c:v>13.7170473721737</c:v>
                </c:pt>
                <c:pt idx="19">
                  <c:v>14.14396821450411</c:v>
                </c:pt>
                <c:pt idx="20">
                  <c:v>14.59650430737436</c:v>
                </c:pt>
                <c:pt idx="21">
                  <c:v>15.07619256581682</c:v>
                </c:pt>
                <c:pt idx="22">
                  <c:v>15.58466211976583</c:v>
                </c:pt>
                <c:pt idx="23">
                  <c:v>16.12363984695178</c:v>
                </c:pt>
                <c:pt idx="24">
                  <c:v>16.69495623776888</c:v>
                </c:pt>
                <c:pt idx="25">
                  <c:v>17.30055161203502</c:v>
                </c:pt>
                <c:pt idx="26">
                  <c:v>17.94248270875712</c:v>
                </c:pt>
                <c:pt idx="27">
                  <c:v>18.62292967128255</c:v>
                </c:pt>
                <c:pt idx="28">
                  <c:v>19.3442034515595</c:v>
                </c:pt>
                <c:pt idx="29">
                  <c:v>20.10875365865308</c:v>
                </c:pt>
                <c:pt idx="30">
                  <c:v>20.91917687817226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3998744"/>
        <c:axId val="1852725272"/>
      </c:lineChart>
      <c:catAx>
        <c:axId val="-2023998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852725272"/>
        <c:crosses val="autoZero"/>
        <c:auto val="1"/>
        <c:lblAlgn val="ctr"/>
        <c:lblOffset val="100"/>
        <c:noMultiLvlLbl val="0"/>
      </c:catAx>
      <c:valAx>
        <c:axId val="1852725272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-20239987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72718722659667"/>
          <c:y val="0.670528579760863"/>
          <c:w val="0.402281277340332"/>
          <c:h val="0.20060950714494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'hedged hubs'!$C$40</c:f>
              <c:strCache>
                <c:ptCount val="1"/>
                <c:pt idx="0">
                  <c:v>LNG into FSRU price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6803587051619"/>
                  <c:y val="-0.0004166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'hedged hubs'!$A$41:$A$51</c:f>
              <c:numCache>
                <c:formatCode>General</c:formatCode>
                <c:ptCount val="11"/>
                <c:pt idx="0">
                  <c:v>20.0</c:v>
                </c:pt>
                <c:pt idx="1">
                  <c:v>30.0</c:v>
                </c:pt>
                <c:pt idx="2">
                  <c:v>40.0</c:v>
                </c:pt>
                <c:pt idx="3">
                  <c:v>50.0</c:v>
                </c:pt>
                <c:pt idx="4">
                  <c:v>60.0</c:v>
                </c:pt>
                <c:pt idx="5">
                  <c:v>70.0</c:v>
                </c:pt>
                <c:pt idx="6">
                  <c:v>80.0</c:v>
                </c:pt>
                <c:pt idx="7">
                  <c:v>90.0</c:v>
                </c:pt>
                <c:pt idx="8">
                  <c:v>100.0</c:v>
                </c:pt>
                <c:pt idx="9">
                  <c:v>110.0</c:v>
                </c:pt>
                <c:pt idx="10">
                  <c:v>120.0</c:v>
                </c:pt>
              </c:numCache>
            </c:numRef>
          </c:xVal>
          <c:yVal>
            <c:numRef>
              <c:f>'hedged hubs'!$C$41:$C$51</c:f>
              <c:numCache>
                <c:formatCode>General</c:formatCode>
                <c:ptCount val="11"/>
                <c:pt idx="0">
                  <c:v>3.12</c:v>
                </c:pt>
                <c:pt idx="1">
                  <c:v>4.45</c:v>
                </c:pt>
                <c:pt idx="2">
                  <c:v>5.78</c:v>
                </c:pt>
                <c:pt idx="3">
                  <c:v>7.12</c:v>
                </c:pt>
                <c:pt idx="4">
                  <c:v>8.45</c:v>
                </c:pt>
                <c:pt idx="5">
                  <c:v>9.78</c:v>
                </c:pt>
                <c:pt idx="6">
                  <c:v>11.11</c:v>
                </c:pt>
                <c:pt idx="7">
                  <c:v>12.45</c:v>
                </c:pt>
                <c:pt idx="8">
                  <c:v>13.78</c:v>
                </c:pt>
                <c:pt idx="9">
                  <c:v>15.11</c:v>
                </c:pt>
                <c:pt idx="10">
                  <c:v>16.45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583064"/>
        <c:axId val="-2059098312"/>
      </c:scatterChart>
      <c:valAx>
        <c:axId val="185158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9098312"/>
        <c:crosses val="autoZero"/>
        <c:crossBetween val="midCat"/>
      </c:valAx>
      <c:valAx>
        <c:axId val="-205909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583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152400</xdr:colOff>
      <xdr:row>15</xdr:row>
      <xdr:rowOff>139700</xdr:rowOff>
    </xdr:from>
    <xdr:to>
      <xdr:col>21</xdr:col>
      <xdr:colOff>596900</xdr:colOff>
      <xdr:row>30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615950</xdr:colOff>
      <xdr:row>43</xdr:row>
      <xdr:rowOff>184150</xdr:rowOff>
    </xdr:from>
    <xdr:to>
      <xdr:col>20</xdr:col>
      <xdr:colOff>50800</xdr:colOff>
      <xdr:row>58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CO%20fuel%20cost%20forecasts%20PSIP%202016-0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NG details"/>
      <sheetName val="2016 PSIP"/>
      <sheetName val="multi-fuel forecasts"/>
      <sheetName val="EIA AEO 2015"/>
      <sheetName val="EIA-derived"/>
    </sheetNames>
    <sheetDataSet>
      <sheetData sheetId="0"/>
      <sheetData sheetId="1"/>
      <sheetData sheetId="2"/>
      <sheetData sheetId="3"/>
      <sheetData sheetId="4">
        <row r="56">
          <cell r="B56">
            <v>2.5000000000000001E-2</v>
          </cell>
        </row>
        <row r="61">
          <cell r="B61">
            <v>2015</v>
          </cell>
          <cell r="C61">
            <v>2016</v>
          </cell>
          <cell r="D61">
            <v>2017</v>
          </cell>
          <cell r="E61">
            <v>2018</v>
          </cell>
          <cell r="F61">
            <v>2019</v>
          </cell>
          <cell r="G61">
            <v>2020</v>
          </cell>
          <cell r="H61">
            <v>2021</v>
          </cell>
          <cell r="I61">
            <v>2022</v>
          </cell>
          <cell r="J61">
            <v>2023</v>
          </cell>
          <cell r="K61">
            <v>2024</v>
          </cell>
          <cell r="L61">
            <v>2025</v>
          </cell>
          <cell r="M61">
            <v>2026</v>
          </cell>
          <cell r="N61">
            <v>2027</v>
          </cell>
          <cell r="O61">
            <v>2028</v>
          </cell>
          <cell r="P61">
            <v>2029</v>
          </cell>
          <cell r="Q61">
            <v>2030</v>
          </cell>
          <cell r="R61">
            <v>2031</v>
          </cell>
          <cell r="S61">
            <v>2032</v>
          </cell>
          <cell r="T61">
            <v>2033</v>
          </cell>
          <cell r="U61">
            <v>2034</v>
          </cell>
          <cell r="V61">
            <v>2035</v>
          </cell>
          <cell r="W61">
            <v>2036</v>
          </cell>
          <cell r="X61">
            <v>2037</v>
          </cell>
          <cell r="Y61">
            <v>2038</v>
          </cell>
          <cell r="Z61">
            <v>2039</v>
          </cell>
          <cell r="AA61">
            <v>2040</v>
          </cell>
          <cell r="AB61">
            <v>2041</v>
          </cell>
          <cell r="AC61">
            <v>2042</v>
          </cell>
          <cell r="AD61">
            <v>2043</v>
          </cell>
          <cell r="AE61">
            <v>2044</v>
          </cell>
          <cell r="AF61">
            <v>2045</v>
          </cell>
          <cell r="AG61">
            <v>2046</v>
          </cell>
          <cell r="AH61">
            <v>2047</v>
          </cell>
          <cell r="AI61">
            <v>2048</v>
          </cell>
          <cell r="AJ61">
            <v>2049</v>
          </cell>
          <cell r="AK61">
            <v>2050</v>
          </cell>
        </row>
        <row r="67">
          <cell r="B67">
            <v>2.5509999999999997</v>
          </cell>
          <cell r="C67">
            <v>2.5409999999999999</v>
          </cell>
          <cell r="D67">
            <v>2.5609999999999999</v>
          </cell>
          <cell r="E67">
            <v>2.5909999999999997</v>
          </cell>
          <cell r="F67">
            <v>2.6309999999999998</v>
          </cell>
          <cell r="G67">
            <v>2.6709999999999998</v>
          </cell>
          <cell r="H67">
            <v>2.7109999999999999</v>
          </cell>
          <cell r="I67">
            <v>2.7410000000000001</v>
          </cell>
          <cell r="J67">
            <v>2.7709999999999999</v>
          </cell>
          <cell r="K67">
            <v>2.8009999999999997</v>
          </cell>
          <cell r="L67">
            <v>2.831</v>
          </cell>
          <cell r="M67">
            <v>2.8609999999999998</v>
          </cell>
          <cell r="N67">
            <v>2.891</v>
          </cell>
          <cell r="O67">
            <v>2.911</v>
          </cell>
          <cell r="P67">
            <v>2.9409999999999998</v>
          </cell>
          <cell r="Q67">
            <v>2.9609999999999999</v>
          </cell>
          <cell r="R67">
            <v>2.9809999999999999</v>
          </cell>
          <cell r="S67">
            <v>3.0009999999999999</v>
          </cell>
          <cell r="T67">
            <v>3.0310000000000001</v>
          </cell>
          <cell r="U67">
            <v>3.0509999999999997</v>
          </cell>
          <cell r="V67">
            <v>3.081</v>
          </cell>
          <cell r="W67">
            <v>3.101</v>
          </cell>
          <cell r="X67">
            <v>3.1309999999999998</v>
          </cell>
          <cell r="Y67">
            <v>3.1509999999999998</v>
          </cell>
          <cell r="Z67">
            <v>3.181</v>
          </cell>
          <cell r="AA67">
            <v>3.2109999999999999</v>
          </cell>
          <cell r="AB67">
            <v>3.2374000000000001</v>
          </cell>
          <cell r="AC67">
            <v>3.2638000000000003</v>
          </cell>
          <cell r="AD67">
            <v>3.2902000000000005</v>
          </cell>
          <cell r="AE67">
            <v>3.3166000000000007</v>
          </cell>
          <cell r="AF67">
            <v>3.3430000000000009</v>
          </cell>
          <cell r="AG67">
            <v>3.3694000000000011</v>
          </cell>
          <cell r="AH67">
            <v>3.3958000000000013</v>
          </cell>
          <cell r="AI67">
            <v>3.4222000000000015</v>
          </cell>
          <cell r="AJ67">
            <v>3.4486000000000017</v>
          </cell>
          <cell r="AK67">
            <v>3.4750000000000019</v>
          </cell>
        </row>
        <row r="68">
          <cell r="B68">
            <v>13</v>
          </cell>
          <cell r="C68">
            <v>13</v>
          </cell>
          <cell r="D68">
            <v>13</v>
          </cell>
          <cell r="E68">
            <v>13</v>
          </cell>
          <cell r="F68">
            <v>13</v>
          </cell>
          <cell r="G68">
            <v>13</v>
          </cell>
          <cell r="H68">
            <v>13</v>
          </cell>
          <cell r="I68">
            <v>13</v>
          </cell>
          <cell r="J68">
            <v>13</v>
          </cell>
          <cell r="K68">
            <v>13</v>
          </cell>
          <cell r="L68">
            <v>13</v>
          </cell>
          <cell r="M68">
            <v>13</v>
          </cell>
          <cell r="N68">
            <v>13</v>
          </cell>
          <cell r="O68">
            <v>13</v>
          </cell>
          <cell r="P68">
            <v>13</v>
          </cell>
          <cell r="Q68">
            <v>13</v>
          </cell>
          <cell r="R68">
            <v>13</v>
          </cell>
          <cell r="S68">
            <v>13</v>
          </cell>
          <cell r="T68">
            <v>13</v>
          </cell>
          <cell r="U68">
            <v>13</v>
          </cell>
          <cell r="V68">
            <v>13</v>
          </cell>
          <cell r="W68">
            <v>13</v>
          </cell>
          <cell r="X68">
            <v>13</v>
          </cell>
          <cell r="Y68">
            <v>13</v>
          </cell>
          <cell r="Z68">
            <v>13</v>
          </cell>
          <cell r="AA68">
            <v>13</v>
          </cell>
          <cell r="AB68">
            <v>13</v>
          </cell>
          <cell r="AC68">
            <v>13</v>
          </cell>
          <cell r="AD68">
            <v>13</v>
          </cell>
          <cell r="AE68">
            <v>13</v>
          </cell>
          <cell r="AF68">
            <v>13</v>
          </cell>
          <cell r="AG68">
            <v>13</v>
          </cell>
          <cell r="AH68">
            <v>13</v>
          </cell>
          <cell r="AI68">
            <v>13</v>
          </cell>
          <cell r="AJ68">
            <v>13</v>
          </cell>
          <cell r="AK68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4"/>
  <sheetViews>
    <sheetView tabSelected="1" workbookViewId="0">
      <selection activeCell="W25" sqref="W25"/>
    </sheetView>
  </sheetViews>
  <sheetFormatPr baseColWidth="10" defaultRowHeight="15" x14ac:dyDescent="0"/>
  <cols>
    <col min="2" max="2" width="15.33203125" bestFit="1" customWidth="1"/>
    <col min="3" max="3" width="11.83203125" bestFit="1" customWidth="1"/>
    <col min="6" max="6" width="15.33203125" customWidth="1"/>
    <col min="7" max="7" width="14.6640625" customWidth="1"/>
    <col min="31" max="37" width="7.83203125" customWidth="1"/>
  </cols>
  <sheetData>
    <row r="1" spans="1:32">
      <c r="H1" t="s">
        <v>67</v>
      </c>
    </row>
    <row r="2" spans="1:32">
      <c r="I2" t="s">
        <v>17</v>
      </c>
      <c r="J2" t="s">
        <v>18</v>
      </c>
    </row>
    <row r="3" spans="1:32">
      <c r="H3" t="s">
        <v>38</v>
      </c>
      <c r="I3" t="s">
        <v>16</v>
      </c>
      <c r="J3" t="s">
        <v>16</v>
      </c>
      <c r="K3" t="s">
        <v>14</v>
      </c>
      <c r="L3" t="s">
        <v>13</v>
      </c>
      <c r="M3" t="s">
        <v>15</v>
      </c>
      <c r="N3" t="s">
        <v>42</v>
      </c>
      <c r="O3" t="s">
        <v>43</v>
      </c>
      <c r="Q3" t="str">
        <f t="shared" ref="Q3:X3" si="0">H3</f>
        <v>fuel_type</v>
      </c>
      <c r="R3" t="str">
        <f t="shared" si="0"/>
        <v>LNG</v>
      </c>
      <c r="S3" t="str">
        <f t="shared" si="0"/>
        <v>LNG</v>
      </c>
      <c r="T3" t="str">
        <f t="shared" si="0"/>
        <v>LSFO</v>
      </c>
      <c r="U3" t="str">
        <f t="shared" si="0"/>
        <v>Diesel</v>
      </c>
      <c r="V3" t="str">
        <f t="shared" si="0"/>
        <v>Biodiesel</v>
      </c>
      <c r="W3" t="str">
        <f t="shared" si="0"/>
        <v>Coal</v>
      </c>
      <c r="X3" t="str">
        <f t="shared" si="0"/>
        <v>Pellet-Biomass</v>
      </c>
      <c r="Z3" s="16"/>
      <c r="AA3" s="16" t="str">
        <f t="shared" ref="AA3:AF3" si="1">S3</f>
        <v>LNG</v>
      </c>
      <c r="AB3" s="16" t="str">
        <f t="shared" si="1"/>
        <v>LSFO</v>
      </c>
      <c r="AC3" s="16" t="str">
        <f t="shared" si="1"/>
        <v>Diesel</v>
      </c>
      <c r="AD3" s="16" t="str">
        <f t="shared" si="1"/>
        <v>Biodiesel</v>
      </c>
      <c r="AE3" s="16" t="str">
        <f t="shared" si="1"/>
        <v>Coal</v>
      </c>
      <c r="AF3" s="16" t="str">
        <f t="shared" si="1"/>
        <v>Pellet-Biomass</v>
      </c>
    </row>
    <row r="4" spans="1:32" ht="60">
      <c r="B4" s="18" t="s">
        <v>58</v>
      </c>
      <c r="C4" s="18" t="s">
        <v>68</v>
      </c>
      <c r="D4" s="18" t="s">
        <v>63</v>
      </c>
      <c r="E4" s="18" t="s">
        <v>64</v>
      </c>
      <c r="H4" t="s">
        <v>19</v>
      </c>
      <c r="I4" t="s">
        <v>20</v>
      </c>
      <c r="J4" t="s">
        <v>21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Q4" t="str">
        <f>H4</f>
        <v>tier</v>
      </c>
      <c r="R4" t="str">
        <f t="shared" ref="R4:X4" si="2">I4</f>
        <v>bulk</v>
      </c>
      <c r="S4" t="str">
        <f t="shared" si="2"/>
        <v>container</v>
      </c>
      <c r="T4" t="str">
        <f t="shared" si="2"/>
        <v>base</v>
      </c>
      <c r="U4" t="str">
        <f t="shared" si="2"/>
        <v>base</v>
      </c>
      <c r="V4" t="str">
        <f t="shared" si="2"/>
        <v>base</v>
      </c>
      <c r="W4" t="str">
        <f t="shared" si="2"/>
        <v>base</v>
      </c>
      <c r="X4" t="str">
        <f t="shared" si="2"/>
        <v>base</v>
      </c>
      <c r="Z4" s="16" t="str">
        <f>H10&amp;"-"&amp;RIGHT(H14,2)</f>
        <v>2020-24</v>
      </c>
      <c r="AA4" s="17">
        <f>AVERAGE(I10:I14)</f>
        <v>7.6982493944314374</v>
      </c>
      <c r="AB4" s="17">
        <f>AVERAGE(K10:K14)</f>
        <v>9.9264910295687159</v>
      </c>
      <c r="AC4" s="17">
        <f>AVERAGE(L10:L14)</f>
        <v>12.494550015919128</v>
      </c>
      <c r="AD4" s="17">
        <f>AVERAGE(M10:M14)</f>
        <v>32.046319138765419</v>
      </c>
      <c r="AE4" s="17">
        <f>AVERAGE(N10:N14)</f>
        <v>2.9496034218749991</v>
      </c>
      <c r="AF4" s="17">
        <f>AVERAGE(O10:O14)</f>
        <v>13.999578124999999</v>
      </c>
    </row>
    <row r="5" spans="1:32">
      <c r="A5">
        <v>2015</v>
      </c>
      <c r="B5">
        <v>52.32</v>
      </c>
      <c r="C5">
        <v>2.62</v>
      </c>
      <c r="D5" s="1">
        <f t="shared" ref="D5:D35" si="3">B5*(1+inflation_rate)^(base_year-$A5)</f>
        <v>53.261760000000002</v>
      </c>
      <c r="E5" s="1">
        <f t="shared" ref="E5:E35" si="4">C5*(1+inflation_rate)^(base_year-$A5)</f>
        <v>2.66716</v>
      </c>
      <c r="H5">
        <f t="shared" ref="H5:H35" si="5">A5</f>
        <v>2015</v>
      </c>
      <c r="I5" s="2">
        <f t="shared" ref="I5:I35" si="6">0.1333*D5+0.4521</f>
        <v>7.5518926080000002</v>
      </c>
      <c r="J5" s="2">
        <f t="shared" ref="J5:J35" si="7">1.5582*E5+6.6017</f>
        <v>10.757668712000001</v>
      </c>
      <c r="K5" s="2">
        <f t="shared" ref="K5:K35" si="8">0.1829*$D5-0.0159</f>
        <v>9.7256759040000009</v>
      </c>
      <c r="L5" s="2">
        <f t="shared" ref="L5:L35" si="9">0.1864*$D5+2.3619</f>
        <v>12.289892064000002</v>
      </c>
      <c r="M5" s="2">
        <f t="shared" ref="M5:M35" si="10">0.1549*$D5+23.626</f>
        <v>31.876246624000004</v>
      </c>
      <c r="N5" s="2">
        <f>INDEX('[1]EIA-derived'!$B$67:$AK$67, MATCH(H5, '[1]EIA-derived'!$B$61:$AK$61, 0)) * (1+'[1]EIA-derived'!$B$56)^(base_year-2013)</f>
        <v>2.7471479843749993</v>
      </c>
      <c r="O5" s="2">
        <f>INDEX('[1]EIA-derived'!$B$68:$AK$68, MATCH(H5, '[1]EIA-derived'!$B$61:$AK$61, 0)) * (1+'[1]EIA-derived'!$B$56)^(base_year-2013)</f>
        <v>13.999578124999999</v>
      </c>
      <c r="Q5" t="s">
        <v>25</v>
      </c>
      <c r="R5" s="11">
        <f>C54</f>
        <v>51113806</v>
      </c>
      <c r="S5" s="11">
        <f>G54</f>
        <v>34757388.080000006</v>
      </c>
      <c r="T5" s="3"/>
      <c r="U5" s="3"/>
      <c r="V5" s="3"/>
      <c r="W5" s="3"/>
      <c r="X5" s="3"/>
      <c r="Z5" s="16" t="str">
        <f>H15&amp;"-"&amp;RIGHT(H19,2)</f>
        <v>2025-29</v>
      </c>
      <c r="AA5" s="17">
        <f>AVERAGE(I15:I19)</f>
        <v>10.153334150811167</v>
      </c>
      <c r="AB5" s="17">
        <f>AVERAGE(K15:K19)</f>
        <v>13.295095695299043</v>
      </c>
      <c r="AC5" s="17">
        <f>AVERAGE(L15:L19)</f>
        <v>15.927616772027017</v>
      </c>
      <c r="AD5" s="17">
        <f>AVERAGE(M15:M19)</f>
        <v>34.899227081475239</v>
      </c>
      <c r="AE5" s="17">
        <f>AVERAGE(N15:N19)</f>
        <v>3.1089832343749997</v>
      </c>
      <c r="AF5" s="17">
        <f>AVERAGE(O15:O19)</f>
        <v>13.999578124999999</v>
      </c>
    </row>
    <row r="6" spans="1:32">
      <c r="A6">
        <v>2016</v>
      </c>
      <c r="B6" s="19">
        <v>49.78</v>
      </c>
      <c r="C6">
        <v>2.98</v>
      </c>
      <c r="D6" s="1">
        <f t="shared" si="3"/>
        <v>49.78</v>
      </c>
      <c r="E6" s="1">
        <f t="shared" si="4"/>
        <v>2.98</v>
      </c>
      <c r="F6">
        <f>(D35/D6)^(1/29)</f>
        <v>1.0614734625357118</v>
      </c>
      <c r="H6">
        <f t="shared" si="5"/>
        <v>2016</v>
      </c>
      <c r="I6" s="2">
        <f t="shared" si="6"/>
        <v>7.0877739999999996</v>
      </c>
      <c r="J6" s="2">
        <f t="shared" si="7"/>
        <v>11.245136</v>
      </c>
      <c r="K6" s="2">
        <f t="shared" si="8"/>
        <v>9.0888620000000007</v>
      </c>
      <c r="L6" s="2">
        <f t="shared" si="9"/>
        <v>11.640892000000001</v>
      </c>
      <c r="M6" s="2">
        <f t="shared" si="10"/>
        <v>31.336922000000001</v>
      </c>
      <c r="N6" s="2">
        <f>INDEX('[1]EIA-derived'!$B$67:$AK$67, MATCH(H6, '[1]EIA-derived'!$B$61:$AK$61, 0)) * (1+'[1]EIA-derived'!$B$56)^(base_year-2013)</f>
        <v>2.7363790781249997</v>
      </c>
      <c r="O6" s="2">
        <f>INDEX('[1]EIA-derived'!$B$68:$AK$68, MATCH(H6, '[1]EIA-derived'!$B$61:$AK$61, 0)) * (1+'[1]EIA-derived'!$B$56)^(base_year-2013)</f>
        <v>13.999578124999999</v>
      </c>
      <c r="Z6" s="16" t="str">
        <f>H20&amp;"-"&amp;RIGHT(H24,2)</f>
        <v>2030-34</v>
      </c>
      <c r="AA6" s="17">
        <f>AVERAGE(I20:I24)</f>
        <v>15.237958454665321</v>
      </c>
      <c r="AB6" s="17">
        <f>AVERAGE(K20:K24)</f>
        <v>20.271673228494283</v>
      </c>
      <c r="AC6" s="17">
        <f>AVERAGE(L20:L24)</f>
        <v>23.037699069389465</v>
      </c>
      <c r="AD6" s="17">
        <f>AVERAGE(M20:M24)</f>
        <v>40.807766501332779</v>
      </c>
      <c r="AE6" s="17">
        <f>AVERAGE(N20:N24)</f>
        <v>3.2360563281249997</v>
      </c>
      <c r="AF6" s="17">
        <f>AVERAGE(O20:O24)</f>
        <v>13.999578124999999</v>
      </c>
    </row>
    <row r="7" spans="1:32">
      <c r="A7">
        <v>2017</v>
      </c>
      <c r="B7">
        <v>52.62</v>
      </c>
      <c r="C7">
        <v>3.0880000000000001</v>
      </c>
      <c r="D7" s="1">
        <f t="shared" si="3"/>
        <v>51.689587426326128</v>
      </c>
      <c r="E7" s="1">
        <f t="shared" si="4"/>
        <v>3.0333988212180749</v>
      </c>
      <c r="F7">
        <f>(E35/E7)^(1/28)</f>
        <v>1.0403746888181478</v>
      </c>
      <c r="H7">
        <f t="shared" si="5"/>
        <v>2017</v>
      </c>
      <c r="I7" s="2">
        <f t="shared" si="6"/>
        <v>7.3423220039292723</v>
      </c>
      <c r="J7" s="2">
        <f t="shared" si="7"/>
        <v>11.328342043222005</v>
      </c>
      <c r="K7" s="2">
        <f t="shared" si="8"/>
        <v>9.438125540275049</v>
      </c>
      <c r="L7" s="2">
        <f t="shared" si="9"/>
        <v>11.996839096267191</v>
      </c>
      <c r="M7" s="2">
        <f t="shared" si="10"/>
        <v>31.63271709233792</v>
      </c>
      <c r="N7" s="2">
        <f>INDEX('[1]EIA-derived'!$B$67:$AK$67, MATCH(H7, '[1]EIA-derived'!$B$61:$AK$61, 0)) * (1+'[1]EIA-derived'!$B$56)^(base_year-2013)</f>
        <v>2.7579168906249998</v>
      </c>
      <c r="O7" s="2">
        <f>INDEX('[1]EIA-derived'!$B$68:$AK$68, MATCH(H7, '[1]EIA-derived'!$B$61:$AK$61, 0)) * (1+'[1]EIA-derived'!$B$56)^(base_year-2013)</f>
        <v>13.999578124999999</v>
      </c>
      <c r="Z7" s="16" t="str">
        <f>H25&amp;"-"&amp;RIGHT(H29,2)</f>
        <v>2035-39</v>
      </c>
      <c r="AA7" s="17">
        <f>AVERAGE(I25:I29)</f>
        <v>22.042332750569546</v>
      </c>
      <c r="AB7" s="17">
        <f>AVERAGE(K25:K29)</f>
        <v>29.607907727525657</v>
      </c>
      <c r="AC7" s="17">
        <f>AVERAGE(L25:L29)</f>
        <v>32.552593058560866</v>
      </c>
      <c r="AD7" s="17">
        <f>AVERAGE(M25:M29)</f>
        <v>48.714725079243991</v>
      </c>
      <c r="AE7" s="17">
        <f>AVERAGE(N25:N29)</f>
        <v>3.3695907656249995</v>
      </c>
      <c r="AF7" s="17">
        <f>AVERAGE(O25:O29)</f>
        <v>13.999578124999999</v>
      </c>
    </row>
    <row r="8" spans="1:32">
      <c r="A8">
        <v>2018</v>
      </c>
      <c r="B8">
        <v>54.94</v>
      </c>
      <c r="C8">
        <v>2.8450000000000002</v>
      </c>
      <c r="D8" s="1">
        <f t="shared" si="3"/>
        <v>53.014308266526683</v>
      </c>
      <c r="E8" s="1">
        <f t="shared" si="4"/>
        <v>2.7452804335323706</v>
      </c>
      <c r="H8">
        <f t="shared" si="5"/>
        <v>2018</v>
      </c>
      <c r="I8" s="2">
        <f t="shared" si="6"/>
        <v>7.5189072919280067</v>
      </c>
      <c r="J8" s="2">
        <f t="shared" si="7"/>
        <v>10.87939597153014</v>
      </c>
      <c r="K8" s="2">
        <f t="shared" si="8"/>
        <v>9.6804169819477313</v>
      </c>
      <c r="L8" s="2">
        <f t="shared" si="9"/>
        <v>12.243767060880575</v>
      </c>
      <c r="M8" s="2">
        <f t="shared" si="10"/>
        <v>31.837916350484985</v>
      </c>
      <c r="N8" s="2">
        <f>INDEX('[1]EIA-derived'!$B$67:$AK$67, MATCH(H8, '[1]EIA-derived'!$B$61:$AK$61, 0)) * (1+'[1]EIA-derived'!$B$56)^(base_year-2013)</f>
        <v>2.7902236093749995</v>
      </c>
      <c r="O8" s="2">
        <f>INDEX('[1]EIA-derived'!$B$68:$AK$68, MATCH(H8, '[1]EIA-derived'!$B$61:$AK$61, 0)) * (1+'[1]EIA-derived'!$B$56)^(base_year-2013)</f>
        <v>13.999578124999999</v>
      </c>
      <c r="Z8" s="16" t="str">
        <f>H30&amp;"-"&amp;RIGHT(H34,2)</f>
        <v>2040-44</v>
      </c>
      <c r="AA8" s="17">
        <f>AVERAGE(I30:I34)</f>
        <v>31.14812047291257</v>
      </c>
      <c r="AB8" s="17">
        <f>AVERAGE(K30:K34)</f>
        <v>42.101895532600963</v>
      </c>
      <c r="AC8" s="17">
        <f>AVERAGE(L30:L34)</f>
        <v>45.285667563022521</v>
      </c>
      <c r="AD8" s="17">
        <f>AVERAGE(M30:M34)</f>
        <v>59.296019289228489</v>
      </c>
      <c r="AE8" s="17">
        <f>AVERAGE(N30:N34)</f>
        <v>3.5147556218749996</v>
      </c>
      <c r="AF8" s="17">
        <f>AVERAGE(O30:O34)</f>
        <v>13.999578124999999</v>
      </c>
    </row>
    <row r="9" spans="1:32">
      <c r="A9">
        <v>2019</v>
      </c>
      <c r="B9">
        <v>56.49</v>
      </c>
      <c r="C9">
        <v>2.7949999999999999</v>
      </c>
      <c r="D9" s="1">
        <f t="shared" si="3"/>
        <v>53.546148825618161</v>
      </c>
      <c r="E9" s="1">
        <f t="shared" si="4"/>
        <v>2.6493447684121572</v>
      </c>
      <c r="H9">
        <f t="shared" si="5"/>
        <v>2019</v>
      </c>
      <c r="I9" s="2">
        <f t="shared" si="6"/>
        <v>7.589801638454901</v>
      </c>
      <c r="J9" s="2">
        <f t="shared" si="7"/>
        <v>10.729909018139823</v>
      </c>
      <c r="K9" s="2">
        <f t="shared" si="8"/>
        <v>9.7776906202055613</v>
      </c>
      <c r="L9" s="2">
        <f t="shared" si="9"/>
        <v>12.342902141095227</v>
      </c>
      <c r="M9" s="2">
        <f t="shared" si="10"/>
        <v>31.920298453088257</v>
      </c>
      <c r="N9" s="2">
        <f>INDEX('[1]EIA-derived'!$B$67:$AK$67, MATCH(H9, '[1]EIA-derived'!$B$61:$AK$61, 0)) * (1+'[1]EIA-derived'!$B$56)^(base_year-2013)</f>
        <v>2.8332992343749996</v>
      </c>
      <c r="O9" s="2">
        <f>INDEX('[1]EIA-derived'!$B$68:$AK$68, MATCH(H9, '[1]EIA-derived'!$B$61:$AK$61, 0)) * (1+'[1]EIA-derived'!$B$56)^(base_year-2013)</f>
        <v>13.999578124999999</v>
      </c>
    </row>
    <row r="10" spans="1:32">
      <c r="A10">
        <v>2020</v>
      </c>
      <c r="B10">
        <v>57.86</v>
      </c>
      <c r="C10">
        <v>2.7810000000000001</v>
      </c>
      <c r="D10" s="1">
        <f t="shared" si="3"/>
        <v>53.875004235154492</v>
      </c>
      <c r="E10" s="1">
        <f t="shared" si="4"/>
        <v>2.5894639954712177</v>
      </c>
      <c r="H10">
        <f t="shared" si="5"/>
        <v>2020</v>
      </c>
      <c r="I10" s="2">
        <f t="shared" si="6"/>
        <v>7.6336380645460933</v>
      </c>
      <c r="J10" s="2">
        <f t="shared" si="7"/>
        <v>10.636602797743251</v>
      </c>
      <c r="K10" s="2">
        <f t="shared" si="8"/>
        <v>9.8378382746097568</v>
      </c>
      <c r="L10" s="2">
        <f t="shared" si="9"/>
        <v>12.404200789432798</v>
      </c>
      <c r="M10" s="2">
        <f t="shared" si="10"/>
        <v>31.971238156025432</v>
      </c>
      <c r="N10" s="2">
        <f>INDEX('[1]EIA-derived'!$B$67:$AK$67, MATCH(H10, '[1]EIA-derived'!$B$61:$AK$61, 0)) * (1+'[1]EIA-derived'!$B$56)^(base_year-2013)</f>
        <v>2.8763748593749994</v>
      </c>
      <c r="O10" s="2">
        <f>INDEX('[1]EIA-derived'!$B$68:$AK$68, MATCH(H10, '[1]EIA-derived'!$B$61:$AK$61, 0)) * (1+'[1]EIA-derived'!$B$56)^(base_year-2013)</f>
        <v>13.999578124999999</v>
      </c>
    </row>
    <row r="11" spans="1:32">
      <c r="A11">
        <v>2021</v>
      </c>
      <c r="B11">
        <v>59.32</v>
      </c>
      <c r="C11">
        <v>2.82</v>
      </c>
      <c r="D11" s="1">
        <f t="shared" si="3"/>
        <v>54.257808992734383</v>
      </c>
      <c r="E11" s="1">
        <f t="shared" si="4"/>
        <v>2.5793496520483976</v>
      </c>
      <c r="H11">
        <f t="shared" si="5"/>
        <v>2021</v>
      </c>
      <c r="I11" s="2">
        <f t="shared" si="6"/>
        <v>7.6846659387314933</v>
      </c>
      <c r="J11" s="2">
        <f t="shared" si="7"/>
        <v>10.620842627821814</v>
      </c>
      <c r="K11" s="2">
        <f t="shared" si="8"/>
        <v>9.9078532647711182</v>
      </c>
      <c r="L11" s="2">
        <f t="shared" si="9"/>
        <v>12.475555596245689</v>
      </c>
      <c r="M11" s="2">
        <f t="shared" si="10"/>
        <v>32.030534612974556</v>
      </c>
      <c r="N11" s="2">
        <f>INDEX('[1]EIA-derived'!$B$67:$AK$67, MATCH(H11, '[1]EIA-derived'!$B$61:$AK$61, 0)) * (1+'[1]EIA-derived'!$B$56)^(base_year-2013)</f>
        <v>2.9194504843749995</v>
      </c>
      <c r="O11" s="2">
        <f>INDEX('[1]EIA-derived'!$B$68:$AK$68, MATCH(H11, '[1]EIA-derived'!$B$61:$AK$61, 0)) * (1+'[1]EIA-derived'!$B$56)^(base_year-2013)</f>
        <v>13.999578124999999</v>
      </c>
    </row>
    <row r="12" spans="1:32">
      <c r="A12">
        <v>2022</v>
      </c>
      <c r="B12">
        <v>60.78</v>
      </c>
      <c r="C12">
        <v>2.8860000000000001</v>
      </c>
      <c r="D12" s="1">
        <f t="shared" si="3"/>
        <v>54.61023277860275</v>
      </c>
      <c r="E12" s="1">
        <f t="shared" si="4"/>
        <v>2.593042642300881</v>
      </c>
      <c r="H12">
        <f t="shared" si="5"/>
        <v>2022</v>
      </c>
      <c r="I12" s="2">
        <f t="shared" si="6"/>
        <v>7.7316440293877466</v>
      </c>
      <c r="J12" s="2">
        <f t="shared" si="7"/>
        <v>10.642179045233233</v>
      </c>
      <c r="K12" s="2">
        <f t="shared" si="8"/>
        <v>9.9723115752064437</v>
      </c>
      <c r="L12" s="2">
        <f t="shared" si="9"/>
        <v>12.541247389931554</v>
      </c>
      <c r="M12" s="2">
        <f t="shared" si="10"/>
        <v>32.08512505740557</v>
      </c>
      <c r="N12" s="2">
        <f>INDEX('[1]EIA-derived'!$B$67:$AK$67, MATCH(H12, '[1]EIA-derived'!$B$61:$AK$61, 0)) * (1+'[1]EIA-derived'!$B$56)^(base_year-2013)</f>
        <v>2.9517572031249997</v>
      </c>
      <c r="O12" s="2">
        <f>INDEX('[1]EIA-derived'!$B$68:$AK$68, MATCH(H12, '[1]EIA-derived'!$B$61:$AK$61, 0)) * (1+'[1]EIA-derived'!$B$56)^(base_year-2013)</f>
        <v>13.999578124999999</v>
      </c>
    </row>
    <row r="13" spans="1:32">
      <c r="A13">
        <v>2023</v>
      </c>
      <c r="B13">
        <v>61.96</v>
      </c>
      <c r="C13">
        <v>3.0350000000000001</v>
      </c>
      <c r="D13" s="1">
        <f t="shared" si="3"/>
        <v>54.686101359507568</v>
      </c>
      <c r="E13" s="1">
        <f t="shared" si="4"/>
        <v>2.6787010591689069</v>
      </c>
      <c r="H13">
        <f t="shared" si="5"/>
        <v>2023</v>
      </c>
      <c r="I13" s="2">
        <f t="shared" si="6"/>
        <v>7.7417573112223588</v>
      </c>
      <c r="J13" s="2">
        <f t="shared" si="7"/>
        <v>10.775651990396991</v>
      </c>
      <c r="K13" s="2">
        <f t="shared" si="8"/>
        <v>9.9861879386539343</v>
      </c>
      <c r="L13" s="2">
        <f t="shared" si="9"/>
        <v>12.555389293412212</v>
      </c>
      <c r="M13" s="2">
        <f t="shared" si="10"/>
        <v>32.096877100587726</v>
      </c>
      <c r="N13" s="2">
        <f>INDEX('[1]EIA-derived'!$B$67:$AK$67, MATCH(H13, '[1]EIA-derived'!$B$61:$AK$61, 0)) * (1+'[1]EIA-derived'!$B$56)^(base_year-2013)</f>
        <v>2.9840639218749994</v>
      </c>
      <c r="O13" s="2">
        <f>INDEX('[1]EIA-derived'!$B$68:$AK$68, MATCH(H13, '[1]EIA-derived'!$B$61:$AK$61, 0)) * (1+'[1]EIA-derived'!$B$56)^(base_year-2013)</f>
        <v>13.999578124999999</v>
      </c>
    </row>
    <row r="14" spans="1:32">
      <c r="A14">
        <v>2024</v>
      </c>
      <c r="B14">
        <v>62.71</v>
      </c>
      <c r="C14">
        <v>3.1930000000000001</v>
      </c>
      <c r="D14" s="1">
        <f t="shared" si="3"/>
        <v>54.369404563161986</v>
      </c>
      <c r="E14" s="1">
        <f t="shared" si="4"/>
        <v>2.7683225764658941</v>
      </c>
      <c r="H14">
        <f t="shared" si="5"/>
        <v>2024</v>
      </c>
      <c r="I14" s="2">
        <f t="shared" si="6"/>
        <v>7.6995416282694924</v>
      </c>
      <c r="J14" s="2">
        <f t="shared" si="7"/>
        <v>10.915300238649156</v>
      </c>
      <c r="K14" s="2">
        <f t="shared" si="8"/>
        <v>9.9282640946023282</v>
      </c>
      <c r="L14" s="2">
        <f t="shared" si="9"/>
        <v>12.496357010573394</v>
      </c>
      <c r="M14" s="2">
        <f t="shared" si="10"/>
        <v>32.047820766833794</v>
      </c>
      <c r="N14" s="2">
        <f>INDEX('[1]EIA-derived'!$B$67:$AK$67, MATCH(H14, '[1]EIA-derived'!$B$61:$AK$61, 0)) * (1+'[1]EIA-derived'!$B$56)^(base_year-2013)</f>
        <v>3.0163706406249995</v>
      </c>
      <c r="O14" s="2">
        <f>INDEX('[1]EIA-derived'!$B$68:$AK$68, MATCH(H14, '[1]EIA-derived'!$B$61:$AK$61, 0)) * (1+'[1]EIA-derived'!$B$56)^(base_year-2013)</f>
        <v>13.999578124999999</v>
      </c>
    </row>
    <row r="15" spans="1:32">
      <c r="A15">
        <v>2025</v>
      </c>
      <c r="B15" s="1">
        <f>'physical hedge'!L15</f>
        <v>70.487108454257765</v>
      </c>
      <c r="C15">
        <v>3.3639999999999999</v>
      </c>
      <c r="D15" s="1">
        <f t="shared" si="3"/>
        <v>60.031568836951713</v>
      </c>
      <c r="E15" s="1">
        <f t="shared" si="4"/>
        <v>2.8650089639945646</v>
      </c>
      <c r="H15">
        <f t="shared" si="5"/>
        <v>2025</v>
      </c>
      <c r="I15" s="2">
        <f t="shared" si="6"/>
        <v>8.4543081259656638</v>
      </c>
      <c r="J15" s="2">
        <f t="shared" si="7"/>
        <v>11.06595696769633</v>
      </c>
      <c r="K15" s="2">
        <f t="shared" si="8"/>
        <v>10.963873940278468</v>
      </c>
      <c r="L15" s="2">
        <f t="shared" si="9"/>
        <v>13.5517844312078</v>
      </c>
      <c r="M15" s="2">
        <f t="shared" si="10"/>
        <v>32.924890012843818</v>
      </c>
      <c r="N15" s="2">
        <f>INDEX('[1]EIA-derived'!$B$67:$AK$67, MATCH(H15, '[1]EIA-derived'!$B$61:$AK$61, 0)) * (1+'[1]EIA-derived'!$B$56)^(base_year-2013)</f>
        <v>3.0486773593749996</v>
      </c>
      <c r="O15" s="2">
        <f>INDEX('[1]EIA-derived'!$B$68:$AK$68, MATCH(H15, '[1]EIA-derived'!$B$61:$AK$61, 0)) * (1+'[1]EIA-derived'!$B$56)^(base_year-2013)</f>
        <v>13.999578124999999</v>
      </c>
    </row>
    <row r="16" spans="1:32">
      <c r="A16">
        <v>2026</v>
      </c>
      <c r="B16" s="1">
        <f>'physical hedge'!L16</f>
        <v>78.929954674854869</v>
      </c>
      <c r="C16" s="1">
        <f t="shared" ref="C16:C35" si="11">(1+interest_rate_nominal)*C15</f>
        <v>3.63002512</v>
      </c>
      <c r="D16" s="1">
        <f t="shared" si="3"/>
        <v>66.033462967168802</v>
      </c>
      <c r="E16" s="1">
        <f t="shared" si="4"/>
        <v>3.0369095018342378</v>
      </c>
      <c r="H16">
        <f t="shared" si="5"/>
        <v>2026</v>
      </c>
      <c r="I16" s="2">
        <f t="shared" si="6"/>
        <v>9.2543606135236018</v>
      </c>
      <c r="J16" s="2">
        <f t="shared" si="7"/>
        <v>11.33381238575811</v>
      </c>
      <c r="K16" s="2">
        <f t="shared" si="8"/>
        <v>12.061620376695174</v>
      </c>
      <c r="L16" s="2">
        <f t="shared" si="9"/>
        <v>14.670537497080266</v>
      </c>
      <c r="M16" s="2">
        <f t="shared" si="10"/>
        <v>33.854583413614449</v>
      </c>
      <c r="N16" s="2">
        <f>INDEX('[1]EIA-derived'!$B$67:$AK$67, MATCH(H16, '[1]EIA-derived'!$B$61:$AK$61, 0)) * (1+'[1]EIA-derived'!$B$56)^(base_year-2013)</f>
        <v>3.0809840781249993</v>
      </c>
      <c r="O16" s="2">
        <f>INDEX('[1]EIA-derived'!$B$68:$AK$68, MATCH(H16, '[1]EIA-derived'!$B$61:$AK$61, 0)) * (1+'[1]EIA-derived'!$B$56)^(base_year-2013)</f>
        <v>13.999578124999999</v>
      </c>
    </row>
    <row r="17" spans="1:15">
      <c r="A17">
        <v>2027</v>
      </c>
      <c r="B17" s="1">
        <f>'physical hedge'!L17</f>
        <v>88.092098236889413</v>
      </c>
      <c r="C17" s="1">
        <f t="shared" si="11"/>
        <v>3.9170875064896</v>
      </c>
      <c r="D17" s="1">
        <f t="shared" si="3"/>
        <v>72.395470745198935</v>
      </c>
      <c r="E17" s="1">
        <f t="shared" si="4"/>
        <v>3.2191240719442926</v>
      </c>
      <c r="H17">
        <f t="shared" si="5"/>
        <v>2027</v>
      </c>
      <c r="I17" s="2">
        <f t="shared" si="6"/>
        <v>10.102416250335018</v>
      </c>
      <c r="J17" s="2">
        <f t="shared" si="7"/>
        <v>11.617739128903597</v>
      </c>
      <c r="K17" s="2">
        <f t="shared" si="8"/>
        <v>13.225231599296885</v>
      </c>
      <c r="L17" s="2">
        <f t="shared" si="9"/>
        <v>15.856415746905082</v>
      </c>
      <c r="M17" s="2">
        <f t="shared" si="10"/>
        <v>34.840058418431319</v>
      </c>
      <c r="N17" s="2">
        <f>INDEX('[1]EIA-derived'!$B$67:$AK$67, MATCH(H17, '[1]EIA-derived'!$B$61:$AK$61, 0)) * (1+'[1]EIA-derived'!$B$56)^(base_year-2013)</f>
        <v>3.1132907968749999</v>
      </c>
      <c r="O17" s="2">
        <f>INDEX('[1]EIA-derived'!$B$68:$AK$68, MATCH(H17, '[1]EIA-derived'!$B$61:$AK$61, 0)) * (1+'[1]EIA-derived'!$B$56)^(base_year-2013)</f>
        <v>13.999578124999999</v>
      </c>
    </row>
    <row r="18" spans="1:15">
      <c r="A18">
        <v>2028</v>
      </c>
      <c r="B18" s="1">
        <f>'physical hedge'!L18</f>
        <v>98.031350641243904</v>
      </c>
      <c r="C18" s="1">
        <f t="shared" si="11"/>
        <v>4.2268507865027978</v>
      </c>
      <c r="D18" s="1">
        <f t="shared" si="3"/>
        <v>79.139198989910881</v>
      </c>
      <c r="E18" s="1">
        <f t="shared" si="4"/>
        <v>3.4122715162609505</v>
      </c>
      <c r="H18">
        <f t="shared" si="5"/>
        <v>2028</v>
      </c>
      <c r="I18" s="2">
        <f t="shared" si="6"/>
        <v>11.00135522535512</v>
      </c>
      <c r="J18" s="2">
        <f t="shared" si="7"/>
        <v>11.918701476637814</v>
      </c>
      <c r="K18" s="2">
        <f t="shared" si="8"/>
        <v>14.4586594952547</v>
      </c>
      <c r="L18" s="2">
        <f t="shared" si="9"/>
        <v>17.113446691719389</v>
      </c>
      <c r="M18" s="2">
        <f t="shared" si="10"/>
        <v>35.884661923537195</v>
      </c>
      <c r="N18" s="2">
        <f>INDEX('[1]EIA-derived'!$B$67:$AK$67, MATCH(H18, '[1]EIA-derived'!$B$61:$AK$61, 0)) * (1+'[1]EIA-derived'!$B$56)^(base_year-2013)</f>
        <v>3.1348286093749995</v>
      </c>
      <c r="O18" s="2">
        <f>INDEX('[1]EIA-derived'!$B$68:$AK$68, MATCH(H18, '[1]EIA-derived'!$B$61:$AK$61, 0)) * (1+'[1]EIA-derived'!$B$56)^(base_year-2013)</f>
        <v>13.999578124999999</v>
      </c>
    </row>
    <row r="19" spans="1:15">
      <c r="A19">
        <f>'physical hedge'!A19</f>
        <v>2029</v>
      </c>
      <c r="B19" s="1">
        <f>'physical hedge'!L19</f>
        <v>108.81011185269881</v>
      </c>
      <c r="C19" s="1">
        <f t="shared" si="11"/>
        <v>4.5611101466994395</v>
      </c>
      <c r="D19" s="1">
        <f t="shared" si="3"/>
        <v>86.287550929305525</v>
      </c>
      <c r="E19" s="1">
        <f t="shared" si="4"/>
        <v>3.6170078072366074</v>
      </c>
      <c r="H19">
        <f t="shared" si="5"/>
        <v>2029</v>
      </c>
      <c r="I19" s="2">
        <f t="shared" si="6"/>
        <v>11.954230538876427</v>
      </c>
      <c r="J19" s="2">
        <f t="shared" si="7"/>
        <v>12.237721565236082</v>
      </c>
      <c r="K19" s="2">
        <f t="shared" si="8"/>
        <v>15.766093064969981</v>
      </c>
      <c r="L19" s="2">
        <f t="shared" si="9"/>
        <v>18.445899493222548</v>
      </c>
      <c r="M19" s="2">
        <f t="shared" si="10"/>
        <v>36.991941638949427</v>
      </c>
      <c r="N19" s="2">
        <f>INDEX('[1]EIA-derived'!$B$67:$AK$67, MATCH(H19, '[1]EIA-derived'!$B$61:$AK$61, 0)) * (1+'[1]EIA-derived'!$B$56)^(base_year-2013)</f>
        <v>3.1671353281249996</v>
      </c>
      <c r="O19" s="2">
        <f>INDEX('[1]EIA-derived'!$B$68:$AK$68, MATCH(H19, '[1]EIA-derived'!$B$61:$AK$61, 0)) * (1+'[1]EIA-derived'!$B$56)^(base_year-2013)</f>
        <v>13.999578124999999</v>
      </c>
    </row>
    <row r="20" spans="1:15">
      <c r="A20">
        <f>'physical hedge'!A20</f>
        <v>2030</v>
      </c>
      <c r="B20" s="1">
        <f>'physical hedge'!L20</f>
        <v>120.49573345680498</v>
      </c>
      <c r="C20" s="1">
        <f t="shared" si="11"/>
        <v>4.9218027371004309</v>
      </c>
      <c r="D20" s="1">
        <f t="shared" si="3"/>
        <v>93.864803985063872</v>
      </c>
      <c r="E20" s="1">
        <f t="shared" si="4"/>
        <v>3.8340282756708035</v>
      </c>
      <c r="H20">
        <f t="shared" si="5"/>
        <v>2030</v>
      </c>
      <c r="I20" s="2">
        <f t="shared" si="6"/>
        <v>12.964278371209014</v>
      </c>
      <c r="J20" s="2">
        <f t="shared" si="7"/>
        <v>12.575882859150246</v>
      </c>
      <c r="K20" s="2">
        <f t="shared" si="8"/>
        <v>17.151972648868185</v>
      </c>
      <c r="L20" s="2">
        <f t="shared" si="9"/>
        <v>19.858299462815907</v>
      </c>
      <c r="M20" s="2">
        <f t="shared" si="10"/>
        <v>38.1656581372864</v>
      </c>
      <c r="N20" s="2">
        <f>INDEX('[1]EIA-derived'!$B$67:$AK$67, MATCH(H20, '[1]EIA-derived'!$B$61:$AK$61, 0)) * (1+'[1]EIA-derived'!$B$56)^(base_year-2013)</f>
        <v>3.1886731406249993</v>
      </c>
      <c r="O20" s="2">
        <f>INDEX('[1]EIA-derived'!$B$68:$AK$68, MATCH(H20, '[1]EIA-derived'!$B$61:$AK$61, 0)) * (1+'[1]EIA-derived'!$B$56)^(base_year-2013)</f>
        <v>13.999578124999999</v>
      </c>
    </row>
    <row r="21" spans="1:15">
      <c r="A21">
        <f>'physical hedge'!A21</f>
        <v>2031</v>
      </c>
      <c r="B21" s="1">
        <f>'physical hedge'!L21</f>
        <v>133.16091054062218</v>
      </c>
      <c r="C21" s="1">
        <f t="shared" si="11"/>
        <v>5.3110188975503334</v>
      </c>
      <c r="D21" s="1">
        <f t="shared" si="3"/>
        <v>101.89669222416769</v>
      </c>
      <c r="E21" s="1">
        <f t="shared" si="4"/>
        <v>4.064069972211052</v>
      </c>
      <c r="H21">
        <f t="shared" si="5"/>
        <v>2031</v>
      </c>
      <c r="I21" s="2">
        <f t="shared" si="6"/>
        <v>14.034929073481553</v>
      </c>
      <c r="J21" s="2">
        <f t="shared" si="7"/>
        <v>12.934333830699263</v>
      </c>
      <c r="K21" s="2">
        <f t="shared" si="8"/>
        <v>18.621005007800274</v>
      </c>
      <c r="L21" s="2">
        <f t="shared" si="9"/>
        <v>21.355443430584859</v>
      </c>
      <c r="M21" s="2">
        <f t="shared" si="10"/>
        <v>39.409797625523581</v>
      </c>
      <c r="N21" s="2">
        <f>INDEX('[1]EIA-derived'!$B$67:$AK$67, MATCH(H21, '[1]EIA-derived'!$B$61:$AK$61, 0)) * (1+'[1]EIA-derived'!$B$56)^(base_year-2013)</f>
        <v>3.2102109531249994</v>
      </c>
      <c r="O21" s="2">
        <f>INDEX('[1]EIA-derived'!$B$68:$AK$68, MATCH(H21, '[1]EIA-derived'!$B$61:$AK$61, 0)) * (1+'[1]EIA-derived'!$B$56)^(base_year-2013)</f>
        <v>13.999578124999999</v>
      </c>
    </row>
    <row r="22" spans="1:15">
      <c r="A22">
        <f>'physical hedge'!A22</f>
        <v>2032</v>
      </c>
      <c r="B22" s="1">
        <f>'physical hedge'!L22</f>
        <v>146.8841045689046</v>
      </c>
      <c r="C22" s="1">
        <f t="shared" si="11"/>
        <v>5.7310142719686139</v>
      </c>
      <c r="D22" s="1">
        <f t="shared" si="3"/>
        <v>110.41049375761777</v>
      </c>
      <c r="E22" s="1">
        <f t="shared" si="4"/>
        <v>4.3079141705437154</v>
      </c>
      <c r="H22">
        <f t="shared" si="5"/>
        <v>2032</v>
      </c>
      <c r="I22" s="2">
        <f t="shared" si="6"/>
        <v>15.169818817890448</v>
      </c>
      <c r="J22" s="2">
        <f t="shared" si="7"/>
        <v>13.314291860541218</v>
      </c>
      <c r="K22" s="2">
        <f t="shared" si="8"/>
        <v>20.178179308268295</v>
      </c>
      <c r="L22" s="2">
        <f t="shared" si="9"/>
        <v>22.942416036419953</v>
      </c>
      <c r="M22" s="2">
        <f t="shared" si="10"/>
        <v>40.728585483054999</v>
      </c>
      <c r="N22" s="2">
        <f>INDEX('[1]EIA-derived'!$B$67:$AK$67, MATCH(H22, '[1]EIA-derived'!$B$61:$AK$61, 0)) * (1+'[1]EIA-derived'!$B$56)^(base_year-2013)</f>
        <v>3.2317487656249995</v>
      </c>
      <c r="O22" s="2">
        <f>INDEX('[1]EIA-derived'!$B$68:$AK$68, MATCH(H22, '[1]EIA-derived'!$B$61:$AK$61, 0)) * (1+'[1]EIA-derived'!$B$56)^(base_year-2013)</f>
        <v>13.999578124999999</v>
      </c>
    </row>
    <row r="23" spans="1:15">
      <c r="A23">
        <f>'physical hedge'!A23</f>
        <v>2033</v>
      </c>
      <c r="B23" s="1">
        <f>'physical hedge'!L23</f>
        <v>161.74999970695274</v>
      </c>
      <c r="C23" s="1">
        <f t="shared" si="11"/>
        <v>6.1842228805958923</v>
      </c>
      <c r="D23" s="1">
        <f t="shared" si="3"/>
        <v>119.43512338307484</v>
      </c>
      <c r="E23" s="1">
        <f t="shared" si="4"/>
        <v>4.566389020776338</v>
      </c>
      <c r="H23">
        <f t="shared" si="5"/>
        <v>2033</v>
      </c>
      <c r="I23" s="2">
        <f t="shared" si="6"/>
        <v>16.372801946963875</v>
      </c>
      <c r="J23" s="2">
        <f t="shared" si="7"/>
        <v>13.71704737217369</v>
      </c>
      <c r="K23" s="2">
        <f t="shared" si="8"/>
        <v>21.828784066764392</v>
      </c>
      <c r="L23" s="2">
        <f t="shared" si="9"/>
        <v>24.624606998605149</v>
      </c>
      <c r="M23" s="2">
        <f t="shared" si="10"/>
        <v>42.126500612038299</v>
      </c>
      <c r="N23" s="2">
        <f>INDEX('[1]EIA-derived'!$B$67:$AK$67, MATCH(H23, '[1]EIA-derived'!$B$61:$AK$61, 0)) * (1+'[1]EIA-derived'!$B$56)^(base_year-2013)</f>
        <v>3.2640554843749996</v>
      </c>
      <c r="O23" s="2">
        <f>INDEX('[1]EIA-derived'!$B$68:$AK$68, MATCH(H23, '[1]EIA-derived'!$B$61:$AK$61, 0)) * (1+'[1]EIA-derived'!$B$56)^(base_year-2013)</f>
        <v>13.999578124999999</v>
      </c>
    </row>
    <row r="24" spans="1:15">
      <c r="A24">
        <f>'physical hedge'!A24</f>
        <v>2034</v>
      </c>
      <c r="B24" s="1">
        <f>'physical hedge'!L24</f>
        <v>177.84999523519502</v>
      </c>
      <c r="C24" s="1">
        <f t="shared" si="11"/>
        <v>6.6732712259934157</v>
      </c>
      <c r="D24" s="1">
        <f t="shared" si="3"/>
        <v>129.00123078605935</v>
      </c>
      <c r="E24" s="1">
        <f t="shared" si="4"/>
        <v>4.8403723620229187</v>
      </c>
      <c r="H24">
        <f t="shared" si="5"/>
        <v>2034</v>
      </c>
      <c r="I24" s="2">
        <f t="shared" si="6"/>
        <v>17.647964063781714</v>
      </c>
      <c r="J24" s="2">
        <f t="shared" si="7"/>
        <v>14.143968214504113</v>
      </c>
      <c r="K24" s="2">
        <f t="shared" si="8"/>
        <v>23.578425110770258</v>
      </c>
      <c r="L24" s="2">
        <f t="shared" si="9"/>
        <v>26.407729418521463</v>
      </c>
      <c r="M24" s="2">
        <f t="shared" si="10"/>
        <v>43.608290648760601</v>
      </c>
      <c r="N24" s="2">
        <f>INDEX('[1]EIA-derived'!$B$67:$AK$67, MATCH(H24, '[1]EIA-derived'!$B$61:$AK$61, 0)) * (1+'[1]EIA-derived'!$B$56)^(base_year-2013)</f>
        <v>3.2855932968749992</v>
      </c>
      <c r="O24" s="2">
        <f>INDEX('[1]EIA-derived'!$B$68:$AK$68, MATCH(H24, '[1]EIA-derived'!$B$61:$AK$61, 0)) * (1+'[1]EIA-derived'!$B$56)^(base_year-2013)</f>
        <v>13.999578124999999</v>
      </c>
    </row>
    <row r="25" spans="1:15">
      <c r="A25">
        <f>'physical hedge'!A25</f>
        <v>2035</v>
      </c>
      <c r="B25" s="1">
        <f>'physical hedge'!L25</f>
        <v>195.2827369097362</v>
      </c>
      <c r="C25" s="1">
        <f t="shared" si="11"/>
        <v>7.200993514544975</v>
      </c>
      <c r="D25" s="1">
        <f t="shared" si="3"/>
        <v>139.14130463322292</v>
      </c>
      <c r="E25" s="1">
        <f t="shared" si="4"/>
        <v>5.1307947037442947</v>
      </c>
      <c r="H25">
        <f t="shared" si="5"/>
        <v>2035</v>
      </c>
      <c r="I25" s="2">
        <f t="shared" si="6"/>
        <v>18.999635907608617</v>
      </c>
      <c r="J25" s="2">
        <f t="shared" si="7"/>
        <v>14.59650430737436</v>
      </c>
      <c r="K25" s="2">
        <f t="shared" si="8"/>
        <v>25.433044617416474</v>
      </c>
      <c r="L25" s="2">
        <f t="shared" si="9"/>
        <v>28.297839183632753</v>
      </c>
      <c r="M25" s="2">
        <f t="shared" si="10"/>
        <v>45.178988087686236</v>
      </c>
      <c r="N25" s="2">
        <f>INDEX('[1]EIA-derived'!$B$67:$AK$67, MATCH(H25, '[1]EIA-derived'!$B$61:$AK$61, 0)) * (1+'[1]EIA-derived'!$B$56)^(base_year-2013)</f>
        <v>3.3179000156249994</v>
      </c>
      <c r="O25" s="2">
        <f>INDEX('[1]EIA-derived'!$B$68:$AK$68, MATCH(H25, '[1]EIA-derived'!$B$61:$AK$61, 0)) * (1+'[1]EIA-derived'!$B$56)^(base_year-2013)</f>
        <v>13.999578124999999</v>
      </c>
    </row>
    <row r="26" spans="1:15">
      <c r="A26">
        <f>'physical hedge'!A26</f>
        <v>2036</v>
      </c>
      <c r="B26" s="1">
        <f>'physical hedge'!L26</f>
        <v>214.15469034882426</v>
      </c>
      <c r="C26" s="1">
        <f t="shared" si="11"/>
        <v>7.770448081675192</v>
      </c>
      <c r="D26" s="1">
        <f t="shared" si="3"/>
        <v>149.88978291121629</v>
      </c>
      <c r="E26" s="1">
        <f t="shared" si="4"/>
        <v>5.4386423859689508</v>
      </c>
      <c r="H26">
        <f t="shared" si="5"/>
        <v>2036</v>
      </c>
      <c r="I26" s="2">
        <f t="shared" si="6"/>
        <v>20.432408062065132</v>
      </c>
      <c r="J26" s="2">
        <f t="shared" si="7"/>
        <v>15.076192565816818</v>
      </c>
      <c r="K26" s="2">
        <f t="shared" si="8"/>
        <v>27.398941294461462</v>
      </c>
      <c r="L26" s="2">
        <f t="shared" si="9"/>
        <v>30.301355534650718</v>
      </c>
      <c r="M26" s="2">
        <f t="shared" si="10"/>
        <v>46.843927372947405</v>
      </c>
      <c r="N26" s="2">
        <f>INDEX('[1]EIA-derived'!$B$67:$AK$67, MATCH(H26, '[1]EIA-derived'!$B$61:$AK$61, 0)) * (1+'[1]EIA-derived'!$B$56)^(base_year-2013)</f>
        <v>3.3394378281249995</v>
      </c>
      <c r="O26" s="2">
        <f>INDEX('[1]EIA-derived'!$B$68:$AK$68, MATCH(H26, '[1]EIA-derived'!$B$61:$AK$61, 0)) * (1+'[1]EIA-derived'!$B$56)^(base_year-2013)</f>
        <v>13.999578124999999</v>
      </c>
    </row>
    <row r="27" spans="1:15">
      <c r="A27">
        <f>'physical hedge'!A27</f>
        <v>2037</v>
      </c>
      <c r="B27" s="1">
        <f>'physical hedge'!L27</f>
        <v>234.58075976875219</v>
      </c>
      <c r="C27" s="1">
        <f t="shared" si="11"/>
        <v>8.3849351159740664</v>
      </c>
      <c r="D27" s="1">
        <f t="shared" si="3"/>
        <v>161.28316988588927</v>
      </c>
      <c r="E27" s="1">
        <f t="shared" si="4"/>
        <v>5.7649609291270885</v>
      </c>
      <c r="H27">
        <f t="shared" si="5"/>
        <v>2037</v>
      </c>
      <c r="I27" s="2">
        <f t="shared" si="6"/>
        <v>21.95114654578904</v>
      </c>
      <c r="J27" s="2">
        <f t="shared" si="7"/>
        <v>15.584662119765831</v>
      </c>
      <c r="K27" s="2">
        <f t="shared" si="8"/>
        <v>29.482791772129151</v>
      </c>
      <c r="L27" s="2">
        <f t="shared" si="9"/>
        <v>32.42508286672976</v>
      </c>
      <c r="M27" s="2">
        <f t="shared" si="10"/>
        <v>48.60876301532425</v>
      </c>
      <c r="N27" s="2">
        <f>INDEX('[1]EIA-derived'!$B$67:$AK$67, MATCH(H27, '[1]EIA-derived'!$B$61:$AK$61, 0)) * (1+'[1]EIA-derived'!$B$56)^(base_year-2013)</f>
        <v>3.3717445468749996</v>
      </c>
      <c r="O27" s="2">
        <f>INDEX('[1]EIA-derived'!$B$68:$AK$68, MATCH(H27, '[1]EIA-derived'!$B$61:$AK$61, 0)) * (1+'[1]EIA-derived'!$B$56)^(base_year-2013)</f>
        <v>13.999578124999999</v>
      </c>
    </row>
    <row r="28" spans="1:15">
      <c r="A28">
        <f>'physical hedge'!A28</f>
        <v>2038</v>
      </c>
      <c r="B28" s="1">
        <f>'physical hedge'!L28</f>
        <v>256.68495565553656</v>
      </c>
      <c r="C28" s="1">
        <f t="shared" si="11"/>
        <v>9.0480157849452958</v>
      </c>
      <c r="D28" s="1">
        <f t="shared" si="3"/>
        <v>173.36016007904263</v>
      </c>
      <c r="E28" s="1">
        <f t="shared" si="4"/>
        <v>6.1108585848747152</v>
      </c>
      <c r="H28">
        <f t="shared" si="5"/>
        <v>2038</v>
      </c>
      <c r="I28" s="2">
        <f t="shared" si="6"/>
        <v>23.561009338536383</v>
      </c>
      <c r="J28" s="2">
        <f t="shared" si="7"/>
        <v>16.123639846951782</v>
      </c>
      <c r="K28" s="2">
        <f t="shared" si="8"/>
        <v>31.6916732784569</v>
      </c>
      <c r="L28" s="2">
        <f t="shared" si="9"/>
        <v>34.676233838733545</v>
      </c>
      <c r="M28" s="2">
        <f t="shared" si="10"/>
        <v>50.479488796243707</v>
      </c>
      <c r="N28" s="2">
        <f>INDEX('[1]EIA-derived'!$B$67:$AK$67, MATCH(H28, '[1]EIA-derived'!$B$61:$AK$61, 0)) * (1+'[1]EIA-derived'!$B$56)^(base_year-2013)</f>
        <v>3.3932823593749992</v>
      </c>
      <c r="O28" s="2">
        <f>INDEX('[1]EIA-derived'!$B$68:$AK$68, MATCH(H28, '[1]EIA-derived'!$B$61:$AK$61, 0)) * (1+'[1]EIA-derived'!$B$56)^(base_year-2013)</f>
        <v>13.999578124999999</v>
      </c>
    </row>
    <row r="29" spans="1:15">
      <c r="A29">
        <f>'physical hedge'!A29</f>
        <v>2039</v>
      </c>
      <c r="B29" s="1">
        <f>'physical hedge'!L29</f>
        <v>280.60111524232474</v>
      </c>
      <c r="C29" s="1">
        <f t="shared" si="11"/>
        <v>9.7635328732187698</v>
      </c>
      <c r="D29" s="1">
        <f t="shared" si="3"/>
        <v>186.16176968378514</v>
      </c>
      <c r="E29" s="1">
        <f t="shared" si="4"/>
        <v>6.477510099967196</v>
      </c>
      <c r="H29">
        <f t="shared" si="5"/>
        <v>2039</v>
      </c>
      <c r="I29" s="2">
        <f t="shared" si="6"/>
        <v>25.267463898848561</v>
      </c>
      <c r="J29" s="2">
        <f t="shared" si="7"/>
        <v>16.694956237768885</v>
      </c>
      <c r="K29" s="2">
        <f t="shared" si="8"/>
        <v>34.033087675164303</v>
      </c>
      <c r="L29" s="2">
        <f t="shared" si="9"/>
        <v>37.062453869057549</v>
      </c>
      <c r="M29" s="2">
        <f t="shared" si="10"/>
        <v>52.462458124018326</v>
      </c>
      <c r="N29" s="2">
        <f>INDEX('[1]EIA-derived'!$B$67:$AK$67, MATCH(H29, '[1]EIA-derived'!$B$61:$AK$61, 0)) * (1+'[1]EIA-derived'!$B$56)^(base_year-2013)</f>
        <v>3.4255890781249998</v>
      </c>
      <c r="O29" s="2">
        <f>INDEX('[1]EIA-derived'!$B$68:$AK$68, MATCH(H29, '[1]EIA-derived'!$B$61:$AK$61, 0)) * (1+'[1]EIA-derived'!$B$56)^(base_year-2013)</f>
        <v>13.999578124999999</v>
      </c>
    </row>
    <row r="30" spans="1:15">
      <c r="A30">
        <f>'physical hedge'!A30</f>
        <v>2040</v>
      </c>
      <c r="B30" s="1">
        <f>'physical hedge'!L30</f>
        <v>306.47367996852</v>
      </c>
      <c r="C30" s="1">
        <f t="shared" si="11"/>
        <v>10.53563305283291</v>
      </c>
      <c r="D30" s="1">
        <f t="shared" si="3"/>
        <v>199.7314758648123</v>
      </c>
      <c r="E30" s="1">
        <f t="shared" si="4"/>
        <v>6.8661607059652292</v>
      </c>
      <c r="H30">
        <f t="shared" si="5"/>
        <v>2040</v>
      </c>
      <c r="I30" s="2">
        <f t="shared" si="6"/>
        <v>27.076305732779481</v>
      </c>
      <c r="J30" s="2">
        <f t="shared" si="7"/>
        <v>17.300551612035022</v>
      </c>
      <c r="K30" s="2">
        <f t="shared" si="8"/>
        <v>36.514986935674166</v>
      </c>
      <c r="L30" s="2">
        <f t="shared" si="9"/>
        <v>39.591847101201012</v>
      </c>
      <c r="M30" s="2">
        <f t="shared" si="10"/>
        <v>54.564405611459428</v>
      </c>
      <c r="N30" s="2">
        <f>INDEX('[1]EIA-derived'!$B$67:$AK$67, MATCH(H30, '[1]EIA-derived'!$B$61:$AK$61, 0)) * (1+'[1]EIA-derived'!$B$56)^(base_year-2013)</f>
        <v>3.4578957968749995</v>
      </c>
      <c r="O30" s="2">
        <f>INDEX('[1]EIA-derived'!$B$68:$AK$68, MATCH(H30, '[1]EIA-derived'!$B$61:$AK$61, 0)) * (1+'[1]EIA-derived'!$B$56)^(base_year-2013)</f>
        <v>13.999578124999999</v>
      </c>
    </row>
    <row r="31" spans="1:15">
      <c r="A31">
        <f>'physical hedge'!A31</f>
        <v>2041</v>
      </c>
      <c r="B31" s="1">
        <f>'physical hedge'!L31</f>
        <v>334.45853442685376</v>
      </c>
      <c r="C31" s="1">
        <f t="shared" si="11"/>
        <v>11.368790914650937</v>
      </c>
      <c r="D31" s="1">
        <f t="shared" si="3"/>
        <v>214.11536441670103</v>
      </c>
      <c r="E31" s="1">
        <f t="shared" si="4"/>
        <v>7.2781303483231428</v>
      </c>
      <c r="H31">
        <f t="shared" si="5"/>
        <v>2041</v>
      </c>
      <c r="I31" s="2">
        <f t="shared" si="6"/>
        <v>28.993678076746249</v>
      </c>
      <c r="J31" s="2">
        <f t="shared" si="7"/>
        <v>17.942482708757122</v>
      </c>
      <c r="K31" s="2">
        <f t="shared" si="8"/>
        <v>39.145800151814619</v>
      </c>
      <c r="L31" s="2">
        <f t="shared" si="9"/>
        <v>42.273003927273074</v>
      </c>
      <c r="M31" s="2">
        <f t="shared" si="10"/>
        <v>56.792469948146987</v>
      </c>
      <c r="N31" s="2">
        <f>INDEX('[1]EIA-derived'!$B$67:$AK$67, MATCH(H31, '[1]EIA-derived'!$B$61:$AK$61, 0)) * (1+'[1]EIA-derived'!$B$56)^(base_year-2013)</f>
        <v>3.4863257093749995</v>
      </c>
      <c r="O31" s="2">
        <f>INDEX('[1]EIA-derived'!$B$68:$AK$68, MATCH(H31, '[1]EIA-derived'!$B$61:$AK$61, 0)) * (1+'[1]EIA-derived'!$B$56)^(base_year-2013)</f>
        <v>13.999578124999999</v>
      </c>
    </row>
    <row r="32" spans="1:15">
      <c r="A32">
        <f>'physical hedge'!A32</f>
        <v>2042</v>
      </c>
      <c r="B32" s="1">
        <f>'physical hedge'!L32</f>
        <v>364.72391166098816</v>
      </c>
      <c r="C32" s="1">
        <f t="shared" si="11"/>
        <v>12.267834900181533</v>
      </c>
      <c r="D32" s="1">
        <f t="shared" si="3"/>
        <v>229.36228628170306</v>
      </c>
      <c r="E32" s="1">
        <f t="shared" si="4"/>
        <v>7.7148181692225313</v>
      </c>
      <c r="H32">
        <f t="shared" si="5"/>
        <v>2042</v>
      </c>
      <c r="I32" s="2">
        <f t="shared" si="6"/>
        <v>31.02609276135102</v>
      </c>
      <c r="J32" s="2">
        <f t="shared" si="7"/>
        <v>18.622929671282549</v>
      </c>
      <c r="K32" s="2">
        <f t="shared" si="8"/>
        <v>41.934462160923488</v>
      </c>
      <c r="L32" s="2">
        <f t="shared" si="9"/>
        <v>45.115030162909449</v>
      </c>
      <c r="M32" s="2">
        <f t="shared" si="10"/>
        <v>59.154218145035813</v>
      </c>
      <c r="N32" s="2">
        <f>INDEX('[1]EIA-derived'!$B$67:$AK$67, MATCH(H32, '[1]EIA-derived'!$B$61:$AK$61, 0)) * (1+'[1]EIA-derived'!$B$56)^(base_year-2013)</f>
        <v>3.514755621875</v>
      </c>
      <c r="O32" s="2">
        <f>INDEX('[1]EIA-derived'!$B$68:$AK$68, MATCH(H32, '[1]EIA-derived'!$B$61:$AK$61, 0)) * (1+'[1]EIA-derived'!$B$56)^(base_year-2013)</f>
        <v>13.999578124999999</v>
      </c>
    </row>
    <row r="33" spans="1:20">
      <c r="A33">
        <f>'physical hedge'!A33</f>
        <v>2043</v>
      </c>
      <c r="B33" s="1">
        <f>'physical hedge'!L33</f>
        <v>397.45137006076777</v>
      </c>
      <c r="C33" s="1">
        <f t="shared" si="11"/>
        <v>13.23797528408789</v>
      </c>
      <c r="D33" s="1">
        <f t="shared" si="3"/>
        <v>245.52402345860523</v>
      </c>
      <c r="E33" s="1">
        <f t="shared" si="4"/>
        <v>8.1777072593758824</v>
      </c>
      <c r="H33">
        <f t="shared" si="5"/>
        <v>2043</v>
      </c>
      <c r="I33" s="2">
        <f t="shared" si="6"/>
        <v>33.180452327032079</v>
      </c>
      <c r="J33" s="2">
        <f t="shared" si="7"/>
        <v>19.344203451559501</v>
      </c>
      <c r="K33" s="2">
        <f t="shared" si="8"/>
        <v>44.890443890578894</v>
      </c>
      <c r="L33" s="2">
        <f t="shared" si="9"/>
        <v>48.127577972684016</v>
      </c>
      <c r="M33" s="2">
        <f t="shared" si="10"/>
        <v>61.657671233737958</v>
      </c>
      <c r="N33" s="2">
        <f>INDEX('[1]EIA-derived'!$B$67:$AK$67, MATCH(H33, '[1]EIA-derived'!$B$61:$AK$61, 0)) * (1+'[1]EIA-derived'!$B$56)^(base_year-2013)</f>
        <v>3.5431855343750001</v>
      </c>
      <c r="O33" s="2">
        <f>INDEX('[1]EIA-derived'!$B$68:$AK$68, MATCH(H33, '[1]EIA-derived'!$B$61:$AK$61, 0)) * (1+'[1]EIA-derived'!$B$56)^(base_year-2013)</f>
        <v>13.999578124999999</v>
      </c>
    </row>
    <row r="34" spans="1:20">
      <c r="A34">
        <f>'physical hedge'!A34</f>
        <v>2044</v>
      </c>
      <c r="B34" s="1">
        <f>'physical hedge'!L34</f>
        <v>432.83684751718329</v>
      </c>
      <c r="C34" s="1">
        <f t="shared" si="11"/>
        <v>14.284834369553561</v>
      </c>
      <c r="D34" s="1">
        <f t="shared" si="3"/>
        <v>262.65546486612158</v>
      </c>
      <c r="E34" s="1">
        <f t="shared" si="4"/>
        <v>8.6683696949384377</v>
      </c>
      <c r="H34">
        <f t="shared" si="5"/>
        <v>2044</v>
      </c>
      <c r="I34" s="2">
        <f t="shared" si="6"/>
        <v>35.464073466654007</v>
      </c>
      <c r="J34" s="2">
        <f t="shared" si="7"/>
        <v>20.108753658653075</v>
      </c>
      <c r="K34" s="2">
        <f t="shared" si="8"/>
        <v>48.023784524013635</v>
      </c>
      <c r="L34" s="2">
        <f t="shared" si="9"/>
        <v>51.320878651045064</v>
      </c>
      <c r="M34" s="2">
        <f t="shared" si="10"/>
        <v>64.311331507762233</v>
      </c>
      <c r="N34" s="2">
        <f>INDEX('[1]EIA-derived'!$B$67:$AK$67, MATCH(H34, '[1]EIA-derived'!$B$61:$AK$61, 0)) * (1+'[1]EIA-derived'!$B$56)^(base_year-2013)</f>
        <v>3.5716154468750001</v>
      </c>
      <c r="O34" s="2">
        <f>INDEX('[1]EIA-derived'!$B$68:$AK$68, MATCH(H34, '[1]EIA-derived'!$B$61:$AK$61, 0)) * (1+'[1]EIA-derived'!$B$56)^(base_year-2013)</f>
        <v>13.999578124999999</v>
      </c>
    </row>
    <row r="35" spans="1:20">
      <c r="A35">
        <f>'physical hedge'!A35</f>
        <v>2045</v>
      </c>
      <c r="B35" s="1">
        <f>'physical hedge'!L35</f>
        <v>471.09179894686832</v>
      </c>
      <c r="C35" s="1">
        <f t="shared" si="11"/>
        <v>15.414479071497857</v>
      </c>
      <c r="D35" s="1">
        <f t="shared" si="3"/>
        <v>280.8147927580888</v>
      </c>
      <c r="E35" s="1">
        <f t="shared" si="4"/>
        <v>9.1884718766347433</v>
      </c>
      <c r="H35">
        <f t="shared" si="5"/>
        <v>2045</v>
      </c>
      <c r="I35" s="2">
        <f t="shared" si="6"/>
        <v>37.884711874653242</v>
      </c>
      <c r="J35" s="2">
        <f t="shared" si="7"/>
        <v>20.919176878172259</v>
      </c>
      <c r="K35" s="2">
        <f t="shared" si="8"/>
        <v>51.345125595454441</v>
      </c>
      <c r="L35" s="2">
        <f t="shared" si="9"/>
        <v>54.705777370107754</v>
      </c>
      <c r="M35" s="2">
        <f t="shared" si="10"/>
        <v>67.124211398227956</v>
      </c>
      <c r="N35" s="2">
        <f>INDEX('[1]EIA-derived'!$B$67:$AK$67, MATCH(H35, '[1]EIA-derived'!$B$61:$AK$61, 0)) * (1+'[1]EIA-derived'!$B$56)^(base_year-2013)</f>
        <v>3.6000453593750006</v>
      </c>
      <c r="O35" s="2">
        <f>INDEX('[1]EIA-derived'!$B$68:$AK$68, MATCH(H35, '[1]EIA-derived'!$B$61:$AK$61, 0)) * (1+'[1]EIA-derived'!$B$56)^(base_year-2013)</f>
        <v>13.999578124999999</v>
      </c>
    </row>
    <row r="36" spans="1:20">
      <c r="B36" s="1"/>
      <c r="C36" s="1"/>
      <c r="D36" s="1"/>
      <c r="E36" s="1"/>
      <c r="F36" s="7"/>
      <c r="G36" s="9"/>
      <c r="H36" s="9"/>
      <c r="K36" s="10"/>
    </row>
    <row r="38" spans="1:20">
      <c r="K38" t="s">
        <v>8</v>
      </c>
    </row>
    <row r="39" spans="1:20">
      <c r="A39" t="s">
        <v>0</v>
      </c>
      <c r="F39" s="5"/>
      <c r="K39" t="s">
        <v>9</v>
      </c>
      <c r="L39" t="s">
        <v>7</v>
      </c>
    </row>
    <row r="40" spans="1:20">
      <c r="A40" t="s">
        <v>1</v>
      </c>
      <c r="B40" t="s">
        <v>2</v>
      </c>
      <c r="C40" t="s">
        <v>12</v>
      </c>
      <c r="D40" t="s">
        <v>3</v>
      </c>
      <c r="K40" t="s">
        <v>10</v>
      </c>
      <c r="L40" s="4">
        <v>1030000</v>
      </c>
      <c r="M40" s="4"/>
      <c r="N40" s="4"/>
      <c r="O40" s="4"/>
      <c r="P40" s="4"/>
      <c r="Q40" s="4"/>
      <c r="R40" s="4"/>
      <c r="S40" s="4"/>
      <c r="T40" s="4"/>
    </row>
    <row r="41" spans="1:20">
      <c r="A41">
        <v>20</v>
      </c>
      <c r="B41" s="2">
        <f>A41/5.8</f>
        <v>3.4482758620689657</v>
      </c>
      <c r="C41">
        <v>3.12</v>
      </c>
      <c r="D41" s="2">
        <f>0.1333*A41+0.4521</f>
        <v>3.1181000000000001</v>
      </c>
      <c r="K41" t="s">
        <v>11</v>
      </c>
      <c r="L41" s="11">
        <v>51113806</v>
      </c>
      <c r="M41" t="s">
        <v>23</v>
      </c>
      <c r="N41" s="11"/>
      <c r="O41" s="11"/>
      <c r="P41" s="11"/>
      <c r="Q41" s="11"/>
      <c r="R41" s="11"/>
      <c r="S41" s="11"/>
      <c r="T41" s="11"/>
    </row>
    <row r="42" spans="1:20">
      <c r="A42">
        <v>30</v>
      </c>
      <c r="B42" s="2">
        <f t="shared" ref="B42:B51" si="12">A42/5.8</f>
        <v>5.1724137931034484</v>
      </c>
      <c r="C42">
        <v>4.45</v>
      </c>
      <c r="D42" s="2">
        <f t="shared" ref="D42:D51" si="13">0.1333*A42+0.4521</f>
        <v>4.4511000000000003</v>
      </c>
      <c r="F42" t="s">
        <v>65</v>
      </c>
      <c r="G42" t="s">
        <v>66</v>
      </c>
      <c r="H42" t="s">
        <v>26</v>
      </c>
      <c r="I42" t="s">
        <v>40</v>
      </c>
      <c r="J42" t="s">
        <v>41</v>
      </c>
      <c r="M42" t="s">
        <v>24</v>
      </c>
    </row>
    <row r="43" spans="1:20">
      <c r="A43">
        <v>40</v>
      </c>
      <c r="B43" s="2">
        <f t="shared" si="12"/>
        <v>6.8965517241379315</v>
      </c>
      <c r="C43">
        <v>5.78</v>
      </c>
      <c r="D43" s="2">
        <f t="shared" si="13"/>
        <v>5.7840999999999996</v>
      </c>
      <c r="F43" s="14">
        <v>0.06</v>
      </c>
      <c r="G43" s="14">
        <f>(1+interest_rate)*(1+inflation_rate)-1</f>
        <v>7.9080000000000039E-2</v>
      </c>
      <c r="H43">
        <v>20</v>
      </c>
      <c r="I43">
        <v>2016</v>
      </c>
      <c r="J43" s="14">
        <v>1.7999999999999999E-2</v>
      </c>
    </row>
    <row r="44" spans="1:20">
      <c r="A44">
        <v>50</v>
      </c>
      <c r="B44" s="2">
        <f t="shared" si="12"/>
        <v>8.6206896551724146</v>
      </c>
      <c r="C44">
        <v>7.12</v>
      </c>
      <c r="D44" s="2">
        <f t="shared" si="13"/>
        <v>7.1170999999999998</v>
      </c>
    </row>
    <row r="45" spans="1:20">
      <c r="A45">
        <v>60</v>
      </c>
      <c r="B45" s="2">
        <f t="shared" si="12"/>
        <v>10.344827586206897</v>
      </c>
      <c r="C45">
        <v>8.4499999999999993</v>
      </c>
      <c r="D45" s="2">
        <f t="shared" si="13"/>
        <v>8.4501000000000008</v>
      </c>
    </row>
    <row r="46" spans="1:20">
      <c r="A46">
        <v>70</v>
      </c>
      <c r="B46" s="2">
        <f t="shared" si="12"/>
        <v>12.068965517241379</v>
      </c>
      <c r="C46">
        <v>9.7799999999999994</v>
      </c>
      <c r="D46" s="2">
        <f t="shared" si="13"/>
        <v>9.7830999999999992</v>
      </c>
      <c r="F46" t="s">
        <v>32</v>
      </c>
      <c r="G46" t="s">
        <v>27</v>
      </c>
      <c r="H46" t="s">
        <v>28</v>
      </c>
    </row>
    <row r="47" spans="1:20">
      <c r="A47">
        <v>80</v>
      </c>
      <c r="B47" s="2">
        <f t="shared" si="12"/>
        <v>13.793103448275863</v>
      </c>
      <c r="C47">
        <v>11.11</v>
      </c>
      <c r="D47" s="2">
        <f t="shared" si="13"/>
        <v>11.116099999999999</v>
      </c>
      <c r="F47" t="s">
        <v>29</v>
      </c>
      <c r="G47" s="6">
        <v>148152158</v>
      </c>
      <c r="H47">
        <f>280+383</f>
        <v>663</v>
      </c>
    </row>
    <row r="48" spans="1:20">
      <c r="A48">
        <v>90</v>
      </c>
      <c r="B48" s="2">
        <f t="shared" si="12"/>
        <v>15.517241379310345</v>
      </c>
      <c r="C48">
        <v>12.45</v>
      </c>
      <c r="D48" s="2">
        <f t="shared" si="13"/>
        <v>12.4491</v>
      </c>
      <c r="F48" t="s">
        <v>31</v>
      </c>
      <c r="G48" s="6">
        <f>G47*H48/H47</f>
        <v>46479108.392156862</v>
      </c>
      <c r="H48">
        <v>208</v>
      </c>
    </row>
    <row r="49" spans="1:13">
      <c r="A49">
        <v>100</v>
      </c>
      <c r="B49" s="2">
        <f t="shared" si="12"/>
        <v>17.241379310344829</v>
      </c>
      <c r="C49">
        <v>13.78</v>
      </c>
      <c r="D49" s="2">
        <f t="shared" si="13"/>
        <v>13.7821</v>
      </c>
      <c r="F49" t="s">
        <v>30</v>
      </c>
      <c r="G49" s="6">
        <f>8958092+8958261</f>
        <v>17916353</v>
      </c>
    </row>
    <row r="50" spans="1:13">
      <c r="A50">
        <v>110</v>
      </c>
      <c r="B50" s="2">
        <f t="shared" si="12"/>
        <v>18.96551724137931</v>
      </c>
      <c r="C50">
        <v>15.11</v>
      </c>
      <c r="D50" s="2">
        <f t="shared" si="13"/>
        <v>15.1151</v>
      </c>
      <c r="F50" t="s">
        <v>33</v>
      </c>
      <c r="G50" s="6">
        <v>51600000</v>
      </c>
    </row>
    <row r="51" spans="1:13">
      <c r="A51">
        <v>120</v>
      </c>
      <c r="B51" s="2">
        <f t="shared" si="12"/>
        <v>20.689655172413794</v>
      </c>
      <c r="C51">
        <v>16.45</v>
      </c>
      <c r="D51" s="2">
        <f t="shared" si="13"/>
        <v>16.4481</v>
      </c>
      <c r="F51" t="s">
        <v>37</v>
      </c>
      <c r="G51" s="6">
        <f>SUM(G47:G50)</f>
        <v>264147619.39215687</v>
      </c>
    </row>
    <row r="53" spans="1:13">
      <c r="C53" t="s">
        <v>4</v>
      </c>
      <c r="D53" t="s">
        <v>5</v>
      </c>
      <c r="F53" t="s">
        <v>34</v>
      </c>
      <c r="G53" s="12">
        <f>PMT(interest_rate_real, H43, -G51)</f>
        <v>23029593.173195172</v>
      </c>
    </row>
    <row r="54" spans="1:13">
      <c r="A54" t="s">
        <v>39</v>
      </c>
      <c r="B54" s="6">
        <f>PMT(interest_rate_real, $H$43, -200000000)</f>
        <v>17436911.39537029</v>
      </c>
      <c r="C54" s="11">
        <f>$L$41</f>
        <v>51113806</v>
      </c>
      <c r="D54" s="3">
        <f>B54/C54</f>
        <v>0.3411389751600632</v>
      </c>
      <c r="E54" s="3"/>
      <c r="F54" t="s">
        <v>36</v>
      </c>
      <c r="G54">
        <f>0.68*L41</f>
        <v>34757388.080000006</v>
      </c>
    </row>
    <row r="55" spans="1:13">
      <c r="A55" t="s">
        <v>30</v>
      </c>
      <c r="B55" s="6">
        <f>PMT(interest_rate_real, $H$43, -$G$49)</f>
        <v>1562029.2989458833</v>
      </c>
      <c r="C55" s="11">
        <f>$L$41</f>
        <v>51113806</v>
      </c>
      <c r="D55" s="3">
        <f>B55/C55</f>
        <v>3.0559831505129618E-2</v>
      </c>
      <c r="E55" s="3"/>
    </row>
    <row r="56" spans="1:13">
      <c r="A56" t="s">
        <v>6</v>
      </c>
      <c r="B56" s="6">
        <f>98000*365</f>
        <v>35770000</v>
      </c>
      <c r="C56" s="11">
        <f>$L$41</f>
        <v>51113806</v>
      </c>
      <c r="D56" s="3">
        <f>B56/C56</f>
        <v>0.69981092779512444</v>
      </c>
      <c r="F56" s="8" t="s">
        <v>57</v>
      </c>
    </row>
    <row r="57" spans="1:13">
      <c r="A57" t="s">
        <v>35</v>
      </c>
      <c r="B57" s="13">
        <f>SUM(B54:B56)</f>
        <v>54768940.694316171</v>
      </c>
      <c r="F57" t="s">
        <v>38</v>
      </c>
      <c r="G57" t="str">
        <f t="shared" ref="G57:M57" si="14">R3</f>
        <v>LNG</v>
      </c>
      <c r="H57" t="str">
        <f t="shared" si="14"/>
        <v>LNG</v>
      </c>
      <c r="I57" t="str">
        <f t="shared" si="14"/>
        <v>LSFO</v>
      </c>
      <c r="J57" t="str">
        <f t="shared" si="14"/>
        <v>Diesel</v>
      </c>
      <c r="K57" t="str">
        <f t="shared" si="14"/>
        <v>Biodiesel</v>
      </c>
      <c r="L57" t="str">
        <f t="shared" si="14"/>
        <v>Coal</v>
      </c>
      <c r="M57" t="str">
        <f t="shared" si="14"/>
        <v>Pellet-Biomass</v>
      </c>
    </row>
    <row r="58" spans="1:13">
      <c r="F58" t="s">
        <v>19</v>
      </c>
      <c r="G58" t="str">
        <f>R4</f>
        <v>bulk</v>
      </c>
      <c r="H58" t="str">
        <f>S4</f>
        <v>container</v>
      </c>
      <c r="I58" t="str">
        <f t="shared" ref="I58:M58" si="15">T4</f>
        <v>base</v>
      </c>
      <c r="J58" t="str">
        <f t="shared" si="15"/>
        <v>base</v>
      </c>
      <c r="K58" t="str">
        <f t="shared" si="15"/>
        <v>base</v>
      </c>
      <c r="L58" t="str">
        <f t="shared" si="15"/>
        <v>base</v>
      </c>
      <c r="M58" t="str">
        <f t="shared" si="15"/>
        <v>base</v>
      </c>
    </row>
    <row r="59" spans="1:13">
      <c r="F59" t="s">
        <v>56</v>
      </c>
      <c r="G59" s="3">
        <f>B57/R5</f>
        <v>1.0715097344603173</v>
      </c>
      <c r="H59" s="3">
        <f>G53/S5</f>
        <v>0.66258123654713841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F60">
        <v>10</v>
      </c>
      <c r="G60" s="3">
        <f t="dataTable" ref="G60:M64" dt2D="0" dtr="0" r1="H43"/>
        <v>1.2790644066877432</v>
      </c>
      <c r="H60" s="3">
        <v>1.0325631383170208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F61">
        <v>15</v>
      </c>
      <c r="G61" s="3">
        <v>1.1387778483163944</v>
      </c>
      <c r="H61" s="3">
        <v>0.78249173736050259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F62">
        <v>20</v>
      </c>
      <c r="G62" s="3">
        <v>1.0715097344603173</v>
      </c>
      <c r="H62" s="3">
        <v>0.66258123654713841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F63">
        <v>25</v>
      </c>
      <c r="G63" s="3">
        <v>1.0333192785522061</v>
      </c>
      <c r="H63" s="3">
        <v>0.59450386033245484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F64">
        <v>30</v>
      </c>
      <c r="G64" s="3">
        <v>1.0095391026317015</v>
      </c>
      <c r="H64" s="3">
        <v>0.55211389812601475</v>
      </c>
      <c r="I64">
        <v>0</v>
      </c>
      <c r="J64">
        <v>0</v>
      </c>
      <c r="K64">
        <v>0</v>
      </c>
      <c r="L64">
        <v>0</v>
      </c>
      <c r="M64">
        <v>0</v>
      </c>
    </row>
  </sheetData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7"/>
  <sheetViews>
    <sheetView workbookViewId="0">
      <selection activeCell="C2" sqref="C2"/>
    </sheetView>
  </sheetViews>
  <sheetFormatPr baseColWidth="10" defaultRowHeight="15" x14ac:dyDescent="0"/>
  <cols>
    <col min="7" max="7" width="3.6640625" customWidth="1"/>
    <col min="10" max="10" width="12.1640625" bestFit="1" customWidth="1"/>
    <col min="14" max="14" width="6.33203125" customWidth="1"/>
    <col min="16" max="16" width="13.6640625" bestFit="1" customWidth="1"/>
  </cols>
  <sheetData>
    <row r="1" spans="1:19">
      <c r="A1" t="s">
        <v>60</v>
      </c>
      <c r="B1" t="s">
        <v>44</v>
      </c>
      <c r="C1" t="s">
        <v>45</v>
      </c>
      <c r="D1" t="s">
        <v>59</v>
      </c>
      <c r="E1" t="s">
        <v>53</v>
      </c>
      <c r="R1" t="s">
        <v>53</v>
      </c>
    </row>
    <row r="2" spans="1:19">
      <c r="A2">
        <v>2016</v>
      </c>
      <c r="B2" s="15">
        <f>inflation_rate</f>
        <v>1.7999999999999999E-2</v>
      </c>
      <c r="C2" s="15">
        <f>interest_rate_nominal</f>
        <v>7.9080000000000039E-2</v>
      </c>
      <c r="D2" s="8">
        <f>0.2*12</f>
        <v>2.4000000000000004</v>
      </c>
      <c r="E2">
        <f>AVERAGE(E19:E35)/$B$6</f>
        <v>8.3773496981989233</v>
      </c>
      <c r="F2">
        <f>AVERAGE(F19:F35)/$B$6</f>
        <v>5.5805611023458574</v>
      </c>
      <c r="R2">
        <f>AVERAGE(R19:R35)/$B$6</f>
        <v>4.5249753806557225</v>
      </c>
    </row>
    <row r="3" spans="1:19">
      <c r="C3" s="15"/>
      <c r="D3" s="15"/>
    </row>
    <row r="4" spans="1:19">
      <c r="A4" s="8" t="s">
        <v>61</v>
      </c>
      <c r="C4" s="15"/>
      <c r="D4" s="15"/>
      <c r="H4" s="8" t="s">
        <v>62</v>
      </c>
      <c r="J4" s="8"/>
      <c r="P4" s="8" t="s">
        <v>52</v>
      </c>
    </row>
    <row r="5" spans="1:19">
      <c r="B5" t="s">
        <v>46</v>
      </c>
      <c r="C5" t="s">
        <v>47</v>
      </c>
      <c r="D5" t="s">
        <v>45</v>
      </c>
      <c r="E5" t="s">
        <v>48</v>
      </c>
      <c r="F5" t="s">
        <v>49</v>
      </c>
      <c r="I5" t="s">
        <v>46</v>
      </c>
      <c r="J5" t="s">
        <v>47</v>
      </c>
      <c r="K5" t="s">
        <v>45</v>
      </c>
      <c r="L5" t="s">
        <v>48</v>
      </c>
      <c r="M5" t="s">
        <v>49</v>
      </c>
      <c r="P5" t="s">
        <v>54</v>
      </c>
      <c r="Q5" t="s">
        <v>50</v>
      </c>
      <c r="R5" t="s">
        <v>51</v>
      </c>
      <c r="S5" t="s">
        <v>49</v>
      </c>
    </row>
    <row r="6" spans="1:19">
      <c r="A6">
        <v>2016</v>
      </c>
      <c r="B6" s="8">
        <v>49.78</v>
      </c>
      <c r="E6">
        <f>SUM(B6:D6)</f>
        <v>49.78</v>
      </c>
      <c r="F6">
        <f t="shared" ref="F6:F35" si="0">E6*(1+$B$2)^(A$6-A6)</f>
        <v>49.78</v>
      </c>
      <c r="H6">
        <v>2016</v>
      </c>
      <c r="I6" s="8"/>
      <c r="L6">
        <f>SUM(I6:K6)</f>
        <v>0</v>
      </c>
      <c r="M6">
        <f t="shared" ref="M6:M35" si="1">L6*(1+$B$2)^(H$6-H6)</f>
        <v>0</v>
      </c>
      <c r="O6">
        <v>2016</v>
      </c>
      <c r="P6" s="8">
        <v>10</v>
      </c>
      <c r="Q6">
        <f t="shared" ref="Q6:Q35" si="2">($B$6-$P$6)*(1+$C$2)^(A6-A$6)</f>
        <v>39.78</v>
      </c>
      <c r="R6">
        <f>SUM(P6:Q6)</f>
        <v>49.78</v>
      </c>
      <c r="S6">
        <f>R6*(1+$B$2)^(O$6-O6)</f>
        <v>49.78</v>
      </c>
    </row>
    <row r="7" spans="1:19">
      <c r="A7">
        <v>2017</v>
      </c>
      <c r="C7">
        <f t="shared" ref="C7:C17" si="3">$D$2*(1+$B$2)^(A7-A$2)</f>
        <v>2.4432000000000005</v>
      </c>
      <c r="D7">
        <f t="shared" ref="D7:D35" si="4">C$2*E6</f>
        <v>3.9366024000000022</v>
      </c>
      <c r="E7">
        <f>E6+SUM(B7:D7)</f>
        <v>56.159802400000004</v>
      </c>
      <c r="F7">
        <f t="shared" si="0"/>
        <v>55.166800000000002</v>
      </c>
      <c r="H7">
        <v>2017</v>
      </c>
      <c r="K7">
        <f>$C$2*L6</f>
        <v>0</v>
      </c>
      <c r="L7">
        <f>L6+SUM(I7:K7)</f>
        <v>0</v>
      </c>
      <c r="M7">
        <f t="shared" si="1"/>
        <v>0</v>
      </c>
      <c r="O7">
        <v>2017</v>
      </c>
      <c r="P7">
        <f t="shared" ref="P7:P35" si="5">(1+$B$2)*P6</f>
        <v>10.18</v>
      </c>
      <c r="Q7">
        <f t="shared" si="2"/>
        <v>42.925802400000002</v>
      </c>
      <c r="R7">
        <f t="shared" ref="R7:R35" si="6">SUM(P7:Q7)</f>
        <v>53.105802400000002</v>
      </c>
      <c r="S7">
        <f t="shared" ref="S7:S35" si="7">R7*(1+$B$2)^(O$6-O7)</f>
        <v>52.166800000000002</v>
      </c>
    </row>
    <row r="8" spans="1:19">
      <c r="A8">
        <v>2018</v>
      </c>
      <c r="C8">
        <f t="shared" si="3"/>
        <v>2.4871776000000003</v>
      </c>
      <c r="D8">
        <f t="shared" si="4"/>
        <v>4.4411171737920023</v>
      </c>
      <c r="E8">
        <f t="shared" ref="E8:E33" si="8">E7+SUM(B8:D8)</f>
        <v>63.088097173792008</v>
      </c>
      <c r="F8">
        <f t="shared" si="0"/>
        <v>60.876808000000011</v>
      </c>
      <c r="H8">
        <v>2018</v>
      </c>
      <c r="K8">
        <f t="shared" ref="K8:K35" si="9">$C$2*L7</f>
        <v>0</v>
      </c>
      <c r="L8">
        <f t="shared" ref="L8:L33" si="10">L7+SUM(I8:K8)</f>
        <v>0</v>
      </c>
      <c r="M8">
        <f t="shared" si="1"/>
        <v>0</v>
      </c>
      <c r="O8">
        <v>2018</v>
      </c>
      <c r="P8">
        <f t="shared" si="5"/>
        <v>10.363239999999999</v>
      </c>
      <c r="Q8">
        <f t="shared" si="2"/>
        <v>46.320374853792003</v>
      </c>
      <c r="R8">
        <f t="shared" si="6"/>
        <v>56.683614853792001</v>
      </c>
      <c r="S8">
        <f t="shared" si="7"/>
        <v>54.696808000000004</v>
      </c>
    </row>
    <row r="9" spans="1:19">
      <c r="A9">
        <v>2019</v>
      </c>
      <c r="C9">
        <f t="shared" si="3"/>
        <v>2.5319467968000007</v>
      </c>
      <c r="D9">
        <f t="shared" si="4"/>
        <v>4.9890067245034748</v>
      </c>
      <c r="E9">
        <f t="shared" si="8"/>
        <v>70.609050695095476</v>
      </c>
      <c r="F9">
        <f t="shared" si="0"/>
        <v>66.92941648</v>
      </c>
      <c r="H9">
        <v>2019</v>
      </c>
      <c r="K9">
        <f t="shared" si="9"/>
        <v>0</v>
      </c>
      <c r="L9">
        <f t="shared" si="10"/>
        <v>0</v>
      </c>
      <c r="M9">
        <f t="shared" si="1"/>
        <v>0</v>
      </c>
      <c r="O9">
        <v>2019</v>
      </c>
      <c r="P9">
        <f t="shared" si="5"/>
        <v>10.54977832</v>
      </c>
      <c r="Q9">
        <f t="shared" si="2"/>
        <v>49.983390097229872</v>
      </c>
      <c r="R9">
        <f t="shared" si="6"/>
        <v>60.533168417229874</v>
      </c>
      <c r="S9">
        <f t="shared" si="7"/>
        <v>57.378616479999998</v>
      </c>
    </row>
    <row r="10" spans="1:19">
      <c r="A10">
        <v>2020</v>
      </c>
      <c r="C10">
        <f t="shared" si="3"/>
        <v>2.5775218391424004</v>
      </c>
      <c r="D10">
        <f t="shared" si="4"/>
        <v>5.5837637289681528</v>
      </c>
      <c r="E10">
        <f t="shared" si="8"/>
        <v>78.770336263206033</v>
      </c>
      <c r="F10">
        <f t="shared" si="0"/>
        <v>73.345181468800007</v>
      </c>
      <c r="H10">
        <v>2020</v>
      </c>
      <c r="K10">
        <f t="shared" si="9"/>
        <v>0</v>
      </c>
      <c r="L10">
        <f t="shared" si="10"/>
        <v>0</v>
      </c>
      <c r="M10">
        <f t="shared" si="1"/>
        <v>0</v>
      </c>
      <c r="O10">
        <v>2020</v>
      </c>
      <c r="P10">
        <f t="shared" si="5"/>
        <v>10.73967432976</v>
      </c>
      <c r="Q10">
        <f t="shared" si="2"/>
        <v>53.936076586118823</v>
      </c>
      <c r="R10">
        <f t="shared" si="6"/>
        <v>64.675750915878822</v>
      </c>
      <c r="S10">
        <f t="shared" si="7"/>
        <v>60.221333468800012</v>
      </c>
    </row>
    <row r="11" spans="1:19">
      <c r="A11">
        <v>2021</v>
      </c>
      <c r="C11">
        <f t="shared" si="3"/>
        <v>2.6239172322469639</v>
      </c>
      <c r="D11">
        <f t="shared" si="4"/>
        <v>6.2291581916943359</v>
      </c>
      <c r="E11">
        <f t="shared" si="8"/>
        <v>87.623411687147339</v>
      </c>
      <c r="F11">
        <f t="shared" si="0"/>
        <v>80.145892356928016</v>
      </c>
      <c r="H11">
        <v>2021</v>
      </c>
      <c r="K11">
        <f t="shared" si="9"/>
        <v>0</v>
      </c>
      <c r="L11">
        <f t="shared" si="10"/>
        <v>0</v>
      </c>
      <c r="M11">
        <f t="shared" si="1"/>
        <v>0</v>
      </c>
      <c r="O11">
        <v>2021</v>
      </c>
      <c r="P11">
        <f t="shared" si="5"/>
        <v>10.932988467695679</v>
      </c>
      <c r="Q11">
        <f t="shared" si="2"/>
        <v>58.2013415225491</v>
      </c>
      <c r="R11">
        <f t="shared" si="6"/>
        <v>69.13432999024478</v>
      </c>
      <c r="S11">
        <f t="shared" si="7"/>
        <v>63.234613476928004</v>
      </c>
    </row>
    <row r="12" spans="1:19">
      <c r="A12">
        <v>2022</v>
      </c>
      <c r="C12">
        <f t="shared" si="3"/>
        <v>2.6711477424274088</v>
      </c>
      <c r="D12">
        <f t="shared" si="4"/>
        <v>6.9292593962196154</v>
      </c>
      <c r="E12">
        <f t="shared" si="8"/>
        <v>97.223818825794368</v>
      </c>
      <c r="F12">
        <f t="shared" si="0"/>
        <v>87.354645898343705</v>
      </c>
      <c r="H12">
        <v>2022</v>
      </c>
      <c r="K12">
        <f t="shared" si="9"/>
        <v>0</v>
      </c>
      <c r="L12">
        <f t="shared" si="10"/>
        <v>0</v>
      </c>
      <c r="M12">
        <f t="shared" si="1"/>
        <v>0</v>
      </c>
      <c r="O12">
        <v>2022</v>
      </c>
      <c r="P12">
        <f t="shared" si="5"/>
        <v>11.129782260114203</v>
      </c>
      <c r="Q12">
        <f t="shared" si="2"/>
        <v>62.80390361015229</v>
      </c>
      <c r="R12">
        <f t="shared" si="6"/>
        <v>73.933685870266487</v>
      </c>
      <c r="S12">
        <f t="shared" si="7"/>
        <v>66.428690285543695</v>
      </c>
    </row>
    <row r="13" spans="1:19">
      <c r="A13">
        <v>2023</v>
      </c>
      <c r="C13">
        <f t="shared" si="3"/>
        <v>2.7192284017911028</v>
      </c>
      <c r="D13">
        <f t="shared" si="4"/>
        <v>7.688459592743822</v>
      </c>
      <c r="E13">
        <f t="shared" si="8"/>
        <v>107.63150682032929</v>
      </c>
      <c r="F13">
        <f t="shared" si="0"/>
        <v>94.995924652244312</v>
      </c>
      <c r="H13">
        <v>2023</v>
      </c>
      <c r="K13">
        <f t="shared" si="9"/>
        <v>0</v>
      </c>
      <c r="L13">
        <f t="shared" si="10"/>
        <v>0</v>
      </c>
      <c r="M13">
        <f t="shared" si="1"/>
        <v>0</v>
      </c>
      <c r="O13">
        <v>2023</v>
      </c>
      <c r="P13">
        <f t="shared" si="5"/>
        <v>11.330118340796259</v>
      </c>
      <c r="Q13">
        <f t="shared" si="2"/>
        <v>67.770436307643124</v>
      </c>
      <c r="R13">
        <f t="shared" si="6"/>
        <v>79.100554648439385</v>
      </c>
      <c r="S13">
        <f t="shared" si="7"/>
        <v>69.81441170267631</v>
      </c>
    </row>
    <row r="14" spans="1:19">
      <c r="A14">
        <v>2024</v>
      </c>
      <c r="C14">
        <f t="shared" si="3"/>
        <v>2.7681745130233426</v>
      </c>
      <c r="D14">
        <f t="shared" si="4"/>
        <v>8.5114995593516447</v>
      </c>
      <c r="E14">
        <f t="shared" si="8"/>
        <v>118.91118089270428</v>
      </c>
      <c r="F14">
        <f t="shared" si="0"/>
        <v>103.09568013137898</v>
      </c>
      <c r="H14">
        <v>2024</v>
      </c>
      <c r="I14">
        <f>'hedged hubs'!B14</f>
        <v>62.71</v>
      </c>
      <c r="K14">
        <f t="shared" si="9"/>
        <v>0</v>
      </c>
      <c r="L14">
        <f t="shared" si="10"/>
        <v>62.71</v>
      </c>
      <c r="M14">
        <f t="shared" si="1"/>
        <v>54.369404563161986</v>
      </c>
      <c r="O14">
        <v>2024</v>
      </c>
      <c r="P14">
        <f t="shared" si="5"/>
        <v>11.534060470930593</v>
      </c>
      <c r="Q14">
        <f t="shared" si="2"/>
        <v>73.129722410851571</v>
      </c>
      <c r="R14">
        <f t="shared" si="6"/>
        <v>84.663782881782168</v>
      </c>
      <c r="S14">
        <f t="shared" si="7"/>
        <v>73.403276404836916</v>
      </c>
    </row>
    <row r="15" spans="1:19">
      <c r="A15">
        <v>2025</v>
      </c>
      <c r="C15">
        <f t="shared" si="3"/>
        <v>2.8180016542577624</v>
      </c>
      <c r="D15">
        <f t="shared" si="4"/>
        <v>9.4034961849950598</v>
      </c>
      <c r="E15">
        <f t="shared" si="8"/>
        <v>131.1326787319571</v>
      </c>
      <c r="F15">
        <f t="shared" si="0"/>
        <v>111.68142093926174</v>
      </c>
      <c r="H15">
        <v>2025</v>
      </c>
      <c r="J15">
        <f t="shared" ref="J15:J35" si="11">$D$2*(1+$B$2)^(H15-$A$2)</f>
        <v>2.8180016542577624</v>
      </c>
      <c r="K15">
        <f t="shared" si="9"/>
        <v>4.9591068000000025</v>
      </c>
      <c r="L15">
        <f t="shared" si="10"/>
        <v>70.487108454257765</v>
      </c>
      <c r="M15">
        <f t="shared" si="1"/>
        <v>60.031568836951713</v>
      </c>
      <c r="O15">
        <v>2025</v>
      </c>
      <c r="P15">
        <f t="shared" si="5"/>
        <v>11.741673559407344</v>
      </c>
      <c r="Q15">
        <f t="shared" si="2"/>
        <v>78.912820859101714</v>
      </c>
      <c r="R15">
        <f t="shared" si="6"/>
        <v>90.65449441850906</v>
      </c>
      <c r="S15">
        <f t="shared" si="7"/>
        <v>77.20747298912714</v>
      </c>
    </row>
    <row r="16" spans="1:19">
      <c r="A16">
        <v>2026</v>
      </c>
      <c r="C16">
        <f t="shared" si="3"/>
        <v>2.8687256840344024</v>
      </c>
      <c r="D16">
        <f t="shared" si="4"/>
        <v>10.369972234123173</v>
      </c>
      <c r="E16">
        <f t="shared" si="8"/>
        <v>144.37137665011468</v>
      </c>
      <c r="F16">
        <f t="shared" si="0"/>
        <v>120.78230619561744</v>
      </c>
      <c r="H16">
        <v>2026</v>
      </c>
      <c r="J16">
        <f t="shared" si="11"/>
        <v>2.8687256840344024</v>
      </c>
      <c r="K16">
        <f t="shared" si="9"/>
        <v>5.5741205365627069</v>
      </c>
      <c r="L16">
        <f t="shared" si="10"/>
        <v>78.929954674854869</v>
      </c>
      <c r="M16">
        <f t="shared" si="1"/>
        <v>66.033462967168802</v>
      </c>
      <c r="O16">
        <v>2026</v>
      </c>
      <c r="P16">
        <f t="shared" si="5"/>
        <v>11.953023683476676</v>
      </c>
      <c r="Q16">
        <f t="shared" si="2"/>
        <v>85.153246732639474</v>
      </c>
      <c r="R16">
        <f t="shared" si="6"/>
        <v>97.106270416116146</v>
      </c>
      <c r="S16">
        <f t="shared" si="7"/>
        <v>81.239921368474739</v>
      </c>
    </row>
    <row r="17" spans="1:19">
      <c r="A17">
        <v>2027</v>
      </c>
      <c r="C17">
        <f t="shared" si="3"/>
        <v>2.9203627463470219</v>
      </c>
      <c r="D17">
        <f t="shared" si="4"/>
        <v>11.416888465491075</v>
      </c>
      <c r="E17">
        <f t="shared" si="8"/>
        <v>158.70862786195278</v>
      </c>
      <c r="F17">
        <f t="shared" si="0"/>
        <v>130.42924456735449</v>
      </c>
      <c r="H17">
        <v>2027</v>
      </c>
      <c r="J17">
        <f t="shared" si="11"/>
        <v>2.9203627463470219</v>
      </c>
      <c r="K17">
        <f t="shared" si="9"/>
        <v>6.2417808156875259</v>
      </c>
      <c r="L17">
        <f t="shared" si="10"/>
        <v>88.092098236889413</v>
      </c>
      <c r="M17">
        <f t="shared" si="1"/>
        <v>72.395470745198935</v>
      </c>
      <c r="O17">
        <v>2027</v>
      </c>
      <c r="P17">
        <f t="shared" si="5"/>
        <v>12.168178109779257</v>
      </c>
      <c r="Q17">
        <f t="shared" si="2"/>
        <v>91.887165484256613</v>
      </c>
      <c r="R17">
        <f t="shared" si="6"/>
        <v>104.05534359403588</v>
      </c>
      <c r="S17">
        <f t="shared" si="7"/>
        <v>85.514316650583254</v>
      </c>
    </row>
    <row r="18" spans="1:19">
      <c r="A18">
        <v>2028</v>
      </c>
      <c r="C18">
        <f>$D$2*(1+$B$2)^(A18-A$2)</f>
        <v>2.9729292757812678</v>
      </c>
      <c r="D18">
        <f t="shared" si="4"/>
        <v>12.550678291323232</v>
      </c>
      <c r="E18">
        <f t="shared" si="8"/>
        <v>174.23223542905728</v>
      </c>
      <c r="F18">
        <f t="shared" si="0"/>
        <v>140.65499924139579</v>
      </c>
      <c r="H18">
        <v>2028</v>
      </c>
      <c r="J18">
        <f t="shared" si="11"/>
        <v>2.9729292757812678</v>
      </c>
      <c r="K18">
        <f t="shared" si="9"/>
        <v>6.9663231285732179</v>
      </c>
      <c r="L18">
        <f t="shared" si="10"/>
        <v>98.031350641243904</v>
      </c>
      <c r="M18">
        <f t="shared" si="1"/>
        <v>79.139198989910881</v>
      </c>
      <c r="O18">
        <v>2028</v>
      </c>
      <c r="P18">
        <f t="shared" si="5"/>
        <v>12.387205315755283</v>
      </c>
      <c r="Q18">
        <f t="shared" si="2"/>
        <v>99.153602530751627</v>
      </c>
      <c r="R18">
        <f t="shared" si="6"/>
        <v>111.54080784650691</v>
      </c>
      <c r="S18">
        <f t="shared" si="7"/>
        <v>90.045175649618244</v>
      </c>
    </row>
    <row r="19" spans="1:19">
      <c r="A19">
        <v>2029</v>
      </c>
      <c r="C19">
        <f t="shared" ref="C19:C35" si="12">$D$2*(1+$B$2)^(A19-A$2)</f>
        <v>3.0264420027453309</v>
      </c>
      <c r="D19">
        <f t="shared" si="4"/>
        <v>13.778285177729856</v>
      </c>
      <c r="E19">
        <f t="shared" si="8"/>
        <v>191.03696260953248</v>
      </c>
      <c r="F19">
        <f t="shared" si="0"/>
        <v>151.49429919587951</v>
      </c>
      <c r="H19">
        <v>2029</v>
      </c>
      <c r="J19">
        <f t="shared" si="11"/>
        <v>3.0264420027453309</v>
      </c>
      <c r="K19">
        <f t="shared" si="9"/>
        <v>7.7523192087095714</v>
      </c>
      <c r="L19">
        <f t="shared" si="10"/>
        <v>108.81011185269881</v>
      </c>
      <c r="M19">
        <f t="shared" si="1"/>
        <v>86.287550929305525</v>
      </c>
      <c r="O19">
        <v>2029</v>
      </c>
      <c r="P19">
        <f t="shared" si="5"/>
        <v>12.610175011438878</v>
      </c>
      <c r="Q19">
        <f t="shared" si="2"/>
        <v>106.99466941888348</v>
      </c>
      <c r="R19">
        <f t="shared" si="6"/>
        <v>119.60484443032236</v>
      </c>
      <c r="S19">
        <f t="shared" si="7"/>
        <v>94.847886188595339</v>
      </c>
    </row>
    <row r="20" spans="1:19">
      <c r="A20">
        <v>2030</v>
      </c>
      <c r="C20">
        <f t="shared" si="12"/>
        <v>3.0809179587947471</v>
      </c>
      <c r="D20">
        <f t="shared" si="4"/>
        <v>15.107203003161835</v>
      </c>
      <c r="E20">
        <f t="shared" si="8"/>
        <v>209.22508357148905</v>
      </c>
      <c r="F20">
        <f t="shared" si="0"/>
        <v>162.98395714763228</v>
      </c>
      <c r="H20">
        <v>2030</v>
      </c>
      <c r="J20">
        <f t="shared" si="11"/>
        <v>3.0809179587947471</v>
      </c>
      <c r="K20">
        <f t="shared" si="9"/>
        <v>8.6047036453114263</v>
      </c>
      <c r="L20">
        <f t="shared" si="10"/>
        <v>120.49573345680498</v>
      </c>
      <c r="M20">
        <f t="shared" si="1"/>
        <v>93.864803985063872</v>
      </c>
      <c r="O20">
        <v>2030</v>
      </c>
      <c r="P20">
        <f t="shared" si="5"/>
        <v>12.837158161644778</v>
      </c>
      <c r="Q20">
        <f t="shared" si="2"/>
        <v>115.45580787652878</v>
      </c>
      <c r="R20">
        <f t="shared" si="6"/>
        <v>128.29296603817355</v>
      </c>
      <c r="S20">
        <f t="shared" si="7"/>
        <v>99.938759359911046</v>
      </c>
    </row>
    <row r="21" spans="1:19">
      <c r="A21">
        <v>2031</v>
      </c>
      <c r="C21">
        <f t="shared" si="12"/>
        <v>3.136374482053053</v>
      </c>
      <c r="D21">
        <f t="shared" si="4"/>
        <v>16.545519608833363</v>
      </c>
      <c r="E21">
        <f t="shared" si="8"/>
        <v>228.90697766237548</v>
      </c>
      <c r="F21">
        <f t="shared" si="0"/>
        <v>175.16299457649023</v>
      </c>
      <c r="H21">
        <v>2031</v>
      </c>
      <c r="J21">
        <f t="shared" si="11"/>
        <v>3.136374482053053</v>
      </c>
      <c r="K21">
        <f t="shared" si="9"/>
        <v>9.5288026017641432</v>
      </c>
      <c r="L21">
        <f t="shared" si="10"/>
        <v>133.16091054062218</v>
      </c>
      <c r="M21">
        <f t="shared" si="1"/>
        <v>101.89669222416769</v>
      </c>
      <c r="O21">
        <v>2031</v>
      </c>
      <c r="P21">
        <f t="shared" si="5"/>
        <v>13.068227008554384</v>
      </c>
      <c r="Q21">
        <f t="shared" si="2"/>
        <v>124.58605316340469</v>
      </c>
      <c r="R21">
        <f t="shared" si="6"/>
        <v>137.65428017195907</v>
      </c>
      <c r="S21">
        <f t="shared" si="7"/>
        <v>105.33508492150571</v>
      </c>
    </row>
    <row r="22" spans="1:19">
      <c r="A22">
        <v>2032</v>
      </c>
      <c r="C22">
        <f t="shared" si="12"/>
        <v>3.1928292227300075</v>
      </c>
      <c r="D22">
        <f t="shared" si="4"/>
        <v>18.101963793540662</v>
      </c>
      <c r="E22">
        <f t="shared" si="8"/>
        <v>250.20177067864614</v>
      </c>
      <c r="F22">
        <f t="shared" si="0"/>
        <v>188.07277425107966</v>
      </c>
      <c r="H22">
        <v>2032</v>
      </c>
      <c r="J22">
        <f t="shared" si="11"/>
        <v>3.1928292227300075</v>
      </c>
      <c r="K22">
        <f t="shared" si="9"/>
        <v>10.530364805552408</v>
      </c>
      <c r="L22">
        <f t="shared" si="10"/>
        <v>146.8841045689046</v>
      </c>
      <c r="M22">
        <f t="shared" si="1"/>
        <v>110.41049375761777</v>
      </c>
      <c r="O22">
        <v>2032</v>
      </c>
      <c r="P22">
        <f t="shared" si="5"/>
        <v>13.303455094708363</v>
      </c>
      <c r="Q22">
        <f t="shared" si="2"/>
        <v>134.43831824756674</v>
      </c>
      <c r="R22">
        <f t="shared" si="6"/>
        <v>147.74177334227511</v>
      </c>
      <c r="S22">
        <f t="shared" si="7"/>
        <v>111.05519001679608</v>
      </c>
    </row>
    <row r="23" spans="1:19">
      <c r="A23">
        <v>2033</v>
      </c>
      <c r="C23">
        <f t="shared" si="12"/>
        <v>3.2503001487391479</v>
      </c>
      <c r="D23">
        <f t="shared" si="4"/>
        <v>19.785956025267346</v>
      </c>
      <c r="E23">
        <f t="shared" si="8"/>
        <v>273.23802685265264</v>
      </c>
      <c r="F23">
        <f t="shared" si="0"/>
        <v>201.75714070614444</v>
      </c>
      <c r="H23">
        <v>2033</v>
      </c>
      <c r="J23">
        <f t="shared" si="11"/>
        <v>3.2503001487391479</v>
      </c>
      <c r="K23">
        <f t="shared" si="9"/>
        <v>11.615594989308981</v>
      </c>
      <c r="L23">
        <f t="shared" si="10"/>
        <v>161.74999970695274</v>
      </c>
      <c r="M23">
        <f t="shared" si="1"/>
        <v>119.43512338307484</v>
      </c>
      <c r="O23">
        <v>2033</v>
      </c>
      <c r="P23">
        <f t="shared" si="5"/>
        <v>13.542917286413115</v>
      </c>
      <c r="Q23">
        <f t="shared" si="2"/>
        <v>145.06970045458434</v>
      </c>
      <c r="R23">
        <f t="shared" si="6"/>
        <v>158.61261774099745</v>
      </c>
      <c r="S23">
        <f t="shared" si="7"/>
        <v>117.11850141780386</v>
      </c>
    </row>
    <row r="24" spans="1:19">
      <c r="A24">
        <v>2034</v>
      </c>
      <c r="C24">
        <f t="shared" si="12"/>
        <v>3.3088055514164525</v>
      </c>
      <c r="D24">
        <f t="shared" si="4"/>
        <v>21.60766316350778</v>
      </c>
      <c r="E24">
        <f t="shared" si="8"/>
        <v>298.15449556757687</v>
      </c>
      <c r="F24">
        <f t="shared" si="0"/>
        <v>216.26256914851311</v>
      </c>
      <c r="H24">
        <v>2034</v>
      </c>
      <c r="J24">
        <f t="shared" si="11"/>
        <v>3.3088055514164525</v>
      </c>
      <c r="K24">
        <f t="shared" si="9"/>
        <v>12.791189976825828</v>
      </c>
      <c r="L24">
        <f t="shared" si="10"/>
        <v>177.84999523519502</v>
      </c>
      <c r="M24">
        <f t="shared" si="1"/>
        <v>129.00123078605935</v>
      </c>
      <c r="O24">
        <v>2034</v>
      </c>
      <c r="P24">
        <f t="shared" si="5"/>
        <v>13.786689797568551</v>
      </c>
      <c r="Q24">
        <f t="shared" si="2"/>
        <v>156.54181236653287</v>
      </c>
      <c r="R24">
        <f t="shared" si="6"/>
        <v>170.32850216410142</v>
      </c>
      <c r="S24">
        <f t="shared" si="7"/>
        <v>123.54561150287209</v>
      </c>
    </row>
    <row r="25" spans="1:19">
      <c r="A25">
        <v>2035</v>
      </c>
      <c r="C25">
        <f t="shared" si="12"/>
        <v>3.3683640513419486</v>
      </c>
      <c r="D25">
        <f t="shared" si="4"/>
        <v>23.57805750948399</v>
      </c>
      <c r="E25">
        <f t="shared" si="8"/>
        <v>325.10091712840278</v>
      </c>
      <c r="F25">
        <f t="shared" si="0"/>
        <v>231.63832329742391</v>
      </c>
      <c r="H25">
        <v>2035</v>
      </c>
      <c r="J25">
        <f t="shared" si="11"/>
        <v>3.3683640513419486</v>
      </c>
      <c r="K25">
        <f t="shared" si="9"/>
        <v>14.064377623199229</v>
      </c>
      <c r="L25">
        <f t="shared" si="10"/>
        <v>195.2827369097362</v>
      </c>
      <c r="M25">
        <f t="shared" si="1"/>
        <v>139.14130463322292</v>
      </c>
      <c r="O25">
        <v>2035</v>
      </c>
      <c r="P25">
        <f t="shared" si="5"/>
        <v>14.034850213924784</v>
      </c>
      <c r="Q25">
        <f t="shared" si="2"/>
        <v>168.92113888847828</v>
      </c>
      <c r="R25">
        <f t="shared" si="6"/>
        <v>182.95598910240307</v>
      </c>
      <c r="S25">
        <f t="shared" si="7"/>
        <v>130.35834819304441</v>
      </c>
    </row>
    <row r="26" spans="1:19">
      <c r="A26">
        <v>2036</v>
      </c>
      <c r="C26">
        <f t="shared" si="12"/>
        <v>3.4289946042661041</v>
      </c>
      <c r="D26">
        <f t="shared" si="4"/>
        <v>25.708980526514104</v>
      </c>
      <c r="E26">
        <f t="shared" si="8"/>
        <v>354.23889225918299</v>
      </c>
      <c r="F26">
        <f t="shared" si="0"/>
        <v>247.93662269526931</v>
      </c>
      <c r="H26">
        <v>2036</v>
      </c>
      <c r="J26">
        <f t="shared" si="11"/>
        <v>3.4289946042661041</v>
      </c>
      <c r="K26">
        <f t="shared" si="9"/>
        <v>15.442958834821946</v>
      </c>
      <c r="L26">
        <f t="shared" si="10"/>
        <v>214.15469034882426</v>
      </c>
      <c r="M26">
        <f t="shared" si="1"/>
        <v>149.88978291121629</v>
      </c>
      <c r="O26">
        <v>2036</v>
      </c>
      <c r="P26">
        <f t="shared" si="5"/>
        <v>14.287477517775431</v>
      </c>
      <c r="Q26">
        <f t="shared" si="2"/>
        <v>182.27942255177919</v>
      </c>
      <c r="R26">
        <f t="shared" si="6"/>
        <v>196.56690006955463</v>
      </c>
      <c r="S26">
        <f t="shared" si="7"/>
        <v>137.57984908462709</v>
      </c>
    </row>
    <row r="27" spans="1:19">
      <c r="A27">
        <v>2037</v>
      </c>
      <c r="C27">
        <f t="shared" si="12"/>
        <v>3.4907165071428938</v>
      </c>
      <c r="D27">
        <f t="shared" si="4"/>
        <v>28.013211599856206</v>
      </c>
      <c r="E27">
        <f t="shared" si="8"/>
        <v>385.74282036618206</v>
      </c>
      <c r="F27">
        <f t="shared" si="0"/>
        <v>265.21282005698544</v>
      </c>
      <c r="H27">
        <v>2037</v>
      </c>
      <c r="J27">
        <f t="shared" si="11"/>
        <v>3.4907165071428938</v>
      </c>
      <c r="K27">
        <f t="shared" si="9"/>
        <v>16.935352912785032</v>
      </c>
      <c r="L27">
        <f t="shared" si="10"/>
        <v>234.58075976875219</v>
      </c>
      <c r="M27">
        <f t="shared" si="1"/>
        <v>161.28316988588927</v>
      </c>
      <c r="O27">
        <v>2037</v>
      </c>
      <c r="P27">
        <f t="shared" si="5"/>
        <v>14.544652113095388</v>
      </c>
      <c r="Q27">
        <f t="shared" si="2"/>
        <v>196.69407928717391</v>
      </c>
      <c r="R27">
        <f t="shared" si="6"/>
        <v>211.2387314002693</v>
      </c>
      <c r="S27">
        <f t="shared" si="7"/>
        <v>145.23464002970474</v>
      </c>
    </row>
    <row r="28" spans="1:19">
      <c r="A28">
        <v>2038</v>
      </c>
      <c r="C28">
        <f t="shared" si="12"/>
        <v>3.5535494042714655</v>
      </c>
      <c r="D28">
        <f t="shared" si="4"/>
        <v>30.504542234557693</v>
      </c>
      <c r="E28">
        <f t="shared" si="8"/>
        <v>419.80091200501124</v>
      </c>
      <c r="F28">
        <f t="shared" si="0"/>
        <v>283.52558926040467</v>
      </c>
      <c r="H28">
        <v>2038</v>
      </c>
      <c r="J28">
        <f t="shared" si="11"/>
        <v>3.5535494042714655</v>
      </c>
      <c r="K28">
        <f t="shared" si="9"/>
        <v>18.550646482512931</v>
      </c>
      <c r="L28">
        <f t="shared" si="10"/>
        <v>256.68495565553656</v>
      </c>
      <c r="M28">
        <f t="shared" si="1"/>
        <v>173.36016007904263</v>
      </c>
      <c r="O28">
        <v>2038</v>
      </c>
      <c r="P28">
        <f t="shared" si="5"/>
        <v>14.806455851131105</v>
      </c>
      <c r="Q28">
        <f t="shared" si="2"/>
        <v>212.24864707720357</v>
      </c>
      <c r="R28">
        <f t="shared" si="6"/>
        <v>227.05510292833469</v>
      </c>
      <c r="S28">
        <f t="shared" si="7"/>
        <v>153.34871843148701</v>
      </c>
    </row>
    <row r="29" spans="1:19">
      <c r="A29">
        <v>2039</v>
      </c>
      <c r="C29">
        <f t="shared" si="12"/>
        <v>3.6175132935483529</v>
      </c>
      <c r="D29">
        <f t="shared" si="4"/>
        <v>33.197856121356303</v>
      </c>
      <c r="E29">
        <f t="shared" si="8"/>
        <v>456.61628141991588</v>
      </c>
      <c r="F29">
        <f t="shared" si="0"/>
        <v>302.93712461602883</v>
      </c>
      <c r="H29">
        <v>2039</v>
      </c>
      <c r="J29">
        <f t="shared" si="11"/>
        <v>3.6175132935483529</v>
      </c>
      <c r="K29">
        <f t="shared" si="9"/>
        <v>20.298646293239841</v>
      </c>
      <c r="L29">
        <f t="shared" si="10"/>
        <v>280.60111524232474</v>
      </c>
      <c r="M29">
        <f t="shared" si="1"/>
        <v>186.16176968378514</v>
      </c>
      <c r="O29">
        <v>2039</v>
      </c>
      <c r="P29">
        <f t="shared" si="5"/>
        <v>15.072972056451466</v>
      </c>
      <c r="Q29">
        <f t="shared" si="2"/>
        <v>229.03327008806886</v>
      </c>
      <c r="R29">
        <f t="shared" si="6"/>
        <v>244.10624214452034</v>
      </c>
      <c r="S29">
        <f t="shared" si="7"/>
        <v>161.94964153737618</v>
      </c>
    </row>
    <row r="30" spans="1:19">
      <c r="A30">
        <v>2040</v>
      </c>
      <c r="C30">
        <f t="shared" si="12"/>
        <v>3.6826285328322226</v>
      </c>
      <c r="D30">
        <f t="shared" si="4"/>
        <v>36.109215534686967</v>
      </c>
      <c r="E30">
        <f t="shared" si="8"/>
        <v>496.40812548743509</v>
      </c>
      <c r="F30">
        <f t="shared" si="0"/>
        <v>323.51335209299066</v>
      </c>
      <c r="H30">
        <v>2040</v>
      </c>
      <c r="J30">
        <f t="shared" si="11"/>
        <v>3.6826285328322226</v>
      </c>
      <c r="K30">
        <f t="shared" si="9"/>
        <v>22.189936193363053</v>
      </c>
      <c r="L30">
        <f t="shared" si="10"/>
        <v>306.47367996852</v>
      </c>
      <c r="M30">
        <f t="shared" si="1"/>
        <v>199.7314758648123</v>
      </c>
      <c r="O30">
        <v>2040</v>
      </c>
      <c r="P30">
        <f t="shared" si="5"/>
        <v>15.344285553467593</v>
      </c>
      <c r="Q30">
        <f t="shared" si="2"/>
        <v>247.14522108663337</v>
      </c>
      <c r="R30">
        <f t="shared" si="6"/>
        <v>262.48950664010096</v>
      </c>
      <c r="S30">
        <f t="shared" si="7"/>
        <v>171.0666200296188</v>
      </c>
    </row>
    <row r="31" spans="1:19">
      <c r="A31">
        <v>2041</v>
      </c>
      <c r="C31">
        <f t="shared" si="12"/>
        <v>3.7489158464232029</v>
      </c>
      <c r="D31">
        <f t="shared" si="4"/>
        <v>39.255954563546389</v>
      </c>
      <c r="E31">
        <f t="shared" si="8"/>
        <v>539.4129958974047</v>
      </c>
      <c r="F31">
        <f t="shared" si="0"/>
        <v>345.32415321857013</v>
      </c>
      <c r="H31">
        <v>2041</v>
      </c>
      <c r="J31">
        <f t="shared" si="11"/>
        <v>3.7489158464232029</v>
      </c>
      <c r="K31">
        <f t="shared" si="9"/>
        <v>24.235938611910573</v>
      </c>
      <c r="L31">
        <f t="shared" si="10"/>
        <v>334.45853442685376</v>
      </c>
      <c r="M31">
        <f t="shared" si="1"/>
        <v>214.11536441670103</v>
      </c>
      <c r="O31">
        <v>2041</v>
      </c>
      <c r="P31">
        <f t="shared" si="5"/>
        <v>15.620482693430009</v>
      </c>
      <c r="Q31">
        <f t="shared" si="2"/>
        <v>266.6894651701644</v>
      </c>
      <c r="R31">
        <f t="shared" si="6"/>
        <v>282.3099478635944</v>
      </c>
      <c r="S31">
        <f t="shared" si="7"/>
        <v>180.73061723139597</v>
      </c>
    </row>
    <row r="32" spans="1:19">
      <c r="A32">
        <v>2042</v>
      </c>
      <c r="C32">
        <f t="shared" si="12"/>
        <v>3.8163963316588205</v>
      </c>
      <c r="D32">
        <f t="shared" si="4"/>
        <v>42.656779715566785</v>
      </c>
      <c r="E32">
        <f t="shared" si="8"/>
        <v>585.88617194463029</v>
      </c>
      <c r="F32">
        <f t="shared" si="0"/>
        <v>368.44360241168431</v>
      </c>
      <c r="H32">
        <v>2042</v>
      </c>
      <c r="J32">
        <f t="shared" si="11"/>
        <v>3.8163963316588205</v>
      </c>
      <c r="K32">
        <f t="shared" si="9"/>
        <v>26.448980902475608</v>
      </c>
      <c r="L32">
        <f t="shared" si="10"/>
        <v>364.72391166098816</v>
      </c>
      <c r="M32">
        <f t="shared" si="1"/>
        <v>229.36228628170306</v>
      </c>
      <c r="O32">
        <v>2042</v>
      </c>
      <c r="P32">
        <f t="shared" si="5"/>
        <v>15.90165138191175</v>
      </c>
      <c r="Q32">
        <f t="shared" si="2"/>
        <v>287.77926807582099</v>
      </c>
      <c r="R32">
        <f t="shared" si="6"/>
        <v>303.68091945773273</v>
      </c>
      <c r="S32">
        <f t="shared" si="7"/>
        <v>190.97445426527972</v>
      </c>
    </row>
    <row r="33" spans="1:19">
      <c r="A33">
        <v>2043</v>
      </c>
      <c r="C33">
        <f t="shared" si="12"/>
        <v>3.8850914656286792</v>
      </c>
      <c r="D33">
        <f t="shared" si="4"/>
        <v>46.331878477381387</v>
      </c>
      <c r="E33">
        <f t="shared" si="8"/>
        <v>636.10314188764039</v>
      </c>
      <c r="F33">
        <f t="shared" si="0"/>
        <v>392.95021855638538</v>
      </c>
      <c r="H33">
        <v>2043</v>
      </c>
      <c r="J33">
        <f t="shared" si="11"/>
        <v>3.8850914656286792</v>
      </c>
      <c r="K33">
        <f t="shared" si="9"/>
        <v>28.842366934150959</v>
      </c>
      <c r="L33">
        <f t="shared" si="10"/>
        <v>397.45137006076777</v>
      </c>
      <c r="M33">
        <f t="shared" si="1"/>
        <v>245.52402345860523</v>
      </c>
      <c r="O33">
        <v>2043</v>
      </c>
      <c r="P33">
        <f t="shared" si="5"/>
        <v>16.187881106786161</v>
      </c>
      <c r="Q33">
        <f t="shared" si="2"/>
        <v>310.5368525952569</v>
      </c>
      <c r="R33">
        <f t="shared" si="6"/>
        <v>326.72473370204307</v>
      </c>
      <c r="S33">
        <f t="shared" si="7"/>
        <v>201.83292152119648</v>
      </c>
    </row>
    <row r="34" spans="1:19">
      <c r="A34">
        <v>2044</v>
      </c>
      <c r="C34">
        <f t="shared" si="12"/>
        <v>3.9550231120099952</v>
      </c>
      <c r="D34">
        <f t="shared" si="4"/>
        <v>50.30303646047463</v>
      </c>
      <c r="E34">
        <f t="shared" ref="E34:E35" si="13">E33+SUM(B34:D34)</f>
        <v>690.36120146012502</v>
      </c>
      <c r="F34">
        <f t="shared" si="0"/>
        <v>418.92723166976862</v>
      </c>
      <c r="H34">
        <v>2044</v>
      </c>
      <c r="J34">
        <f t="shared" si="11"/>
        <v>3.9550231120099952</v>
      </c>
      <c r="K34">
        <f t="shared" si="9"/>
        <v>31.430454344405533</v>
      </c>
      <c r="L34">
        <f t="shared" ref="L34:L35" si="14">L33+SUM(I34:K34)</f>
        <v>432.83684751718329</v>
      </c>
      <c r="M34">
        <f t="shared" si="1"/>
        <v>262.65546486612158</v>
      </c>
      <c r="O34">
        <v>2044</v>
      </c>
      <c r="P34">
        <f t="shared" si="5"/>
        <v>16.479262966708312</v>
      </c>
      <c r="Q34">
        <f t="shared" si="2"/>
        <v>335.09410689848983</v>
      </c>
      <c r="R34">
        <f t="shared" si="6"/>
        <v>351.57336986519812</v>
      </c>
      <c r="S34">
        <f t="shared" si="7"/>
        <v>213.34289681246833</v>
      </c>
    </row>
    <row r="35" spans="1:19">
      <c r="A35">
        <v>2045</v>
      </c>
      <c r="C35">
        <f t="shared" si="12"/>
        <v>4.0262135280261759</v>
      </c>
      <c r="D35">
        <f t="shared" si="4"/>
        <v>54.593763811466715</v>
      </c>
      <c r="E35">
        <f t="shared" si="13"/>
        <v>748.98117879961796</v>
      </c>
      <c r="F35">
        <f t="shared" si="0"/>
        <v>446.46286556995466</v>
      </c>
      <c r="H35">
        <v>2045</v>
      </c>
      <c r="J35">
        <f t="shared" si="11"/>
        <v>4.0262135280261759</v>
      </c>
      <c r="K35">
        <f t="shared" si="9"/>
        <v>34.228737901658874</v>
      </c>
      <c r="L35">
        <f t="shared" si="14"/>
        <v>471.09179894686832</v>
      </c>
      <c r="M35">
        <f t="shared" si="1"/>
        <v>280.8147927580888</v>
      </c>
      <c r="O35">
        <v>2045</v>
      </c>
      <c r="P35">
        <f t="shared" si="5"/>
        <v>16.775889700109062</v>
      </c>
      <c r="Q35">
        <f t="shared" si="2"/>
        <v>361.59334887202243</v>
      </c>
      <c r="R35">
        <f t="shared" si="6"/>
        <v>378.36923857213151</v>
      </c>
      <c r="S35">
        <f t="shared" si="7"/>
        <v>225.54347062121641</v>
      </c>
    </row>
    <row r="37" spans="1:19">
      <c r="E37">
        <f>(E35/E19)^(1/($A35-$A19))</f>
        <v>1.0891422204830907</v>
      </c>
      <c r="F37">
        <f>(F35/F19)^(1/($A35-$A19))</f>
        <v>1.0698843030285763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4" sqref="D4"/>
    </sheetView>
  </sheetViews>
  <sheetFormatPr baseColWidth="10" defaultRowHeight="15" x14ac:dyDescent="0"/>
  <sheetData>
    <row r="2" spans="2:4">
      <c r="B2">
        <v>1</v>
      </c>
    </row>
    <row r="3" spans="2:4">
      <c r="C3" t="s">
        <v>55</v>
      </c>
      <c r="D3">
        <f>B2*3</f>
        <v>3</v>
      </c>
    </row>
    <row r="4" spans="2:4">
      <c r="C4">
        <v>1</v>
      </c>
      <c r="D4">
        <f t="dataTable" ref="D4:D6" dt2D="0" dtr="0" r1="B2"/>
        <v>3</v>
      </c>
    </row>
    <row r="5" spans="2:4">
      <c r="C5">
        <v>2</v>
      </c>
      <c r="D5">
        <v>6</v>
      </c>
    </row>
    <row r="6" spans="2:4">
      <c r="C6">
        <v>3</v>
      </c>
      <c r="D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hedged hubs</vt:lpstr>
      <vt:lpstr>physical hedge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Fripp</dc:creator>
  <cp:lastModifiedBy>Matthias Fripp</cp:lastModifiedBy>
  <dcterms:created xsi:type="dcterms:W3CDTF">2016-06-23T07:32:22Z</dcterms:created>
  <dcterms:modified xsi:type="dcterms:W3CDTF">2016-12-01T20:48:37Z</dcterms:modified>
</cp:coreProperties>
</file>