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hias/Dropbox/Research/Shared/Switch-Hawaii/data/EIA-based fuel cost forecasts/"/>
    </mc:Choice>
  </mc:AlternateContent>
  <bookViews>
    <workbookView xWindow="1200" yWindow="460" windowWidth="29640" windowHeight="17920" tabRatio="500" activeTab="1"/>
  </bookViews>
  <sheets>
    <sheet name="hedged hubs" sheetId="1" r:id="rId1"/>
    <sheet name="storage hedge" sheetId="2" r:id="rId2"/>
    <sheet name="Sheet2" sheetId="3" r:id="rId3"/>
  </sheets>
  <externalReferences>
    <externalReference r:id="rId4"/>
  </externalReferences>
  <definedNames>
    <definedName name="base_year">'hedged hubs'!$H$43</definedName>
    <definedName name="fuel_prices">'hedged hubs'!$M$3:$T$35</definedName>
    <definedName name="inflation_rate">'hedged hubs'!$I$43</definedName>
    <definedName name="interest_rate">'hedged hubs'!$F$43</definedName>
    <definedName name="tier_fixed_costs">'hedged hubs'!$F$57:$M$62</definedName>
    <definedName name="tier_properties">'hedged hubs'!$V$3:$AC$5</definedName>
    <definedName name="years">'hedged hubs'!$A$5:$A$20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" i="2" l="1"/>
  <c r="B2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F35" i="2"/>
  <c r="F19" i="2"/>
  <c r="F37" i="2"/>
  <c r="AC3" i="1"/>
  <c r="M57" i="1"/>
  <c r="AC4" i="1"/>
  <c r="M58" i="1"/>
  <c r="P3" i="1"/>
  <c r="Y3" i="1"/>
  <c r="I57" i="1"/>
  <c r="Q3" i="1"/>
  <c r="Z3" i="1"/>
  <c r="J57" i="1"/>
  <c r="R3" i="1"/>
  <c r="AA3" i="1"/>
  <c r="K57" i="1"/>
  <c r="AB3" i="1"/>
  <c r="L57" i="1"/>
  <c r="Y4" i="1"/>
  <c r="I58" i="1"/>
  <c r="Z4" i="1"/>
  <c r="J58" i="1"/>
  <c r="AA4" i="1"/>
  <c r="K58" i="1"/>
  <c r="AB4" i="1"/>
  <c r="L58" i="1"/>
  <c r="V4" i="1"/>
  <c r="V3" i="1"/>
  <c r="W4" i="1"/>
  <c r="G58" i="1"/>
  <c r="X4" i="1"/>
  <c r="H58" i="1"/>
  <c r="O3" i="1"/>
  <c r="X3" i="1"/>
  <c r="H57" i="1"/>
  <c r="N3" i="1"/>
  <c r="W3" i="1"/>
  <c r="G57" i="1"/>
  <c r="D3" i="3"/>
  <c r="B6" i="2"/>
  <c r="E6" i="2"/>
  <c r="C7" i="2"/>
  <c r="A2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B30" i="1"/>
  <c r="G30" i="1"/>
  <c r="A30" i="1"/>
  <c r="N30" i="1"/>
  <c r="C31" i="2"/>
  <c r="B31" i="1"/>
  <c r="G31" i="1"/>
  <c r="A31" i="1"/>
  <c r="N31" i="1"/>
  <c r="C32" i="2"/>
  <c r="B32" i="1"/>
  <c r="G32" i="1"/>
  <c r="A32" i="1"/>
  <c r="N32" i="1"/>
  <c r="C33" i="2"/>
  <c r="B33" i="1"/>
  <c r="G33" i="1"/>
  <c r="A33" i="1"/>
  <c r="N33" i="1"/>
  <c r="C34" i="2"/>
  <c r="B34" i="1"/>
  <c r="G34" i="1"/>
  <c r="A34" i="1"/>
  <c r="N34" i="1"/>
  <c r="AF8" i="1"/>
  <c r="B25" i="1"/>
  <c r="G25" i="1"/>
  <c r="A25" i="1"/>
  <c r="N25" i="1"/>
  <c r="B26" i="1"/>
  <c r="G26" i="1"/>
  <c r="A26" i="1"/>
  <c r="N26" i="1"/>
  <c r="B27" i="1"/>
  <c r="G27" i="1"/>
  <c r="A27" i="1"/>
  <c r="N27" i="1"/>
  <c r="B28" i="1"/>
  <c r="G28" i="1"/>
  <c r="A28" i="1"/>
  <c r="N28" i="1"/>
  <c r="B29" i="1"/>
  <c r="G29" i="1"/>
  <c r="A29" i="1"/>
  <c r="N29" i="1"/>
  <c r="AF7" i="1"/>
  <c r="B20" i="1"/>
  <c r="G20" i="1"/>
  <c r="A20" i="1"/>
  <c r="N20" i="1"/>
  <c r="B21" i="1"/>
  <c r="G21" i="1"/>
  <c r="A21" i="1"/>
  <c r="N21" i="1"/>
  <c r="B22" i="1"/>
  <c r="G22" i="1"/>
  <c r="A22" i="1"/>
  <c r="N22" i="1"/>
  <c r="B23" i="1"/>
  <c r="G23" i="1"/>
  <c r="A23" i="1"/>
  <c r="N23" i="1"/>
  <c r="B24" i="1"/>
  <c r="G24" i="1"/>
  <c r="A24" i="1"/>
  <c r="N24" i="1"/>
  <c r="AF6" i="1"/>
  <c r="G15" i="1"/>
  <c r="N15" i="1"/>
  <c r="G16" i="1"/>
  <c r="N16" i="1"/>
  <c r="G17" i="1"/>
  <c r="N17" i="1"/>
  <c r="G18" i="1"/>
  <c r="N18" i="1"/>
  <c r="B19" i="1"/>
  <c r="G19" i="1"/>
  <c r="A19" i="1"/>
  <c r="N19" i="1"/>
  <c r="AF5" i="1"/>
  <c r="G10" i="1"/>
  <c r="N10" i="1"/>
  <c r="G11" i="1"/>
  <c r="N11" i="1"/>
  <c r="G12" i="1"/>
  <c r="N12" i="1"/>
  <c r="G13" i="1"/>
  <c r="N13" i="1"/>
  <c r="G14" i="1"/>
  <c r="N14" i="1"/>
  <c r="AF4" i="1"/>
  <c r="AG3" i="1"/>
  <c r="AH3" i="1"/>
  <c r="AI3" i="1"/>
  <c r="AJ3" i="1"/>
  <c r="AK3" i="1"/>
  <c r="AF3" i="1"/>
  <c r="M30" i="1"/>
  <c r="M34" i="1"/>
  <c r="AE8" i="1"/>
  <c r="M25" i="1"/>
  <c r="M29" i="1"/>
  <c r="AE7" i="1"/>
  <c r="M20" i="1"/>
  <c r="M24" i="1"/>
  <c r="AE6" i="1"/>
  <c r="M19" i="1"/>
  <c r="M15" i="1"/>
  <c r="AE5" i="1"/>
  <c r="M10" i="1"/>
  <c r="M14" i="1"/>
  <c r="AE4" i="1"/>
  <c r="H10" i="1"/>
  <c r="O10" i="1"/>
  <c r="H11" i="1"/>
  <c r="O11" i="1"/>
  <c r="H12" i="1"/>
  <c r="O12" i="1"/>
  <c r="H13" i="1"/>
  <c r="O13" i="1"/>
  <c r="H14" i="1"/>
  <c r="O14" i="1"/>
  <c r="I10" i="1"/>
  <c r="P10" i="1"/>
  <c r="I11" i="1"/>
  <c r="P11" i="1"/>
  <c r="I12" i="1"/>
  <c r="P12" i="1"/>
  <c r="I13" i="1"/>
  <c r="P13" i="1"/>
  <c r="I14" i="1"/>
  <c r="P14" i="1"/>
  <c r="AG4" i="1"/>
  <c r="J10" i="1"/>
  <c r="Q10" i="1"/>
  <c r="J11" i="1"/>
  <c r="Q11" i="1"/>
  <c r="J12" i="1"/>
  <c r="Q12" i="1"/>
  <c r="J13" i="1"/>
  <c r="Q13" i="1"/>
  <c r="J14" i="1"/>
  <c r="Q14" i="1"/>
  <c r="AH4" i="1"/>
  <c r="K10" i="1"/>
  <c r="R10" i="1"/>
  <c r="K11" i="1"/>
  <c r="R11" i="1"/>
  <c r="K12" i="1"/>
  <c r="R12" i="1"/>
  <c r="K13" i="1"/>
  <c r="R13" i="1"/>
  <c r="K14" i="1"/>
  <c r="R14" i="1"/>
  <c r="AI4" i="1"/>
  <c r="S10" i="1"/>
  <c r="S11" i="1"/>
  <c r="S12" i="1"/>
  <c r="S13" i="1"/>
  <c r="S14" i="1"/>
  <c r="AJ4" i="1"/>
  <c r="T10" i="1"/>
  <c r="T11" i="1"/>
  <c r="T12" i="1"/>
  <c r="T13" i="1"/>
  <c r="T14" i="1"/>
  <c r="AK4" i="1"/>
  <c r="H15" i="1"/>
  <c r="O15" i="1"/>
  <c r="H16" i="1"/>
  <c r="O16" i="1"/>
  <c r="H17" i="1"/>
  <c r="O17" i="1"/>
  <c r="H18" i="1"/>
  <c r="O18" i="1"/>
  <c r="C2" i="1"/>
  <c r="C19" i="1"/>
  <c r="H19" i="1"/>
  <c r="O19" i="1"/>
  <c r="I15" i="1"/>
  <c r="P15" i="1"/>
  <c r="I16" i="1"/>
  <c r="P16" i="1"/>
  <c r="I17" i="1"/>
  <c r="P17" i="1"/>
  <c r="I18" i="1"/>
  <c r="P18" i="1"/>
  <c r="I19" i="1"/>
  <c r="P19" i="1"/>
  <c r="AG5" i="1"/>
  <c r="J15" i="1"/>
  <c r="Q15" i="1"/>
  <c r="J16" i="1"/>
  <c r="Q16" i="1"/>
  <c r="J17" i="1"/>
  <c r="Q17" i="1"/>
  <c r="J18" i="1"/>
  <c r="Q18" i="1"/>
  <c r="J19" i="1"/>
  <c r="Q19" i="1"/>
  <c r="AH5" i="1"/>
  <c r="K15" i="1"/>
  <c r="R15" i="1"/>
  <c r="K16" i="1"/>
  <c r="R16" i="1"/>
  <c r="K17" i="1"/>
  <c r="R17" i="1"/>
  <c r="K18" i="1"/>
  <c r="R18" i="1"/>
  <c r="K19" i="1"/>
  <c r="R19" i="1"/>
  <c r="AI5" i="1"/>
  <c r="S15" i="1"/>
  <c r="S16" i="1"/>
  <c r="S17" i="1"/>
  <c r="S18" i="1"/>
  <c r="S19" i="1"/>
  <c r="AJ5" i="1"/>
  <c r="T15" i="1"/>
  <c r="T16" i="1"/>
  <c r="T17" i="1"/>
  <c r="T18" i="1"/>
  <c r="T19" i="1"/>
  <c r="AK5" i="1"/>
  <c r="C20" i="1"/>
  <c r="H20" i="1"/>
  <c r="O20" i="1"/>
  <c r="I20" i="1"/>
  <c r="P20" i="1"/>
  <c r="I21" i="1"/>
  <c r="P21" i="1"/>
  <c r="I22" i="1"/>
  <c r="P22" i="1"/>
  <c r="I23" i="1"/>
  <c r="P23" i="1"/>
  <c r="I24" i="1"/>
  <c r="P24" i="1"/>
  <c r="AG6" i="1"/>
  <c r="J20" i="1"/>
  <c r="Q20" i="1"/>
  <c r="J21" i="1"/>
  <c r="Q21" i="1"/>
  <c r="J22" i="1"/>
  <c r="Q22" i="1"/>
  <c r="J23" i="1"/>
  <c r="Q23" i="1"/>
  <c r="J24" i="1"/>
  <c r="Q24" i="1"/>
  <c r="AH6" i="1"/>
  <c r="K20" i="1"/>
  <c r="R20" i="1"/>
  <c r="K21" i="1"/>
  <c r="R21" i="1"/>
  <c r="K22" i="1"/>
  <c r="R22" i="1"/>
  <c r="K23" i="1"/>
  <c r="R23" i="1"/>
  <c r="K24" i="1"/>
  <c r="R24" i="1"/>
  <c r="AI6" i="1"/>
  <c r="S20" i="1"/>
  <c r="S21" i="1"/>
  <c r="S22" i="1"/>
  <c r="S23" i="1"/>
  <c r="S24" i="1"/>
  <c r="AJ6" i="1"/>
  <c r="T20" i="1"/>
  <c r="T21" i="1"/>
  <c r="T22" i="1"/>
  <c r="T23" i="1"/>
  <c r="T24" i="1"/>
  <c r="AK6" i="1"/>
  <c r="I25" i="1"/>
  <c r="P25" i="1"/>
  <c r="I26" i="1"/>
  <c r="P26" i="1"/>
  <c r="I27" i="1"/>
  <c r="P27" i="1"/>
  <c r="I28" i="1"/>
  <c r="P28" i="1"/>
  <c r="I29" i="1"/>
  <c r="P29" i="1"/>
  <c r="AG7" i="1"/>
  <c r="J25" i="1"/>
  <c r="Q25" i="1"/>
  <c r="J26" i="1"/>
  <c r="Q26" i="1"/>
  <c r="J27" i="1"/>
  <c r="Q27" i="1"/>
  <c r="J28" i="1"/>
  <c r="Q28" i="1"/>
  <c r="J29" i="1"/>
  <c r="Q29" i="1"/>
  <c r="AH7" i="1"/>
  <c r="K25" i="1"/>
  <c r="R25" i="1"/>
  <c r="K26" i="1"/>
  <c r="R26" i="1"/>
  <c r="K27" i="1"/>
  <c r="R27" i="1"/>
  <c r="K28" i="1"/>
  <c r="R28" i="1"/>
  <c r="K29" i="1"/>
  <c r="R29" i="1"/>
  <c r="AI7" i="1"/>
  <c r="S25" i="1"/>
  <c r="S26" i="1"/>
  <c r="S27" i="1"/>
  <c r="S28" i="1"/>
  <c r="S29" i="1"/>
  <c r="AJ7" i="1"/>
  <c r="T25" i="1"/>
  <c r="T26" i="1"/>
  <c r="T27" i="1"/>
  <c r="T28" i="1"/>
  <c r="T29" i="1"/>
  <c r="AK7" i="1"/>
  <c r="I30" i="1"/>
  <c r="P30" i="1"/>
  <c r="I31" i="1"/>
  <c r="P31" i="1"/>
  <c r="I32" i="1"/>
  <c r="P32" i="1"/>
  <c r="I33" i="1"/>
  <c r="P33" i="1"/>
  <c r="I34" i="1"/>
  <c r="P34" i="1"/>
  <c r="AG8" i="1"/>
  <c r="J30" i="1"/>
  <c r="Q30" i="1"/>
  <c r="J31" i="1"/>
  <c r="Q31" i="1"/>
  <c r="J32" i="1"/>
  <c r="Q32" i="1"/>
  <c r="J33" i="1"/>
  <c r="Q33" i="1"/>
  <c r="J34" i="1"/>
  <c r="Q34" i="1"/>
  <c r="AH8" i="1"/>
  <c r="K30" i="1"/>
  <c r="R30" i="1"/>
  <c r="K31" i="1"/>
  <c r="R31" i="1"/>
  <c r="K32" i="1"/>
  <c r="R32" i="1"/>
  <c r="K33" i="1"/>
  <c r="R33" i="1"/>
  <c r="K34" i="1"/>
  <c r="R34" i="1"/>
  <c r="AI8" i="1"/>
  <c r="S30" i="1"/>
  <c r="S31" i="1"/>
  <c r="S32" i="1"/>
  <c r="S33" i="1"/>
  <c r="S34" i="1"/>
  <c r="AJ8" i="1"/>
  <c r="T30" i="1"/>
  <c r="T31" i="1"/>
  <c r="T32" i="1"/>
  <c r="T33" i="1"/>
  <c r="T34" i="1"/>
  <c r="AK8" i="1"/>
  <c r="C35" i="2"/>
  <c r="B35" i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K2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2" i="2"/>
  <c r="E2" i="2"/>
  <c r="M21" i="1"/>
  <c r="M22" i="1"/>
  <c r="M23" i="1"/>
  <c r="M26" i="1"/>
  <c r="M27" i="1"/>
  <c r="M28" i="1"/>
  <c r="M31" i="1"/>
  <c r="M32" i="1"/>
  <c r="M33" i="1"/>
  <c r="A35" i="1"/>
  <c r="M35" i="1"/>
  <c r="G35" i="1"/>
  <c r="N35" i="1"/>
  <c r="I35" i="1"/>
  <c r="P35" i="1"/>
  <c r="J35" i="1"/>
  <c r="Q35" i="1"/>
  <c r="K35" i="1"/>
  <c r="R35" i="1"/>
  <c r="S35" i="1"/>
  <c r="T35" i="1"/>
  <c r="E19" i="1"/>
  <c r="F19" i="1"/>
  <c r="E20" i="1"/>
  <c r="F20" i="1"/>
  <c r="J18" i="2"/>
  <c r="K18" i="2"/>
  <c r="F18" i="2"/>
  <c r="J17" i="2"/>
  <c r="K17" i="2"/>
  <c r="F17" i="2"/>
  <c r="J16" i="2"/>
  <c r="K16" i="2"/>
  <c r="F16" i="2"/>
  <c r="J15" i="2"/>
  <c r="K15" i="2"/>
  <c r="F15" i="2"/>
  <c r="J14" i="2"/>
  <c r="K14" i="2"/>
  <c r="F14" i="2"/>
  <c r="J13" i="2"/>
  <c r="K13" i="2"/>
  <c r="F13" i="2"/>
  <c r="J12" i="2"/>
  <c r="K12" i="2"/>
  <c r="F12" i="2"/>
  <c r="J11" i="2"/>
  <c r="K11" i="2"/>
  <c r="F11" i="2"/>
  <c r="J10" i="2"/>
  <c r="K10" i="2"/>
  <c r="F10" i="2"/>
  <c r="J9" i="2"/>
  <c r="K9" i="2"/>
  <c r="F9" i="2"/>
  <c r="J8" i="2"/>
  <c r="K8" i="2"/>
  <c r="F8" i="2"/>
  <c r="J7" i="2"/>
  <c r="K7" i="2"/>
  <c r="F7" i="2"/>
  <c r="J6" i="2"/>
  <c r="K6" i="2"/>
  <c r="F6" i="2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M6" i="1"/>
  <c r="M7" i="1"/>
  <c r="M8" i="1"/>
  <c r="M9" i="1"/>
  <c r="M11" i="1"/>
  <c r="M12" i="1"/>
  <c r="M13" i="1"/>
  <c r="M16" i="1"/>
  <c r="M17" i="1"/>
  <c r="M18" i="1"/>
  <c r="M5" i="1"/>
  <c r="B2" i="1"/>
  <c r="S5" i="1"/>
  <c r="S6" i="1"/>
  <c r="S7" i="1"/>
  <c r="S8" i="1"/>
  <c r="S9" i="1"/>
  <c r="T5" i="1"/>
  <c r="T6" i="1"/>
  <c r="T7" i="1"/>
  <c r="T8" i="1"/>
  <c r="T9" i="1"/>
  <c r="J5" i="1"/>
  <c r="K5" i="1"/>
  <c r="R5" i="1"/>
  <c r="B6" i="1"/>
  <c r="J6" i="1"/>
  <c r="K6" i="1"/>
  <c r="R6" i="1"/>
  <c r="B7" i="1"/>
  <c r="J7" i="1"/>
  <c r="K7" i="1"/>
  <c r="R7" i="1"/>
  <c r="B8" i="1"/>
  <c r="J8" i="1"/>
  <c r="K8" i="1"/>
  <c r="R8" i="1"/>
  <c r="J9" i="1"/>
  <c r="K9" i="1"/>
  <c r="R9" i="1"/>
  <c r="H5" i="1"/>
  <c r="O5" i="1"/>
  <c r="C6" i="1"/>
  <c r="H6" i="1"/>
  <c r="O6" i="1"/>
  <c r="C7" i="1"/>
  <c r="H7" i="1"/>
  <c r="O7" i="1"/>
  <c r="C8" i="1"/>
  <c r="H8" i="1"/>
  <c r="O8" i="1"/>
  <c r="H9" i="1"/>
  <c r="O9" i="1"/>
  <c r="I5" i="1"/>
  <c r="P5" i="1"/>
  <c r="I6" i="1"/>
  <c r="P6" i="1"/>
  <c r="I7" i="1"/>
  <c r="P7" i="1"/>
  <c r="I8" i="1"/>
  <c r="P8" i="1"/>
  <c r="I9" i="1"/>
  <c r="P9" i="1"/>
  <c r="Q5" i="1"/>
  <c r="Q6" i="1"/>
  <c r="Q7" i="1"/>
  <c r="Q8" i="1"/>
  <c r="Q9" i="1"/>
  <c r="G5" i="1"/>
  <c r="N5" i="1"/>
  <c r="G6" i="1"/>
  <c r="N6" i="1"/>
  <c r="G7" i="1"/>
  <c r="N7" i="1"/>
  <c r="G8" i="1"/>
  <c r="N8" i="1"/>
  <c r="G9" i="1"/>
  <c r="N9" i="1"/>
  <c r="O2" i="1"/>
  <c r="N2" i="1"/>
  <c r="C55" i="1"/>
  <c r="G49" i="1"/>
  <c r="B55" i="1"/>
  <c r="D55" i="1"/>
  <c r="B54" i="1"/>
  <c r="H47" i="1"/>
  <c r="G48" i="1"/>
  <c r="G51" i="1"/>
  <c r="G53" i="1"/>
  <c r="G54" i="1"/>
  <c r="X5" i="1"/>
  <c r="H59" i="1"/>
  <c r="B56" i="1"/>
  <c r="B57" i="1"/>
  <c r="C54" i="1"/>
  <c r="W5" i="1"/>
  <c r="G59" i="1"/>
  <c r="C56" i="1"/>
  <c r="D42" i="1"/>
  <c r="D43" i="1"/>
  <c r="D44" i="1"/>
  <c r="D45" i="1"/>
  <c r="D46" i="1"/>
  <c r="D47" i="1"/>
  <c r="D48" i="1"/>
  <c r="D49" i="1"/>
  <c r="D50" i="1"/>
  <c r="D51" i="1"/>
  <c r="D4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5" i="1"/>
  <c r="E5" i="1"/>
  <c r="F39" i="1"/>
  <c r="D54" i="1"/>
  <c r="D56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B42" i="1"/>
  <c r="B43" i="1"/>
  <c r="B44" i="1"/>
  <c r="B45" i="1"/>
  <c r="B46" i="1"/>
  <c r="B47" i="1"/>
  <c r="B48" i="1"/>
  <c r="B49" i="1"/>
  <c r="B50" i="1"/>
  <c r="B51" i="1"/>
  <c r="B41" i="1"/>
  <c r="C3" i="1"/>
  <c r="B3" i="1"/>
</calcChain>
</file>

<file path=xl/comments1.xml><?xml version="1.0" encoding="utf-8"?>
<comments xmlns="http://schemas.openxmlformats.org/spreadsheetml/2006/main">
  <authors>
    <author>Matthias Fripp</author>
    <author>Microsoft Office User</author>
  </authors>
  <commentList>
    <comment ref="S3" authorId="0">
      <text>
        <r>
          <rPr>
            <sz val="9"/>
            <color indexed="81"/>
            <rFont val="Calibri"/>
            <family val="2"/>
          </rPr>
          <t>From AEO 2015; see linked spreadsheet.</t>
        </r>
      </text>
    </comment>
    <comment ref="E4" authorId="1">
      <text>
        <r>
          <rPr>
            <sz val="10"/>
            <color indexed="81"/>
            <rFont val="Calibri"/>
          </rPr>
          <t>FOB = 115% of HH (pp. 70, 88) plus 3.50/MMBtu for tolling/capital cost (pp 74, 88) 
ISO delivery: $17.59/MMBtu (pp. 96-97)
Onshore capital cost: $9M plus plant conversions
Data from HNEI FACTS LNG study June 2013, Task 4.2 Report 1, Fig. 53, p. 97, http://www.hnei.hawaii.edu/sites/www.hnei.hawaii.edu/files/Task%204.2%20Report%201%20with%20web%20cvr.pdf</t>
        </r>
      </text>
    </comment>
    <comment ref="F4" authorId="1">
      <text>
        <r>
          <rPr>
            <sz val="10"/>
            <color indexed="81"/>
            <rFont val="Calibri"/>
          </rPr>
          <t>From Ulupono spreadsheet, similar to costs in 2014 PSIP</t>
        </r>
      </text>
    </comment>
    <comment ref="G4" authorId="1">
      <text>
        <r>
          <rPr>
            <sz val="10"/>
            <color indexed="81"/>
            <rFont val="Calibri"/>
          </rPr>
          <t>cost coefficiencts found from regression below. Also match Barbara Treat phone call 6/3/16, which said they were around 0.13 * Brent Crude (bbl) + 0.50/MMBtu</t>
        </r>
      </text>
    </comment>
    <comment ref="H4" authorId="1">
      <text>
        <r>
          <rPr>
            <sz val="10"/>
            <color indexed="81"/>
            <rFont val="Calibri"/>
          </rPr>
          <t>cost coefficients found by regressing 2016 PSIP prices against AEO 2015</t>
        </r>
      </text>
    </comment>
    <comment ref="I4" authorId="1">
      <text>
        <r>
          <rPr>
            <sz val="10"/>
            <color indexed="81"/>
            <rFont val="Calibri"/>
          </rPr>
          <t>liquid fuel cost coefficients found by regressing 2016 PSIP prices against AEO 2015; see get_pha_data_monthly_logistic.py</t>
        </r>
      </text>
    </comment>
    <comment ref="B5" authorId="0">
      <text>
        <r>
          <rPr>
            <sz val="9"/>
            <color indexed="81"/>
            <rFont val="Calibri"/>
            <family val="2"/>
          </rPr>
          <t>from https://www.eia.gov/forecasts/steo/tables/pdf/2tab.pdf  6/22/16</t>
        </r>
      </text>
    </comment>
    <comment ref="V5" authorId="1">
      <text>
        <r>
          <rPr>
            <sz val="10"/>
            <color indexed="81"/>
            <rFont val="Calibri"/>
          </rPr>
          <t>MMBtu/year</t>
        </r>
      </text>
    </comment>
    <comment ref="A39" authorId="1">
      <text>
        <r>
          <rPr>
            <sz val="10"/>
            <color indexed="81"/>
            <rFont val="Calibri"/>
          </rPr>
          <t>From Table 2 of "HG Response to PSIP File Stamped 1-15-16.pdf" e-mailed by Barbara Treat 6/3/16</t>
        </r>
      </text>
    </comment>
    <comment ref="I42" authorId="0">
      <text>
        <r>
          <rPr>
            <sz val="9"/>
            <color indexed="81"/>
            <rFont val="Calibri"/>
            <family val="2"/>
          </rPr>
          <t>We use the same inflation rate as for capital costs, so all costs are in the same real terms.</t>
        </r>
      </text>
    </comment>
    <comment ref="F46" authorId="1">
      <text>
        <r>
          <rPr>
            <sz val="10"/>
            <color indexed="81"/>
            <rFont val="Calibri"/>
          </rPr>
          <t>All data from Exhibit J of "Application of Hawaiian Electric Company, Inc., Hawai'i Electric Light Company, Inc., and Maui Electric Company, Limited; Verification; Exhibits A-T; Testimonies T-1 through T-9; Book 1 of 3", Hawaii PUC Docket Number 2016-0135, 2016-05-18</t>
        </r>
      </text>
    </comment>
    <comment ref="G54" authorId="1">
      <text>
        <r>
          <rPr>
            <sz val="10"/>
            <color indexed="81"/>
            <rFont val="Calibri"/>
          </rPr>
          <t>based on max Oahu share from p. 78 of HECO LNG application  2016-05-18</t>
        </r>
      </text>
    </comment>
    <comment ref="B56" authorId="1">
      <text>
        <r>
          <rPr>
            <sz val="10"/>
            <color indexed="81"/>
            <rFont val="Calibri"/>
          </rPr>
          <t>From phone call with Barbara Treat at Hawaii Gas 6/3/16; also matches reported cost of $0.70/MMBtu.</t>
        </r>
      </text>
    </comment>
    <comment ref="F59" authorId="1">
      <text>
        <r>
          <rPr>
            <sz val="10"/>
            <color indexed="81"/>
            <rFont val="Calibri"/>
          </rPr>
          <t>$/MMBtu, at full utilization</t>
        </r>
      </text>
    </comment>
  </commentList>
</comments>
</file>

<file path=xl/comments2.xml><?xml version="1.0" encoding="utf-8"?>
<comments xmlns="http://schemas.openxmlformats.org/spreadsheetml/2006/main">
  <authors>
    <author>Matthias Fripp</author>
  </authors>
  <commentList>
    <comment ref="B6" authorId="0">
      <text>
        <r>
          <rPr>
            <sz val="10"/>
            <color indexed="81"/>
            <rFont val="Calibri"/>
          </rPr>
          <t>Brent Crude mean price for 1/16-6/16 from https://www.eia.gov/dnav/pet/pet_pri_spt_s1_m.htm</t>
        </r>
      </text>
    </comment>
    <comment ref="C7" authorId="0">
      <text>
        <r>
          <rPr>
            <sz val="10"/>
            <color indexed="81"/>
            <rFont val="Calibri"/>
          </rPr>
          <t>This is somewhat arbitrary, but falls between the month-ahead ($0.4/mo) and year-ahead ($0.225/mo) cost of LOOP storage futures as of 7/20/16 (http://www.cmegroup.com/trading/energy/crude-oil/loop-crude-oil-storage.html)</t>
        </r>
      </text>
    </comment>
  </commentList>
</comments>
</file>

<file path=xl/sharedStrings.xml><?xml version="1.0" encoding="utf-8"?>
<sst xmlns="http://schemas.openxmlformats.org/spreadsheetml/2006/main" count="80" uniqueCount="70">
  <si>
    <t>Brent Crude ($/BBL)</t>
  </si>
  <si>
    <t>Henry Hub ($/MMBtu)</t>
  </si>
  <si>
    <t>Brent Crude ($/MMBtu)</t>
  </si>
  <si>
    <t>early escalator</t>
  </si>
  <si>
    <t>late escalator</t>
  </si>
  <si>
    <t>Hawaii Gas price formula</t>
  </si>
  <si>
    <t>Brent price</t>
  </si>
  <si>
    <t>Brent price $/mmBtu</t>
  </si>
  <si>
    <t>calculated</t>
  </si>
  <si>
    <t>volume (MMBtu/year)</t>
  </si>
  <si>
    <t>cost per unit</t>
  </si>
  <si>
    <t>FSRU charter</t>
  </si>
  <si>
    <t>"Spot" LNG</t>
  </si>
  <si>
    <t>Generic bulk LNG</t>
  </si>
  <si>
    <t>MMBtu</t>
  </si>
  <si>
    <t>conversion table from http://www.beg.utexas.edu/energyecon/lng/LNG_introduction_12.php based on BP Statistical Review of U.S. Energy June 2002</t>
  </si>
  <si>
    <t>unit</t>
  </si>
  <si>
    <t>extra savings for HG from bulk LNG (sell approx 3e9 cubic feet/year)</t>
  </si>
  <si>
    <t>1e9 cubic feet</t>
  </si>
  <si>
    <t>1e6 tons LNG</t>
  </si>
  <si>
    <t>LNG into FSRU price</t>
  </si>
  <si>
    <t>Diesel</t>
  </si>
  <si>
    <t>LSFO</t>
  </si>
  <si>
    <t>Biodiesel</t>
  </si>
  <si>
    <t>LNG</t>
  </si>
  <si>
    <t>HG</t>
  </si>
  <si>
    <t>HECO</t>
  </si>
  <si>
    <t>tier</t>
  </si>
  <si>
    <t>bulk</t>
  </si>
  <si>
    <t>container</t>
  </si>
  <si>
    <t>base</t>
  </si>
  <si>
    <t>Btu/ton gas</t>
  </si>
  <si>
    <t>http://energy.gov/sites/prod/files/2013/04/f0/LNG_primerupd.pdf p. 9</t>
  </si>
  <si>
    <t>max_avail_at_cost</t>
  </si>
  <si>
    <t>finance rate</t>
  </si>
  <si>
    <t>finance term (years)</t>
  </si>
  <si>
    <t>cost</t>
  </si>
  <si>
    <t>MW</t>
  </si>
  <si>
    <t>K5, K6, CC receiving</t>
  </si>
  <si>
    <t>K5 &amp; K6 burners</t>
  </si>
  <si>
    <t>Kalaeloa receiving</t>
  </si>
  <si>
    <t>HECO Oahu conversion cost</t>
  </si>
  <si>
    <t>ISO containers (Oahu)</t>
  </si>
  <si>
    <t>Annual cost</t>
  </si>
  <si>
    <t>Total per year</t>
  </si>
  <si>
    <t>Max vol (MMBtu/y)</t>
  </si>
  <si>
    <t>Total Oahu capital</t>
  </si>
  <si>
    <t>fuel_type</t>
  </si>
  <si>
    <t>pipeline pmt</t>
  </si>
  <si>
    <t>base financial year</t>
  </si>
  <si>
    <t>inflation rate</t>
  </si>
  <si>
    <t>Nominal prices</t>
  </si>
  <si>
    <t>Real prices</t>
  </si>
  <si>
    <t>Coal</t>
  </si>
  <si>
    <t>Pellet-Biomass</t>
  </si>
  <si>
    <t>inflation</t>
  </si>
  <si>
    <t>interest</t>
  </si>
  <si>
    <t>oil purchase</t>
  </si>
  <si>
    <t>storage</t>
  </si>
  <si>
    <t>total required to date</t>
  </si>
  <si>
    <t>real price</t>
  </si>
  <si>
    <t>profit</t>
  </si>
  <si>
    <t>total</t>
  </si>
  <si>
    <t>storage-based hedge</t>
  </si>
  <si>
    <t>Hotelling's rule</t>
  </si>
  <si>
    <t>multiplier (2029-45)</t>
  </si>
  <si>
    <t>pumping cost</t>
  </si>
  <si>
    <t>thing</t>
  </si>
  <si>
    <t>term</t>
  </si>
  <si>
    <t>fixed cost, all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</si>
</sst>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0.0%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sz val="12"/>
      <color rgb="FF0000FF"/>
      <name val="Calibri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sz val="12"/>
      <color rgb="FF0070C0"/>
      <name val="Calibri"/>
      <family val="2"/>
      <scheme val="minor"/>
    </font>
    <font>
      <b/>
      <sz val="12"/>
      <color rgb="FF0070C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4" fillId="0" borderId="0" xfId="0" applyNumberFormat="1" applyFont="1"/>
    <xf numFmtId="2" fontId="0" fillId="0" borderId="0" xfId="0" applyNumberFormat="1"/>
    <xf numFmtId="8" fontId="0" fillId="0" borderId="0" xfId="0" applyNumberFormat="1"/>
    <xf numFmtId="11" fontId="0" fillId="0" borderId="0" xfId="0" applyNumberFormat="1"/>
    <xf numFmtId="164" fontId="0" fillId="0" borderId="0" xfId="0" applyNumberFormat="1"/>
    <xf numFmtId="6" fontId="0" fillId="0" borderId="0" xfId="0" applyNumberFormat="1"/>
    <xf numFmtId="0" fontId="7" fillId="0" borderId="0" xfId="0" applyFont="1"/>
    <xf numFmtId="0" fontId="5" fillId="0" borderId="0" xfId="0" applyFont="1"/>
    <xf numFmtId="0" fontId="8" fillId="0" borderId="0" xfId="0" applyFont="1"/>
    <xf numFmtId="2" fontId="8" fillId="0" borderId="0" xfId="0" applyNumberFormat="1" applyFont="1"/>
    <xf numFmtId="3" fontId="0" fillId="0" borderId="0" xfId="0" applyNumberFormat="1"/>
    <xf numFmtId="8" fontId="5" fillId="0" borderId="0" xfId="0" applyNumberFormat="1" applyFont="1"/>
    <xf numFmtId="6" fontId="5" fillId="0" borderId="0" xfId="0" applyNumberFormat="1" applyFont="1"/>
    <xf numFmtId="10" fontId="0" fillId="0" borderId="0" xfId="0" applyNumberFormat="1"/>
    <xf numFmtId="166" fontId="0" fillId="0" borderId="0" xfId="0" applyNumberFormat="1"/>
    <xf numFmtId="0" fontId="9" fillId="0" borderId="0" xfId="0" applyFont="1"/>
    <xf numFmtId="165" fontId="9" fillId="0" borderId="0" xfId="0" applyNumberFormat="1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33681102362205"/>
          <c:y val="0.0601851851851852"/>
          <c:w val="0.892349956255468"/>
          <c:h val="0.803654228004108"/>
        </c:manualLayout>
      </c:layout>
      <c:lineChart>
        <c:grouping val="standard"/>
        <c:varyColors val="0"/>
        <c:ser>
          <c:idx val="0"/>
          <c:order val="0"/>
          <c:tx>
            <c:strRef>
              <c:f>'hedged hubs'!$D$4</c:f>
              <c:strCache>
                <c:ptCount val="1"/>
                <c:pt idx="0">
                  <c:v>Brent Crude ($/MMBtu)</c:v>
                </c:pt>
              </c:strCache>
            </c:strRef>
          </c:tx>
          <c:marker>
            <c:symbol val="none"/>
          </c:marker>
          <c:cat>
            <c:numRef>
              <c:f>'hedged hubs'!$A$5:$A$35</c:f>
              <c:numCache>
                <c:formatCode>General</c:formatCode>
                <c:ptCount val="31"/>
                <c:pt idx="0">
                  <c:v>2015.0</c:v>
                </c:pt>
                <c:pt idx="1">
                  <c:v>2016.0</c:v>
                </c:pt>
                <c:pt idx="2">
                  <c:v>2017.0</c:v>
                </c:pt>
                <c:pt idx="3">
                  <c:v>2018.0</c:v>
                </c:pt>
                <c:pt idx="4">
                  <c:v>2019.0</c:v>
                </c:pt>
                <c:pt idx="5">
                  <c:v>2020.0</c:v>
                </c:pt>
                <c:pt idx="6">
                  <c:v>2021.0</c:v>
                </c:pt>
                <c:pt idx="7">
                  <c:v>2022.0</c:v>
                </c:pt>
                <c:pt idx="8">
                  <c:v>2023.0</c:v>
                </c:pt>
                <c:pt idx="9">
                  <c:v>2024.0</c:v>
                </c:pt>
                <c:pt idx="10">
                  <c:v>2025.0</c:v>
                </c:pt>
                <c:pt idx="11">
                  <c:v>2026.0</c:v>
                </c:pt>
                <c:pt idx="12">
                  <c:v>2027.0</c:v>
                </c:pt>
                <c:pt idx="13">
                  <c:v>2028.0</c:v>
                </c:pt>
                <c:pt idx="14">
                  <c:v>2029.0</c:v>
                </c:pt>
                <c:pt idx="15">
                  <c:v>2030.0</c:v>
                </c:pt>
                <c:pt idx="16">
                  <c:v>2031.0</c:v>
                </c:pt>
                <c:pt idx="17">
                  <c:v>2032.0</c:v>
                </c:pt>
                <c:pt idx="18">
                  <c:v>2033.0</c:v>
                </c:pt>
                <c:pt idx="19">
                  <c:v>2034.0</c:v>
                </c:pt>
                <c:pt idx="20">
                  <c:v>2035.0</c:v>
                </c:pt>
                <c:pt idx="21">
                  <c:v>2036.0</c:v>
                </c:pt>
                <c:pt idx="22">
                  <c:v>2037.0</c:v>
                </c:pt>
                <c:pt idx="23">
                  <c:v>2038.0</c:v>
                </c:pt>
                <c:pt idx="24">
                  <c:v>2039.0</c:v>
                </c:pt>
                <c:pt idx="25">
                  <c:v>2040.0</c:v>
                </c:pt>
                <c:pt idx="26">
                  <c:v>2041.0</c:v>
                </c:pt>
                <c:pt idx="27">
                  <c:v>2042.0</c:v>
                </c:pt>
                <c:pt idx="28">
                  <c:v>2043.0</c:v>
                </c:pt>
                <c:pt idx="29">
                  <c:v>2044.0</c:v>
                </c:pt>
                <c:pt idx="30">
                  <c:v>2045.0</c:v>
                </c:pt>
              </c:numCache>
            </c:numRef>
          </c:cat>
          <c:val>
            <c:numRef>
              <c:f>'hedged hubs'!$D$5:$D$35</c:f>
              <c:numCache>
                <c:formatCode>General</c:formatCode>
                <c:ptCount val="31"/>
                <c:pt idx="0">
                  <c:v>9.020689655172414</c:v>
                </c:pt>
                <c:pt idx="1">
                  <c:v>8.580434867165054</c:v>
                </c:pt>
                <c:pt idx="2">
                  <c:v>8.60492964920837</c:v>
                </c:pt>
                <c:pt idx="3">
                  <c:v>8.629494357118687</c:v>
                </c:pt>
                <c:pt idx="4">
                  <c:v>8.654129190515126</c:v>
                </c:pt>
                <c:pt idx="5">
                  <c:v>8.948487326246933</c:v>
                </c:pt>
                <c:pt idx="6">
                  <c:v>9.216680294358134</c:v>
                </c:pt>
                <c:pt idx="7">
                  <c:v>9.465249386753884</c:v>
                </c:pt>
                <c:pt idx="8">
                  <c:v>9.720359771054783</c:v>
                </c:pt>
                <c:pt idx="9">
                  <c:v>9.97547015535568</c:v>
                </c:pt>
                <c:pt idx="10">
                  <c:v>10.18969746524939</c:v>
                </c:pt>
                <c:pt idx="11">
                  <c:v>10.31234668847097</c:v>
                </c:pt>
                <c:pt idx="12">
                  <c:v>10.4022894521668</c:v>
                </c:pt>
                <c:pt idx="13">
                  <c:v>10.44807849550286</c:v>
                </c:pt>
                <c:pt idx="14">
                  <c:v>22.9822885233361</c:v>
                </c:pt>
                <c:pt idx="15">
                  <c:v>24.91801197587911</c:v>
                </c:pt>
                <c:pt idx="16">
                  <c:v>26.97990098611528</c:v>
                </c:pt>
                <c:pt idx="17">
                  <c:v>29.17570588621591</c:v>
                </c:pt>
                <c:pt idx="18">
                  <c:v>31.51364527545939</c:v>
                </c:pt>
                <c:pt idx="19">
                  <c:v>34.00243417470675</c:v>
                </c:pt>
                <c:pt idx="20">
                  <c:v>36.6513138711979</c:v>
                </c:pt>
                <c:pt idx="21">
                  <c:v>39.47008355510668</c:v>
                </c:pt>
                <c:pt idx="22">
                  <c:v>42.46913385537945</c:v>
                </c:pt>
                <c:pt idx="23">
                  <c:v>45.659482388834</c:v>
                </c:pt>
                <c:pt idx="24">
                  <c:v>49.05281144333418</c:v>
                </c:pt>
                <c:pt idx="25">
                  <c:v>52.66150792310543</c:v>
                </c:pt>
                <c:pt idx="26">
                  <c:v>56.49870569194004</c:v>
                </c:pt>
                <c:pt idx="27">
                  <c:v>60.5783304581868</c:v>
                </c:pt>
                <c:pt idx="28">
                  <c:v>64.9151473540535</c:v>
                </c:pt>
                <c:pt idx="29">
                  <c:v>69.52481137090297</c:v>
                </c:pt>
                <c:pt idx="30">
                  <c:v>74.42392082192431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'hedged hubs'!$C$4</c:f>
              <c:strCache>
                <c:ptCount val="1"/>
                <c:pt idx="0">
                  <c:v>Henry Hub ($/MMBtu)</c:v>
                </c:pt>
              </c:strCache>
            </c:strRef>
          </c:tx>
          <c:marker>
            <c:symbol val="none"/>
          </c:marker>
          <c:cat>
            <c:numRef>
              <c:f>'hedged hubs'!$A$5:$A$35</c:f>
              <c:numCache>
                <c:formatCode>General</c:formatCode>
                <c:ptCount val="31"/>
                <c:pt idx="0">
                  <c:v>2015.0</c:v>
                </c:pt>
                <c:pt idx="1">
                  <c:v>2016.0</c:v>
                </c:pt>
                <c:pt idx="2">
                  <c:v>2017.0</c:v>
                </c:pt>
                <c:pt idx="3">
                  <c:v>2018.0</c:v>
                </c:pt>
                <c:pt idx="4">
                  <c:v>2019.0</c:v>
                </c:pt>
                <c:pt idx="5">
                  <c:v>2020.0</c:v>
                </c:pt>
                <c:pt idx="6">
                  <c:v>2021.0</c:v>
                </c:pt>
                <c:pt idx="7">
                  <c:v>2022.0</c:v>
                </c:pt>
                <c:pt idx="8">
                  <c:v>2023.0</c:v>
                </c:pt>
                <c:pt idx="9">
                  <c:v>2024.0</c:v>
                </c:pt>
                <c:pt idx="10">
                  <c:v>2025.0</c:v>
                </c:pt>
                <c:pt idx="11">
                  <c:v>2026.0</c:v>
                </c:pt>
                <c:pt idx="12">
                  <c:v>2027.0</c:v>
                </c:pt>
                <c:pt idx="13">
                  <c:v>2028.0</c:v>
                </c:pt>
                <c:pt idx="14">
                  <c:v>2029.0</c:v>
                </c:pt>
                <c:pt idx="15">
                  <c:v>2030.0</c:v>
                </c:pt>
                <c:pt idx="16">
                  <c:v>2031.0</c:v>
                </c:pt>
                <c:pt idx="17">
                  <c:v>2032.0</c:v>
                </c:pt>
                <c:pt idx="18">
                  <c:v>2033.0</c:v>
                </c:pt>
                <c:pt idx="19">
                  <c:v>2034.0</c:v>
                </c:pt>
                <c:pt idx="20">
                  <c:v>2035.0</c:v>
                </c:pt>
                <c:pt idx="21">
                  <c:v>2036.0</c:v>
                </c:pt>
                <c:pt idx="22">
                  <c:v>2037.0</c:v>
                </c:pt>
                <c:pt idx="23">
                  <c:v>2038.0</c:v>
                </c:pt>
                <c:pt idx="24">
                  <c:v>2039.0</c:v>
                </c:pt>
                <c:pt idx="25">
                  <c:v>2040.0</c:v>
                </c:pt>
                <c:pt idx="26">
                  <c:v>2041.0</c:v>
                </c:pt>
                <c:pt idx="27">
                  <c:v>2042.0</c:v>
                </c:pt>
                <c:pt idx="28">
                  <c:v>2043.0</c:v>
                </c:pt>
                <c:pt idx="29">
                  <c:v>2044.0</c:v>
                </c:pt>
                <c:pt idx="30">
                  <c:v>2045.0</c:v>
                </c:pt>
              </c:numCache>
            </c:numRef>
          </c:cat>
          <c:val>
            <c:numRef>
              <c:f>'hedged hubs'!$C$5:$C$20</c:f>
              <c:numCache>
                <c:formatCode>0.00</c:formatCode>
                <c:ptCount val="16"/>
                <c:pt idx="0" formatCode="General">
                  <c:v>2.63</c:v>
                </c:pt>
                <c:pt idx="1">
                  <c:v>2.717985434495365</c:v>
                </c:pt>
                <c:pt idx="2">
                  <c:v>2.808914381037628</c:v>
                </c:pt>
                <c:pt idx="3">
                  <c:v>2.902885313461915</c:v>
                </c:pt>
                <c:pt idx="4" formatCode="General">
                  <c:v>3.0</c:v>
                </c:pt>
                <c:pt idx="5" formatCode="General">
                  <c:v>3.09</c:v>
                </c:pt>
                <c:pt idx="6" formatCode="General">
                  <c:v>3.24</c:v>
                </c:pt>
                <c:pt idx="7" formatCode="General">
                  <c:v>3.4</c:v>
                </c:pt>
                <c:pt idx="8" formatCode="General">
                  <c:v>3.53</c:v>
                </c:pt>
                <c:pt idx="9" formatCode="General">
                  <c:v>3.7</c:v>
                </c:pt>
                <c:pt idx="10" formatCode="General">
                  <c:v>3.86</c:v>
                </c:pt>
                <c:pt idx="11" formatCode="General">
                  <c:v>4.01</c:v>
                </c:pt>
                <c:pt idx="12" formatCode="General">
                  <c:v>4.17</c:v>
                </c:pt>
                <c:pt idx="13" formatCode="General">
                  <c:v>4.35</c:v>
                </c:pt>
                <c:pt idx="14">
                  <c:v>4.495527239564577</c:v>
                </c:pt>
                <c:pt idx="15">
                  <c:v>4.6459230256706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799008"/>
        <c:axId val="-2033398224"/>
      </c:lineChart>
      <c:catAx>
        <c:axId val="64879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-2033398224"/>
        <c:crosses val="autoZero"/>
        <c:auto val="1"/>
        <c:lblAlgn val="ctr"/>
        <c:lblOffset val="100"/>
        <c:noMultiLvlLbl val="0"/>
      </c:catAx>
      <c:valAx>
        <c:axId val="-2033398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487990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72718722659667"/>
          <c:y val="0.670528579760863"/>
          <c:w val="0.402281277340332"/>
          <c:h val="0.2006095071449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'hedged hubs'!$C$40</c:f>
              <c:strCache>
                <c:ptCount val="1"/>
                <c:pt idx="0">
                  <c:v>LNG into FSRU price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6803587051619"/>
                  <c:y val="-0.000416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'hedged hubs'!$A$41:$A$51</c:f>
              <c:numCache>
                <c:formatCode>General</c:formatCode>
                <c:ptCount val="11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</c:numCache>
            </c:numRef>
          </c:xVal>
          <c:yVal>
            <c:numRef>
              <c:f>'hedged hubs'!$C$41:$C$51</c:f>
              <c:numCache>
                <c:formatCode>General</c:formatCode>
                <c:ptCount val="11"/>
                <c:pt idx="0">
                  <c:v>3.12</c:v>
                </c:pt>
                <c:pt idx="1">
                  <c:v>4.45</c:v>
                </c:pt>
                <c:pt idx="2">
                  <c:v>5.78</c:v>
                </c:pt>
                <c:pt idx="3">
                  <c:v>7.12</c:v>
                </c:pt>
                <c:pt idx="4">
                  <c:v>8.45</c:v>
                </c:pt>
                <c:pt idx="5">
                  <c:v>9.78</c:v>
                </c:pt>
                <c:pt idx="6">
                  <c:v>11.11</c:v>
                </c:pt>
                <c:pt idx="7">
                  <c:v>12.45</c:v>
                </c:pt>
                <c:pt idx="8">
                  <c:v>13.78</c:v>
                </c:pt>
                <c:pt idx="9">
                  <c:v>15.11</c:v>
                </c:pt>
                <c:pt idx="10">
                  <c:v>16.45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211824"/>
        <c:axId val="738570944"/>
      </c:scatterChart>
      <c:valAx>
        <c:axId val="71021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70944"/>
        <c:crosses val="autoZero"/>
        <c:crossBetween val="midCat"/>
      </c:valAx>
      <c:valAx>
        <c:axId val="7385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21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152400</xdr:colOff>
      <xdr:row>15</xdr:row>
      <xdr:rowOff>139700</xdr:rowOff>
    </xdr:from>
    <xdr:to>
      <xdr:col>26</xdr:col>
      <xdr:colOff>596900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615950</xdr:colOff>
      <xdr:row>43</xdr:row>
      <xdr:rowOff>184150</xdr:rowOff>
    </xdr:from>
    <xdr:to>
      <xdr:col>20</xdr:col>
      <xdr:colOff>50800</xdr:colOff>
      <xdr:row>58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CO%20fuel%20cost%20forecasts%20PSIP%202016-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NG details"/>
      <sheetName val="2016 PSIP"/>
      <sheetName val="multi-fuel forecasts"/>
      <sheetName val="EIA AEO 2015"/>
      <sheetName val="EIA-derived"/>
    </sheetNames>
    <sheetDataSet>
      <sheetData sheetId="0"/>
      <sheetData sheetId="1"/>
      <sheetData sheetId="2"/>
      <sheetData sheetId="3"/>
      <sheetData sheetId="4">
        <row r="56">
          <cell r="B56">
            <v>2.5000000000000001E-2</v>
          </cell>
        </row>
        <row r="61">
          <cell r="B61">
            <v>2015</v>
          </cell>
          <cell r="C61">
            <v>2016</v>
          </cell>
          <cell r="D61">
            <v>2017</v>
          </cell>
          <cell r="E61">
            <v>2018</v>
          </cell>
          <cell r="F61">
            <v>2019</v>
          </cell>
          <cell r="G61">
            <v>2020</v>
          </cell>
          <cell r="H61">
            <v>2021</v>
          </cell>
          <cell r="I61">
            <v>2022</v>
          </cell>
          <cell r="J61">
            <v>2023</v>
          </cell>
          <cell r="K61">
            <v>2024</v>
          </cell>
          <cell r="L61">
            <v>2025</v>
          </cell>
          <cell r="M61">
            <v>2026</v>
          </cell>
          <cell r="N61">
            <v>2027</v>
          </cell>
          <cell r="O61">
            <v>2028</v>
          </cell>
          <cell r="P61">
            <v>2029</v>
          </cell>
          <cell r="Q61">
            <v>2030</v>
          </cell>
          <cell r="R61">
            <v>2031</v>
          </cell>
          <cell r="S61">
            <v>2032</v>
          </cell>
          <cell r="T61">
            <v>2033</v>
          </cell>
          <cell r="U61">
            <v>2034</v>
          </cell>
          <cell r="V61">
            <v>2035</v>
          </cell>
          <cell r="W61">
            <v>2036</v>
          </cell>
          <cell r="X61">
            <v>2037</v>
          </cell>
          <cell r="Y61">
            <v>2038</v>
          </cell>
          <cell r="Z61">
            <v>2039</v>
          </cell>
          <cell r="AA61">
            <v>2040</v>
          </cell>
          <cell r="AB61">
            <v>2041</v>
          </cell>
          <cell r="AC61">
            <v>2042</v>
          </cell>
          <cell r="AD61">
            <v>2043</v>
          </cell>
          <cell r="AE61">
            <v>2044</v>
          </cell>
          <cell r="AF61">
            <v>2045</v>
          </cell>
          <cell r="AG61">
            <v>2046</v>
          </cell>
          <cell r="AH61">
            <v>2047</v>
          </cell>
          <cell r="AI61">
            <v>2048</v>
          </cell>
          <cell r="AJ61">
            <v>2049</v>
          </cell>
          <cell r="AK61">
            <v>2050</v>
          </cell>
        </row>
        <row r="67">
          <cell r="B67">
            <v>2.5509999999999997</v>
          </cell>
          <cell r="C67">
            <v>2.5409999999999999</v>
          </cell>
          <cell r="D67">
            <v>2.5609999999999999</v>
          </cell>
          <cell r="E67">
            <v>2.5909999999999997</v>
          </cell>
          <cell r="F67">
            <v>2.6309999999999998</v>
          </cell>
          <cell r="G67">
            <v>2.6709999999999998</v>
          </cell>
          <cell r="H67">
            <v>2.7109999999999999</v>
          </cell>
          <cell r="I67">
            <v>2.7410000000000001</v>
          </cell>
          <cell r="J67">
            <v>2.7709999999999999</v>
          </cell>
          <cell r="K67">
            <v>2.8009999999999997</v>
          </cell>
          <cell r="L67">
            <v>2.831</v>
          </cell>
          <cell r="M67">
            <v>2.8609999999999998</v>
          </cell>
          <cell r="N67">
            <v>2.891</v>
          </cell>
          <cell r="O67">
            <v>2.911</v>
          </cell>
          <cell r="P67">
            <v>2.9409999999999998</v>
          </cell>
          <cell r="Q67">
            <v>2.9609999999999999</v>
          </cell>
          <cell r="R67">
            <v>2.9809999999999999</v>
          </cell>
          <cell r="S67">
            <v>3.0009999999999999</v>
          </cell>
          <cell r="T67">
            <v>3.0310000000000001</v>
          </cell>
          <cell r="U67">
            <v>3.0509999999999997</v>
          </cell>
          <cell r="V67">
            <v>3.081</v>
          </cell>
          <cell r="W67">
            <v>3.101</v>
          </cell>
          <cell r="X67">
            <v>3.1309999999999998</v>
          </cell>
          <cell r="Y67">
            <v>3.1509999999999998</v>
          </cell>
          <cell r="Z67">
            <v>3.181</v>
          </cell>
          <cell r="AA67">
            <v>3.2109999999999999</v>
          </cell>
          <cell r="AB67">
            <v>3.2374000000000001</v>
          </cell>
          <cell r="AC67">
            <v>3.2638000000000003</v>
          </cell>
          <cell r="AD67">
            <v>3.2902000000000005</v>
          </cell>
          <cell r="AE67">
            <v>3.3166000000000007</v>
          </cell>
          <cell r="AF67">
            <v>3.3430000000000009</v>
          </cell>
          <cell r="AG67">
            <v>3.3694000000000011</v>
          </cell>
          <cell r="AH67">
            <v>3.3958000000000013</v>
          </cell>
          <cell r="AI67">
            <v>3.4222000000000015</v>
          </cell>
          <cell r="AJ67">
            <v>3.4486000000000017</v>
          </cell>
          <cell r="AK67">
            <v>3.4750000000000019</v>
          </cell>
        </row>
        <row r="68">
          <cell r="B68">
            <v>13</v>
          </cell>
          <cell r="C68">
            <v>13</v>
          </cell>
          <cell r="D68">
            <v>13</v>
          </cell>
          <cell r="E68">
            <v>13</v>
          </cell>
          <cell r="F68">
            <v>13</v>
          </cell>
          <cell r="G68">
            <v>13</v>
          </cell>
          <cell r="H68">
            <v>13</v>
          </cell>
          <cell r="I68">
            <v>13</v>
          </cell>
          <cell r="J68">
            <v>13</v>
          </cell>
          <cell r="K68">
            <v>13</v>
          </cell>
          <cell r="L68">
            <v>13</v>
          </cell>
          <cell r="M68">
            <v>13</v>
          </cell>
          <cell r="N68">
            <v>13</v>
          </cell>
          <cell r="O68">
            <v>13</v>
          </cell>
          <cell r="P68">
            <v>13</v>
          </cell>
          <cell r="Q68">
            <v>13</v>
          </cell>
          <cell r="R68">
            <v>13</v>
          </cell>
          <cell r="S68">
            <v>13</v>
          </cell>
          <cell r="T68">
            <v>13</v>
          </cell>
          <cell r="U68">
            <v>13</v>
          </cell>
          <cell r="V68">
            <v>13</v>
          </cell>
          <cell r="W68">
            <v>13</v>
          </cell>
          <cell r="X68">
            <v>13</v>
          </cell>
          <cell r="Y68">
            <v>13</v>
          </cell>
          <cell r="Z68">
            <v>13</v>
          </cell>
          <cell r="AA68">
            <v>13</v>
          </cell>
          <cell r="AB68">
            <v>13</v>
          </cell>
          <cell r="AC68">
            <v>13</v>
          </cell>
          <cell r="AD68">
            <v>13</v>
          </cell>
          <cell r="AE68">
            <v>13</v>
          </cell>
          <cell r="AF68">
            <v>13</v>
          </cell>
          <cell r="AG68">
            <v>13</v>
          </cell>
          <cell r="AH68">
            <v>13</v>
          </cell>
          <cell r="AI68">
            <v>13</v>
          </cell>
          <cell r="AJ68">
            <v>13</v>
          </cell>
          <cell r="AK68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topLeftCell="F1" workbookViewId="0">
      <selection activeCell="U17" sqref="U17"/>
    </sheetView>
  </sheetViews>
  <sheetFormatPr baseColWidth="10" defaultRowHeight="16" x14ac:dyDescent="0.2"/>
  <cols>
    <col min="2" max="2" width="15.33203125" bestFit="1" customWidth="1"/>
    <col min="3" max="3" width="11.83203125" bestFit="1" customWidth="1"/>
    <col min="6" max="6" width="15.33203125" customWidth="1"/>
    <col min="7" max="7" width="14.6640625" customWidth="1"/>
    <col min="31" max="37" width="7.83203125" customWidth="1"/>
  </cols>
  <sheetData>
    <row r="1" spans="1:37" x14ac:dyDescent="0.2">
      <c r="N1" t="s">
        <v>52</v>
      </c>
    </row>
    <row r="2" spans="1:37" x14ac:dyDescent="0.2">
      <c r="A2" t="s">
        <v>3</v>
      </c>
      <c r="B2">
        <f>(B$9/B$5)^(1/($A$9-$A$5))</f>
        <v>1.0028547250136528</v>
      </c>
      <c r="C2">
        <f>(C$9/C$5)^(1/($A$9-$A$5))</f>
        <v>1.0334545378309374</v>
      </c>
      <c r="G2" t="s">
        <v>51</v>
      </c>
      <c r="N2" t="str">
        <f>G3</f>
        <v>HG</v>
      </c>
      <c r="O2" t="str">
        <f>H3</f>
        <v>HECO</v>
      </c>
    </row>
    <row r="3" spans="1:37" x14ac:dyDescent="0.2">
      <c r="A3" t="s">
        <v>4</v>
      </c>
      <c r="B3">
        <f>(B$18/B$15)^(1/($A$18-$A$15))</f>
        <v>1.0083819091514015</v>
      </c>
      <c r="C3">
        <f>(C$18/C$15)^(1/($A$18-$A$15))</f>
        <v>1.0406403247256073</v>
      </c>
      <c r="G3" t="s">
        <v>25</v>
      </c>
      <c r="H3" t="s">
        <v>26</v>
      </c>
      <c r="M3" t="s">
        <v>47</v>
      </c>
      <c r="N3" t="str">
        <f>G4</f>
        <v>LNG</v>
      </c>
      <c r="O3" t="str">
        <f>H4</f>
        <v>LNG</v>
      </c>
      <c r="P3" t="str">
        <f>I4</f>
        <v>LSFO</v>
      </c>
      <c r="Q3" t="str">
        <f>J4</f>
        <v>Diesel</v>
      </c>
      <c r="R3" t="str">
        <f>K4</f>
        <v>Biodiesel</v>
      </c>
      <c r="S3" t="s">
        <v>53</v>
      </c>
      <c r="T3" t="s">
        <v>54</v>
      </c>
      <c r="V3" t="str">
        <f t="shared" ref="V3:AC4" si="0">M3</f>
        <v>fuel_type</v>
      </c>
      <c r="W3" t="str">
        <f t="shared" si="0"/>
        <v>LNG</v>
      </c>
      <c r="X3" t="str">
        <f t="shared" si="0"/>
        <v>LNG</v>
      </c>
      <c r="Y3" t="str">
        <f t="shared" si="0"/>
        <v>LSFO</v>
      </c>
      <c r="Z3" t="str">
        <f t="shared" si="0"/>
        <v>Diesel</v>
      </c>
      <c r="AA3" t="str">
        <f t="shared" si="0"/>
        <v>Biodiesel</v>
      </c>
      <c r="AB3" t="str">
        <f t="shared" si="0"/>
        <v>Coal</v>
      </c>
      <c r="AC3" t="str">
        <f t="shared" si="0"/>
        <v>Pellet-Biomass</v>
      </c>
      <c r="AE3" s="16"/>
      <c r="AF3" s="16" t="str">
        <f t="shared" ref="AF3:AK3" si="1">X3</f>
        <v>LNG</v>
      </c>
      <c r="AG3" s="16" t="str">
        <f t="shared" si="1"/>
        <v>LSFO</v>
      </c>
      <c r="AH3" s="16" t="str">
        <f t="shared" si="1"/>
        <v>Diesel</v>
      </c>
      <c r="AI3" s="16" t="str">
        <f t="shared" si="1"/>
        <v>Biodiesel</v>
      </c>
      <c r="AJ3" s="16" t="str">
        <f t="shared" si="1"/>
        <v>Coal</v>
      </c>
      <c r="AK3" s="16" t="str">
        <f t="shared" si="1"/>
        <v>Pellet-Biomass</v>
      </c>
    </row>
    <row r="4" spans="1:37" x14ac:dyDescent="0.2">
      <c r="B4" t="s">
        <v>0</v>
      </c>
      <c r="C4" t="s">
        <v>1</v>
      </c>
      <c r="D4" t="s">
        <v>2</v>
      </c>
      <c r="E4" t="s">
        <v>12</v>
      </c>
      <c r="F4" t="s">
        <v>13</v>
      </c>
      <c r="G4" t="s">
        <v>24</v>
      </c>
      <c r="H4" t="s">
        <v>24</v>
      </c>
      <c r="I4" t="s">
        <v>22</v>
      </c>
      <c r="J4" t="s">
        <v>21</v>
      </c>
      <c r="K4" t="s">
        <v>23</v>
      </c>
      <c r="M4" t="s">
        <v>27</v>
      </c>
      <c r="N4" t="s">
        <v>28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V4" t="str">
        <f t="shared" si="0"/>
        <v>tier</v>
      </c>
      <c r="W4" t="str">
        <f t="shared" si="0"/>
        <v>bulk</v>
      </c>
      <c r="X4" t="str">
        <f t="shared" si="0"/>
        <v>container</v>
      </c>
      <c r="Y4" t="str">
        <f t="shared" si="0"/>
        <v>base</v>
      </c>
      <c r="Z4" t="str">
        <f t="shared" si="0"/>
        <v>base</v>
      </c>
      <c r="AA4" t="str">
        <f t="shared" si="0"/>
        <v>base</v>
      </c>
      <c r="AB4" t="str">
        <f t="shared" si="0"/>
        <v>base</v>
      </c>
      <c r="AC4" t="str">
        <f t="shared" si="0"/>
        <v>base</v>
      </c>
      <c r="AE4" s="16" t="str">
        <f>M10&amp;"-"&amp;RIGHT(M14,2)</f>
        <v>2020-24</v>
      </c>
      <c r="AF4" s="17">
        <f>AVERAGE(N10:N14)</f>
        <v>7.3340726941914323</v>
      </c>
      <c r="AG4" s="17">
        <f>AVERAGE(P10:P14)</f>
        <v>9.4480324508538267</v>
      </c>
      <c r="AH4" s="17">
        <f>AVERAGE(Q10:Q14)</f>
        <v>11.737433527257741</v>
      </c>
      <c r="AI4" s="17">
        <f>AVERAGE(R10:R14)</f>
        <v>26.585215619819444</v>
      </c>
      <c r="AJ4" s="17">
        <f>AVERAGE(S10:S14)</f>
        <v>2.9496034218749991</v>
      </c>
      <c r="AK4" s="17">
        <f>AVERAGE(T10:T14)</f>
        <v>13.999578124999999</v>
      </c>
    </row>
    <row r="5" spans="1:37" x14ac:dyDescent="0.2">
      <c r="A5">
        <v>2015</v>
      </c>
      <c r="B5">
        <v>52.32</v>
      </c>
      <c r="C5">
        <v>2.63</v>
      </c>
      <c r="D5">
        <f>B5/5.8</f>
        <v>9.0206896551724149</v>
      </c>
      <c r="E5">
        <f t="shared" ref="E5:E20" si="2">1.15*C5+3.5+17.59</f>
        <v>24.1145</v>
      </c>
      <c r="F5">
        <f t="shared" ref="F5:F20" si="3">1.2*C5+6</f>
        <v>9.1559999999999988</v>
      </c>
      <c r="G5" s="2">
        <f t="shared" ref="G5:G20" si="4">0.1333*B5+0.4521</f>
        <v>7.4263560000000002</v>
      </c>
      <c r="H5">
        <f t="shared" ref="H5:H20" si="5">1.1578*C5+8.0776</f>
        <v>11.122614</v>
      </c>
      <c r="I5">
        <f t="shared" ref="I5:I20" si="6">1.1166 * (B5/6.115) - 0.0466</f>
        <v>9.5070405560098123</v>
      </c>
      <c r="J5">
        <f t="shared" ref="J5:J20" si="7">(B5/6.115) * 1.184 + 1.8633</f>
        <v>11.993615617334422</v>
      </c>
      <c r="K5">
        <f>J5+32.81-16.29</f>
        <v>28.513615617334423</v>
      </c>
      <c r="M5">
        <f>A5</f>
        <v>2015</v>
      </c>
      <c r="N5">
        <f t="shared" ref="N5:N20" si="8">G5*(1+inflation_rate)^(base_year-$A5)</f>
        <v>7.5600304080000003</v>
      </c>
      <c r="O5">
        <f t="shared" ref="O5:O20" si="9">H5*(1+inflation_rate)^(base_year-$A5)</f>
        <v>11.322821052</v>
      </c>
      <c r="P5">
        <f t="shared" ref="P5:P20" si="10">I5*(1+inflation_rate)^(base_year-$A5)</f>
        <v>9.6781672860179899</v>
      </c>
      <c r="Q5">
        <f t="shared" ref="Q5:Q20" si="11">J5*(1+inflation_rate)^(base_year-$A5)</f>
        <v>12.209500698446442</v>
      </c>
      <c r="R5">
        <f t="shared" ref="R5:R20" si="12">K5*(1+inflation_rate)^(base_year-$A5)</f>
        <v>29.026860698446445</v>
      </c>
      <c r="S5">
        <f>INDEX('[1]EIA-derived'!$B$67:$AK$67, MATCH(A5, '[1]EIA-derived'!$B$61:$AK$61, 0)) * (1+'[1]EIA-derived'!$B$56)^(base_year-2013)</f>
        <v>2.7471479843749993</v>
      </c>
      <c r="T5">
        <f>INDEX('[1]EIA-derived'!$B$68:$AK$68, MATCH(A5, '[1]EIA-derived'!$B$61:$AK$61, 0)) * (1+'[1]EIA-derived'!$B$56)^(base_year-2013)</f>
        <v>13.999578124999999</v>
      </c>
      <c r="V5" t="s">
        <v>33</v>
      </c>
      <c r="W5" s="11">
        <f>C54</f>
        <v>51113806</v>
      </c>
      <c r="X5" s="11">
        <f>G54</f>
        <v>34757388.080000006</v>
      </c>
      <c r="Y5" s="3"/>
      <c r="Z5" s="3"/>
      <c r="AA5" s="3"/>
      <c r="AB5" s="3"/>
      <c r="AC5" s="3"/>
      <c r="AE5" s="16" t="str">
        <f>M15&amp;"-"&amp;RIGHT(M19,2)</f>
        <v>2025-29</v>
      </c>
      <c r="AF5" s="17">
        <f>AVERAGE(N15:N19)</f>
        <v>8.9328293677699211</v>
      </c>
      <c r="AG5" s="17">
        <f>AVERAGE(P15:P19)</f>
        <v>11.689153446548085</v>
      </c>
      <c r="AH5" s="17">
        <f>AVERAGE(Q15:Q19)</f>
        <v>13.967129746325218</v>
      </c>
      <c r="AI5" s="17">
        <f>AVERAGE(R15:R19)</f>
        <v>27.547846616587446</v>
      </c>
      <c r="AJ5" s="17">
        <f>AVERAGE(S15:S19)</f>
        <v>3.1089832343749997</v>
      </c>
      <c r="AK5" s="17">
        <f>AVERAGE(T15:T19)</f>
        <v>13.999578124999999</v>
      </c>
    </row>
    <row r="6" spans="1:37" x14ac:dyDescent="0.2">
      <c r="A6">
        <v>2016</v>
      </c>
      <c r="B6" s="1">
        <f>B5*B$2</f>
        <v>52.469359212714316</v>
      </c>
      <c r="C6" s="1">
        <f>C5*C$2</f>
        <v>2.7179854344953656</v>
      </c>
      <c r="D6">
        <f t="shared" ref="D6:D35" si="13">B6/6.115</f>
        <v>8.5804348671650548</v>
      </c>
      <c r="E6">
        <f t="shared" si="2"/>
        <v>24.21568324966967</v>
      </c>
      <c r="F6">
        <f t="shared" si="3"/>
        <v>9.2615825213944376</v>
      </c>
      <c r="G6" s="2">
        <f t="shared" si="4"/>
        <v>7.4462655830548181</v>
      </c>
      <c r="H6">
        <f t="shared" si="5"/>
        <v>11.224483536058735</v>
      </c>
      <c r="I6">
        <f t="shared" si="6"/>
        <v>9.5343135726765009</v>
      </c>
      <c r="J6">
        <f t="shared" si="7"/>
        <v>12.022534882723425</v>
      </c>
      <c r="K6">
        <f t="shared" ref="K6:K20" si="14">J6+32.81-16.29</f>
        <v>28.54253488272343</v>
      </c>
      <c r="M6">
        <f t="shared" ref="M6:M20" si="15">A6</f>
        <v>2016</v>
      </c>
      <c r="N6">
        <f t="shared" si="8"/>
        <v>7.4462655830548181</v>
      </c>
      <c r="O6">
        <f t="shared" si="9"/>
        <v>11.224483536058735</v>
      </c>
      <c r="P6">
        <f t="shared" si="10"/>
        <v>9.5343135726765009</v>
      </c>
      <c r="Q6">
        <f t="shared" si="11"/>
        <v>12.022534882723425</v>
      </c>
      <c r="R6">
        <f t="shared" si="12"/>
        <v>28.54253488272343</v>
      </c>
      <c r="S6">
        <f>INDEX('[1]EIA-derived'!$B$67:$AK$67, MATCH(A6, '[1]EIA-derived'!$B$61:$AK$61, 0)) * (1+'[1]EIA-derived'!$B$56)^(base_year-2013)</f>
        <v>2.7363790781249997</v>
      </c>
      <c r="T6">
        <f>INDEX('[1]EIA-derived'!$B$68:$AK$68, MATCH(A6, '[1]EIA-derived'!$B$61:$AK$61, 0)) * (1+'[1]EIA-derived'!$B$56)^(base_year-2013)</f>
        <v>13.999578124999999</v>
      </c>
      <c r="AE6" s="16" t="str">
        <f>M20&amp;"-"&amp;RIGHT(M24,2)</f>
        <v>2030-34</v>
      </c>
      <c r="AF6" s="17">
        <f>AVERAGE(N20:N24)</f>
        <v>18.259733394999635</v>
      </c>
      <c r="AG6" s="17">
        <f>AVERAGE(P20:P24)</f>
        <v>24.512269785890215</v>
      </c>
      <c r="AH6" s="17">
        <f>AVERAGE(Q20:Q24)</f>
        <v>27.43008891537567</v>
      </c>
      <c r="AI6" s="17">
        <f>AVERAGE(R20:R24)</f>
        <v>39.851868111786544</v>
      </c>
      <c r="AJ6" s="17">
        <f>AVERAGE(S20:S24)</f>
        <v>3.2360563281249997</v>
      </c>
      <c r="AK6" s="17">
        <f>AVERAGE(T20:T24)</f>
        <v>13.999578124999999</v>
      </c>
    </row>
    <row r="7" spans="1:37" x14ac:dyDescent="0.2">
      <c r="A7">
        <v>2017</v>
      </c>
      <c r="B7" s="1">
        <f t="shared" ref="B7:C8" si="16">B6*B$2</f>
        <v>52.619144804909183</v>
      </c>
      <c r="C7" s="1">
        <f t="shared" si="16"/>
        <v>2.8089143810376278</v>
      </c>
      <c r="D7">
        <f t="shared" si="13"/>
        <v>8.6049296492083691</v>
      </c>
      <c r="E7">
        <f t="shared" si="2"/>
        <v>24.320251538193272</v>
      </c>
      <c r="F7">
        <f t="shared" si="3"/>
        <v>9.370697257245153</v>
      </c>
      <c r="G7" s="2">
        <f t="shared" si="4"/>
        <v>7.4662320024943938</v>
      </c>
      <c r="H7">
        <f t="shared" si="5"/>
        <v>11.329761070365365</v>
      </c>
      <c r="I7">
        <f t="shared" si="6"/>
        <v>9.5616644463060663</v>
      </c>
      <c r="J7">
        <f t="shared" si="7"/>
        <v>12.051536704662709</v>
      </c>
      <c r="K7">
        <f t="shared" si="14"/>
        <v>28.571536704662712</v>
      </c>
      <c r="M7">
        <f t="shared" si="15"/>
        <v>2017</v>
      </c>
      <c r="N7">
        <f t="shared" si="8"/>
        <v>7.3342161124699352</v>
      </c>
      <c r="O7">
        <f t="shared" si="9"/>
        <v>11.129431306842205</v>
      </c>
      <c r="P7">
        <f t="shared" si="10"/>
        <v>9.3925976879234447</v>
      </c>
      <c r="Q7">
        <f t="shared" si="11"/>
        <v>11.838444700061601</v>
      </c>
      <c r="R7">
        <f t="shared" si="12"/>
        <v>28.066342538961408</v>
      </c>
      <c r="S7">
        <f>INDEX('[1]EIA-derived'!$B$67:$AK$67, MATCH(A7, '[1]EIA-derived'!$B$61:$AK$61, 0)) * (1+'[1]EIA-derived'!$B$56)^(base_year-2013)</f>
        <v>2.7579168906249998</v>
      </c>
      <c r="T7">
        <f>INDEX('[1]EIA-derived'!$B$68:$AK$68, MATCH(A7, '[1]EIA-derived'!$B$61:$AK$61, 0)) * (1+'[1]EIA-derived'!$B$56)^(base_year-2013)</f>
        <v>13.999578124999999</v>
      </c>
      <c r="AE7" s="16" t="str">
        <f>M25&amp;"-"&amp;RIGHT(M29,2)</f>
        <v>2035-39</v>
      </c>
      <c r="AF7" s="17">
        <f>AVERAGE(N25:N29)</f>
        <v>24.164949493791077</v>
      </c>
      <c r="AG7" s="17">
        <f>AVERAGE(P25:P29)</f>
        <v>32.644221935391357</v>
      </c>
      <c r="AH7" s="17">
        <f>AVERAGE(Q25:Q29)</f>
        <v>35.93016755684468</v>
      </c>
      <c r="AI7" s="17">
        <f>AVERAGE(R25:R29)</f>
        <v>47.291909346945538</v>
      </c>
      <c r="AJ7" s="17">
        <f>AVERAGE(S25:S29)</f>
        <v>3.3695907656249995</v>
      </c>
      <c r="AK7" s="17">
        <f>AVERAGE(T25:T29)</f>
        <v>13.999578124999999</v>
      </c>
    </row>
    <row r="8" spans="1:37" x14ac:dyDescent="0.2">
      <c r="A8">
        <v>2018</v>
      </c>
      <c r="B8" s="1">
        <f t="shared" si="16"/>
        <v>52.76935799378078</v>
      </c>
      <c r="C8" s="1">
        <f t="shared" si="16"/>
        <v>2.9028853134619155</v>
      </c>
      <c r="D8">
        <f t="shared" si="13"/>
        <v>8.6294943571186877</v>
      </c>
      <c r="E8">
        <f t="shared" si="2"/>
        <v>24.4283181104812</v>
      </c>
      <c r="F8">
        <f t="shared" si="3"/>
        <v>9.4834623761542982</v>
      </c>
      <c r="G8" s="2">
        <f t="shared" si="4"/>
        <v>7.4862554205709779</v>
      </c>
      <c r="H8">
        <f t="shared" si="5"/>
        <v>11.438560615926207</v>
      </c>
      <c r="I8">
        <f t="shared" si="6"/>
        <v>9.5890933991587275</v>
      </c>
      <c r="J8">
        <f t="shared" si="7"/>
        <v>12.080621318828527</v>
      </c>
      <c r="K8">
        <f t="shared" si="14"/>
        <v>28.60062131882853</v>
      </c>
      <c r="M8">
        <f t="shared" si="15"/>
        <v>2018</v>
      </c>
      <c r="N8">
        <f t="shared" si="8"/>
        <v>7.2238560725902117</v>
      </c>
      <c r="O8">
        <f t="shared" si="9"/>
        <v>11.037629752786009</v>
      </c>
      <c r="P8">
        <f t="shared" si="10"/>
        <v>9.2529878678470521</v>
      </c>
      <c r="Q8">
        <f t="shared" si="11"/>
        <v>11.657185705270289</v>
      </c>
      <c r="R8">
        <f t="shared" si="12"/>
        <v>27.59814625428778</v>
      </c>
      <c r="S8">
        <f>INDEX('[1]EIA-derived'!$B$67:$AK$67, MATCH(A8, '[1]EIA-derived'!$B$61:$AK$61, 0)) * (1+'[1]EIA-derived'!$B$56)^(base_year-2013)</f>
        <v>2.7902236093749995</v>
      </c>
      <c r="T8">
        <f>INDEX('[1]EIA-derived'!$B$68:$AK$68, MATCH(A8, '[1]EIA-derived'!$B$61:$AK$61, 0)) * (1+'[1]EIA-derived'!$B$56)^(base_year-2013)</f>
        <v>13.999578124999999</v>
      </c>
      <c r="AE8" s="16" t="str">
        <f>M30&amp;"-"&amp;RIGHT(M34,2)</f>
        <v>2040-44</v>
      </c>
      <c r="AF8" s="17">
        <f>AVERAGE(N30:N34)</f>
        <v>31.402058656749499</v>
      </c>
      <c r="AG8" s="17">
        <f>AVERAGE(P30:P34)</f>
        <v>42.597013013237707</v>
      </c>
      <c r="AH8" s="17">
        <f>AVERAGE(Q30:Q34)</f>
        <v>46.371467921046474</v>
      </c>
      <c r="AI8" s="17">
        <f>AVERAGE(R30:R34)</f>
        <v>56.763632719968584</v>
      </c>
      <c r="AJ8" s="17">
        <f>AVERAGE(S30:S34)</f>
        <v>3.5147556218749996</v>
      </c>
      <c r="AK8" s="17">
        <f>AVERAGE(T30:T34)</f>
        <v>13.999578124999999</v>
      </c>
    </row>
    <row r="9" spans="1:37" x14ac:dyDescent="0.2">
      <c r="A9">
        <v>2019</v>
      </c>
      <c r="B9">
        <v>52.92</v>
      </c>
      <c r="C9">
        <v>3</v>
      </c>
      <c r="D9">
        <f t="shared" si="13"/>
        <v>8.6541291905151265</v>
      </c>
      <c r="E9">
        <f t="shared" si="2"/>
        <v>24.54</v>
      </c>
      <c r="F9">
        <f t="shared" si="3"/>
        <v>9.6</v>
      </c>
      <c r="G9" s="2">
        <f t="shared" si="4"/>
        <v>7.5063360000000001</v>
      </c>
      <c r="H9">
        <f t="shared" si="5"/>
        <v>11.551</v>
      </c>
      <c r="I9">
        <f t="shared" si="6"/>
        <v>9.61660065412919</v>
      </c>
      <c r="J9">
        <f t="shared" si="7"/>
        <v>12.10978896156991</v>
      </c>
      <c r="K9">
        <f t="shared" si="14"/>
        <v>28.629788961569915</v>
      </c>
      <c r="M9">
        <f t="shared" si="15"/>
        <v>2019</v>
      </c>
      <c r="N9">
        <f t="shared" si="8"/>
        <v>7.1151599325738246</v>
      </c>
      <c r="O9">
        <f t="shared" si="9"/>
        <v>10.949045230743767</v>
      </c>
      <c r="P9">
        <f t="shared" si="10"/>
        <v>9.1154528203671195</v>
      </c>
      <c r="Q9">
        <f t="shared" si="11"/>
        <v>11.478714143796255</v>
      </c>
      <c r="R9">
        <f t="shared" si="12"/>
        <v>27.137810950296739</v>
      </c>
      <c r="S9">
        <f>INDEX('[1]EIA-derived'!$B$67:$AK$67, MATCH(A9, '[1]EIA-derived'!$B$61:$AK$61, 0)) * (1+'[1]EIA-derived'!$B$56)^(base_year-2013)</f>
        <v>2.8332992343749996</v>
      </c>
      <c r="T9">
        <f>INDEX('[1]EIA-derived'!$B$68:$AK$68, MATCH(A9, '[1]EIA-derived'!$B$61:$AK$61, 0)) * (1+'[1]EIA-derived'!$B$56)^(base_year-2013)</f>
        <v>13.999578124999999</v>
      </c>
    </row>
    <row r="10" spans="1:37" x14ac:dyDescent="0.2">
      <c r="A10">
        <v>2020</v>
      </c>
      <c r="B10">
        <v>54.72</v>
      </c>
      <c r="C10">
        <v>3.09</v>
      </c>
      <c r="D10">
        <f t="shared" si="13"/>
        <v>8.9484873262469335</v>
      </c>
      <c r="E10">
        <f t="shared" si="2"/>
        <v>24.6435</v>
      </c>
      <c r="F10">
        <f t="shared" si="3"/>
        <v>9.7080000000000002</v>
      </c>
      <c r="G10">
        <f t="shared" si="4"/>
        <v>7.7462759999999999</v>
      </c>
      <c r="H10">
        <f t="shared" si="5"/>
        <v>11.655201999999999</v>
      </c>
      <c r="I10">
        <f t="shared" si="6"/>
        <v>9.9452809484873264</v>
      </c>
      <c r="J10">
        <f t="shared" si="7"/>
        <v>12.45830899427637</v>
      </c>
      <c r="K10">
        <f t="shared" si="14"/>
        <v>28.978308994276375</v>
      </c>
      <c r="M10">
        <f t="shared" si="15"/>
        <v>2020</v>
      </c>
      <c r="N10">
        <f t="shared" si="8"/>
        <v>7.2127661995623162</v>
      </c>
      <c r="O10">
        <f t="shared" si="9"/>
        <v>10.852472469954737</v>
      </c>
      <c r="P10">
        <f t="shared" si="10"/>
        <v>9.2603189287859653</v>
      </c>
      <c r="Q10">
        <f t="shared" si="11"/>
        <v>11.600267020903953</v>
      </c>
      <c r="R10">
        <f t="shared" si="12"/>
        <v>26.982483923163763</v>
      </c>
      <c r="S10">
        <f>INDEX('[1]EIA-derived'!$B$67:$AK$67, MATCH(A10, '[1]EIA-derived'!$B$61:$AK$61, 0)) * (1+'[1]EIA-derived'!$B$56)^(base_year-2013)</f>
        <v>2.8763748593749994</v>
      </c>
      <c r="T10">
        <f>INDEX('[1]EIA-derived'!$B$68:$AK$68, MATCH(A10, '[1]EIA-derived'!$B$61:$AK$61, 0)) * (1+'[1]EIA-derived'!$B$56)^(base_year-2013)</f>
        <v>13.999578124999999</v>
      </c>
    </row>
    <row r="11" spans="1:37" x14ac:dyDescent="0.2">
      <c r="A11">
        <v>2021</v>
      </c>
      <c r="B11">
        <v>56.36</v>
      </c>
      <c r="C11">
        <v>3.24</v>
      </c>
      <c r="D11">
        <f t="shared" si="13"/>
        <v>9.2166802943581345</v>
      </c>
      <c r="E11">
        <f t="shared" si="2"/>
        <v>24.815999999999999</v>
      </c>
      <c r="F11">
        <f t="shared" si="3"/>
        <v>9.8879999999999999</v>
      </c>
      <c r="G11">
        <f t="shared" si="4"/>
        <v>7.9648880000000002</v>
      </c>
      <c r="H11">
        <f t="shared" si="5"/>
        <v>11.828872</v>
      </c>
      <c r="I11">
        <f t="shared" si="6"/>
        <v>10.244745216680293</v>
      </c>
      <c r="J11">
        <f t="shared" si="7"/>
        <v>12.775849468520031</v>
      </c>
      <c r="K11">
        <f t="shared" si="14"/>
        <v>29.295849468520032</v>
      </c>
      <c r="M11">
        <f t="shared" si="15"/>
        <v>2021</v>
      </c>
      <c r="N11">
        <f t="shared" si="8"/>
        <v>7.2851883302852691</v>
      </c>
      <c r="O11">
        <f t="shared" si="9"/>
        <v>10.819431516781927</v>
      </c>
      <c r="P11">
        <f t="shared" si="10"/>
        <v>9.3704893652371641</v>
      </c>
      <c r="Q11">
        <f t="shared" si="11"/>
        <v>11.685596766400655</v>
      </c>
      <c r="R11">
        <f t="shared" si="12"/>
        <v>26.795829479818931</v>
      </c>
      <c r="S11">
        <f>INDEX('[1]EIA-derived'!$B$67:$AK$67, MATCH(A11, '[1]EIA-derived'!$B$61:$AK$61, 0)) * (1+'[1]EIA-derived'!$B$56)^(base_year-2013)</f>
        <v>2.9194504843749995</v>
      </c>
      <c r="T11">
        <f>INDEX('[1]EIA-derived'!$B$68:$AK$68, MATCH(A11, '[1]EIA-derived'!$B$61:$AK$61, 0)) * (1+'[1]EIA-derived'!$B$56)^(base_year-2013)</f>
        <v>13.999578124999999</v>
      </c>
    </row>
    <row r="12" spans="1:37" x14ac:dyDescent="0.2">
      <c r="A12">
        <v>2022</v>
      </c>
      <c r="B12">
        <v>57.88</v>
      </c>
      <c r="C12">
        <v>3.4</v>
      </c>
      <c r="D12">
        <f t="shared" si="13"/>
        <v>9.4652493867538841</v>
      </c>
      <c r="E12">
        <f t="shared" si="2"/>
        <v>25</v>
      </c>
      <c r="F12">
        <f t="shared" si="3"/>
        <v>10.08</v>
      </c>
      <c r="G12">
        <f t="shared" si="4"/>
        <v>8.167504000000001</v>
      </c>
      <c r="H12">
        <f t="shared" si="5"/>
        <v>12.01412</v>
      </c>
      <c r="I12">
        <f t="shared" si="6"/>
        <v>10.522297465249387</v>
      </c>
      <c r="J12">
        <f t="shared" si="7"/>
        <v>13.070155273916599</v>
      </c>
      <c r="K12">
        <f t="shared" si="14"/>
        <v>29.590155273916601</v>
      </c>
      <c r="M12">
        <f t="shared" si="15"/>
        <v>2022</v>
      </c>
      <c r="N12">
        <f t="shared" si="8"/>
        <v>7.3384220904930757</v>
      </c>
      <c r="O12">
        <f t="shared" si="9"/>
        <v>10.7945687698267</v>
      </c>
      <c r="P12">
        <f t="shared" si="10"/>
        <v>9.4541808809307462</v>
      </c>
      <c r="Q12">
        <f t="shared" si="11"/>
        <v>11.743406086888251</v>
      </c>
      <c r="R12">
        <f t="shared" si="12"/>
        <v>26.586463762151784</v>
      </c>
      <c r="S12">
        <f>INDEX('[1]EIA-derived'!$B$67:$AK$67, MATCH(A12, '[1]EIA-derived'!$B$61:$AK$61, 0)) * (1+'[1]EIA-derived'!$B$56)^(base_year-2013)</f>
        <v>2.9517572031249997</v>
      </c>
      <c r="T12">
        <f>INDEX('[1]EIA-derived'!$B$68:$AK$68, MATCH(A12, '[1]EIA-derived'!$B$61:$AK$61, 0)) * (1+'[1]EIA-derived'!$B$56)^(base_year-2013)</f>
        <v>13.999578124999999</v>
      </c>
    </row>
    <row r="13" spans="1:37" x14ac:dyDescent="0.2">
      <c r="A13">
        <v>2023</v>
      </c>
      <c r="B13">
        <v>59.44</v>
      </c>
      <c r="C13">
        <v>3.53</v>
      </c>
      <c r="D13">
        <f t="shared" si="13"/>
        <v>9.7203597710547829</v>
      </c>
      <c r="E13">
        <f t="shared" si="2"/>
        <v>25.1495</v>
      </c>
      <c r="F13">
        <f t="shared" si="3"/>
        <v>10.236000000000001</v>
      </c>
      <c r="G13">
        <f t="shared" si="4"/>
        <v>8.3754519999999992</v>
      </c>
      <c r="H13">
        <f t="shared" si="5"/>
        <v>12.164634</v>
      </c>
      <c r="I13">
        <f t="shared" si="6"/>
        <v>10.807153720359771</v>
      </c>
      <c r="J13">
        <f t="shared" si="7"/>
        <v>13.372205968928863</v>
      </c>
      <c r="K13">
        <f t="shared" si="14"/>
        <v>29.89220596892887</v>
      </c>
      <c r="M13">
        <f t="shared" si="15"/>
        <v>2023</v>
      </c>
      <c r="N13">
        <f t="shared" si="8"/>
        <v>7.3922016947012645</v>
      </c>
      <c r="O13">
        <f t="shared" si="9"/>
        <v>10.736546286722271</v>
      </c>
      <c r="P13">
        <f t="shared" si="10"/>
        <v>9.538429692694864</v>
      </c>
      <c r="Q13">
        <f t="shared" si="11"/>
        <v>11.802353308861457</v>
      </c>
      <c r="R13">
        <f t="shared" si="12"/>
        <v>26.382960062558446</v>
      </c>
      <c r="S13">
        <f>INDEX('[1]EIA-derived'!$B$67:$AK$67, MATCH(A13, '[1]EIA-derived'!$B$61:$AK$61, 0)) * (1+'[1]EIA-derived'!$B$56)^(base_year-2013)</f>
        <v>2.9840639218749994</v>
      </c>
      <c r="T13">
        <f>INDEX('[1]EIA-derived'!$B$68:$AK$68, MATCH(A13, '[1]EIA-derived'!$B$61:$AK$61, 0)) * (1+'[1]EIA-derived'!$B$56)^(base_year-2013)</f>
        <v>13.999578124999999</v>
      </c>
    </row>
    <row r="14" spans="1:37" x14ac:dyDescent="0.2">
      <c r="A14">
        <v>2024</v>
      </c>
      <c r="B14">
        <v>61</v>
      </c>
      <c r="C14">
        <v>3.7</v>
      </c>
      <c r="D14">
        <f t="shared" si="13"/>
        <v>9.9754701553556817</v>
      </c>
      <c r="E14">
        <f t="shared" si="2"/>
        <v>25.344999999999999</v>
      </c>
      <c r="F14">
        <f t="shared" si="3"/>
        <v>10.440000000000001</v>
      </c>
      <c r="G14">
        <f t="shared" si="4"/>
        <v>8.5833999999999993</v>
      </c>
      <c r="H14">
        <f t="shared" si="5"/>
        <v>12.361460000000001</v>
      </c>
      <c r="I14">
        <f t="shared" si="6"/>
        <v>11.092009975470155</v>
      </c>
      <c r="J14">
        <f t="shared" si="7"/>
        <v>13.674256663941128</v>
      </c>
      <c r="K14">
        <f t="shared" si="14"/>
        <v>30.194256663941133</v>
      </c>
      <c r="M14">
        <f t="shared" si="15"/>
        <v>2024</v>
      </c>
      <c r="N14">
        <f t="shared" si="8"/>
        <v>7.4417851559152375</v>
      </c>
      <c r="O14">
        <f t="shared" si="9"/>
        <v>10.71735320891954</v>
      </c>
      <c r="P14">
        <f t="shared" si="10"/>
        <v>9.6167433866204011</v>
      </c>
      <c r="Q14">
        <f t="shared" si="11"/>
        <v>11.855544453234396</v>
      </c>
      <c r="R14">
        <f t="shared" si="12"/>
        <v>26.178340871404323</v>
      </c>
      <c r="S14">
        <f>INDEX('[1]EIA-derived'!$B$67:$AK$67, MATCH(A14, '[1]EIA-derived'!$B$61:$AK$61, 0)) * (1+'[1]EIA-derived'!$B$56)^(base_year-2013)</f>
        <v>3.0163706406249995</v>
      </c>
      <c r="T14">
        <f>INDEX('[1]EIA-derived'!$B$68:$AK$68, MATCH(A14, '[1]EIA-derived'!$B$61:$AK$61, 0)) * (1+'[1]EIA-derived'!$B$56)^(base_year-2013)</f>
        <v>13.999578124999999</v>
      </c>
    </row>
    <row r="15" spans="1:37" x14ac:dyDescent="0.2">
      <c r="A15">
        <v>2025</v>
      </c>
      <c r="B15">
        <v>62.31</v>
      </c>
      <c r="C15">
        <v>3.86</v>
      </c>
      <c r="D15">
        <f t="shared" si="13"/>
        <v>10.189697465249386</v>
      </c>
      <c r="E15">
        <f t="shared" si="2"/>
        <v>25.529</v>
      </c>
      <c r="F15">
        <f t="shared" si="3"/>
        <v>10.632</v>
      </c>
      <c r="G15">
        <f t="shared" si="4"/>
        <v>8.7580229999999997</v>
      </c>
      <c r="H15">
        <f t="shared" si="5"/>
        <v>12.546707999999999</v>
      </c>
      <c r="I15">
        <f t="shared" si="6"/>
        <v>11.331216189697466</v>
      </c>
      <c r="J15">
        <f t="shared" si="7"/>
        <v>13.927901798855274</v>
      </c>
      <c r="K15">
        <f t="shared" si="14"/>
        <v>30.447901798855277</v>
      </c>
      <c r="M15">
        <f t="shared" si="15"/>
        <v>2025</v>
      </c>
      <c r="N15">
        <f t="shared" si="8"/>
        <v>7.4589222359900615</v>
      </c>
      <c r="O15">
        <f t="shared" si="9"/>
        <v>10.685621548341947</v>
      </c>
      <c r="P15">
        <f t="shared" si="10"/>
        <v>9.6504268598227032</v>
      </c>
      <c r="Q15">
        <f t="shared" si="11"/>
        <v>11.861939210272409</v>
      </c>
      <c r="R15">
        <f t="shared" si="12"/>
        <v>25.93148382537057</v>
      </c>
      <c r="S15">
        <f>INDEX('[1]EIA-derived'!$B$67:$AK$67, MATCH(A15, '[1]EIA-derived'!$B$61:$AK$61, 0)) * (1+'[1]EIA-derived'!$B$56)^(base_year-2013)</f>
        <v>3.0486773593749996</v>
      </c>
      <c r="T15">
        <f>INDEX('[1]EIA-derived'!$B$68:$AK$68, MATCH(A15, '[1]EIA-derived'!$B$61:$AK$61, 0)) * (1+'[1]EIA-derived'!$B$56)^(base_year-2013)</f>
        <v>13.999578124999999</v>
      </c>
    </row>
    <row r="16" spans="1:37" x14ac:dyDescent="0.2">
      <c r="A16">
        <v>2026</v>
      </c>
      <c r="B16">
        <v>63.06</v>
      </c>
      <c r="C16">
        <v>4.01</v>
      </c>
      <c r="D16">
        <f t="shared" si="13"/>
        <v>10.312346688470972</v>
      </c>
      <c r="E16">
        <f t="shared" si="2"/>
        <v>25.701499999999999</v>
      </c>
      <c r="F16">
        <f t="shared" si="3"/>
        <v>10.811999999999999</v>
      </c>
      <c r="G16">
        <f t="shared" si="4"/>
        <v>8.8579980000000003</v>
      </c>
      <c r="H16">
        <f t="shared" si="5"/>
        <v>12.720378</v>
      </c>
      <c r="I16">
        <f t="shared" si="6"/>
        <v>11.468166312346689</v>
      </c>
      <c r="J16">
        <f t="shared" si="7"/>
        <v>14.073118479149631</v>
      </c>
      <c r="K16">
        <f t="shared" si="14"/>
        <v>30.593118479149631</v>
      </c>
      <c r="M16">
        <f t="shared" si="15"/>
        <v>2026</v>
      </c>
      <c r="N16">
        <f t="shared" si="8"/>
        <v>7.4106755199062304</v>
      </c>
      <c r="O16">
        <f t="shared" si="9"/>
        <v>10.641975065760207</v>
      </c>
      <c r="P16">
        <f t="shared" si="10"/>
        <v>9.5943642512812612</v>
      </c>
      <c r="Q16">
        <f t="shared" si="11"/>
        <v>11.773689111487062</v>
      </c>
      <c r="R16">
        <f t="shared" si="12"/>
        <v>25.594459853233776</v>
      </c>
      <c r="S16">
        <f>INDEX('[1]EIA-derived'!$B$67:$AK$67, MATCH(A16, '[1]EIA-derived'!$B$61:$AK$61, 0)) * (1+'[1]EIA-derived'!$B$56)^(base_year-2013)</f>
        <v>3.0809840781249993</v>
      </c>
      <c r="T16">
        <f>INDEX('[1]EIA-derived'!$B$68:$AK$68, MATCH(A16, '[1]EIA-derived'!$B$61:$AK$61, 0)) * (1+'[1]EIA-derived'!$B$56)^(base_year-2013)</f>
        <v>13.999578124999999</v>
      </c>
    </row>
    <row r="17" spans="1:20" x14ac:dyDescent="0.2">
      <c r="A17">
        <v>2027</v>
      </c>
      <c r="B17">
        <v>63.61</v>
      </c>
      <c r="C17">
        <v>4.17</v>
      </c>
      <c r="D17">
        <f t="shared" si="13"/>
        <v>10.402289452166803</v>
      </c>
      <c r="E17">
        <f t="shared" si="2"/>
        <v>25.8855</v>
      </c>
      <c r="F17">
        <f t="shared" si="3"/>
        <v>11.004</v>
      </c>
      <c r="G17">
        <f t="shared" si="4"/>
        <v>8.9313129999999994</v>
      </c>
      <c r="H17">
        <f t="shared" si="5"/>
        <v>12.905626</v>
      </c>
      <c r="I17">
        <f t="shared" si="6"/>
        <v>11.568596402289453</v>
      </c>
      <c r="J17">
        <f t="shared" si="7"/>
        <v>14.179610711365495</v>
      </c>
      <c r="K17">
        <f t="shared" si="14"/>
        <v>30.699610711365501</v>
      </c>
      <c r="M17">
        <f t="shared" si="15"/>
        <v>2027</v>
      </c>
      <c r="N17">
        <f t="shared" si="8"/>
        <v>7.3398933837286053</v>
      </c>
      <c r="O17">
        <f t="shared" si="9"/>
        <v>10.606046265568777</v>
      </c>
      <c r="P17">
        <f t="shared" si="10"/>
        <v>9.5072543300398173</v>
      </c>
      <c r="Q17">
        <f t="shared" si="11"/>
        <v>11.65302692271549</v>
      </c>
      <c r="R17">
        <f t="shared" si="12"/>
        <v>25.22942254329184</v>
      </c>
      <c r="S17">
        <f>INDEX('[1]EIA-derived'!$B$67:$AK$67, MATCH(A17, '[1]EIA-derived'!$B$61:$AK$61, 0)) * (1+'[1]EIA-derived'!$B$56)^(base_year-2013)</f>
        <v>3.1132907968749999</v>
      </c>
      <c r="T17">
        <f>INDEX('[1]EIA-derived'!$B$68:$AK$68, MATCH(A17, '[1]EIA-derived'!$B$61:$AK$61, 0)) * (1+'[1]EIA-derived'!$B$56)^(base_year-2013)</f>
        <v>13.999578124999999</v>
      </c>
    </row>
    <row r="18" spans="1:20" x14ac:dyDescent="0.2">
      <c r="A18">
        <v>2028</v>
      </c>
      <c r="B18">
        <v>63.89</v>
      </c>
      <c r="C18">
        <v>4.3499999999999996</v>
      </c>
      <c r="D18">
        <f t="shared" si="13"/>
        <v>10.448078495502861</v>
      </c>
      <c r="E18">
        <f t="shared" si="2"/>
        <v>26.092500000000001</v>
      </c>
      <c r="F18">
        <f t="shared" si="3"/>
        <v>11.219999999999999</v>
      </c>
      <c r="G18">
        <f t="shared" si="4"/>
        <v>8.9686369999999993</v>
      </c>
      <c r="H18">
        <f t="shared" si="5"/>
        <v>13.11403</v>
      </c>
      <c r="I18">
        <f t="shared" si="6"/>
        <v>11.619724448078495</v>
      </c>
      <c r="J18">
        <f t="shared" si="7"/>
        <v>14.233824938675387</v>
      </c>
      <c r="K18">
        <f t="shared" si="14"/>
        <v>30.753824938675386</v>
      </c>
      <c r="M18">
        <f t="shared" si="15"/>
        <v>2028</v>
      </c>
      <c r="N18">
        <f t="shared" si="8"/>
        <v>7.2402424690521547</v>
      </c>
      <c r="O18">
        <f t="shared" si="9"/>
        <v>10.586754369300936</v>
      </c>
      <c r="P18">
        <f t="shared" si="10"/>
        <v>9.3804245202098748</v>
      </c>
      <c r="Q18">
        <f t="shared" si="11"/>
        <v>11.490747570455937</v>
      </c>
      <c r="R18">
        <f t="shared" si="12"/>
        <v>24.827089044499495</v>
      </c>
      <c r="S18">
        <f>INDEX('[1]EIA-derived'!$B$67:$AK$67, MATCH(A18, '[1]EIA-derived'!$B$61:$AK$61, 0)) * (1+'[1]EIA-derived'!$B$56)^(base_year-2013)</f>
        <v>3.1348286093749995</v>
      </c>
      <c r="T18">
        <f>INDEX('[1]EIA-derived'!$B$68:$AK$68, MATCH(A18, '[1]EIA-derived'!$B$61:$AK$61, 0)) * (1+'[1]EIA-derived'!$B$56)^(base_year-2013)</f>
        <v>13.999578124999999</v>
      </c>
    </row>
    <row r="19" spans="1:20" x14ac:dyDescent="0.2">
      <c r="A19">
        <f>'storage hedge'!A19</f>
        <v>2029</v>
      </c>
      <c r="B19">
        <f>'storage hedge'!E19</f>
        <v>140.53669432020027</v>
      </c>
      <c r="C19" s="1">
        <f t="shared" ref="C19:C20" si="17">C18*C$2</f>
        <v>4.4955272395645771</v>
      </c>
      <c r="D19">
        <f t="shared" si="13"/>
        <v>22.982288523336102</v>
      </c>
      <c r="E19" s="1">
        <f t="shared" si="2"/>
        <v>26.259856325499264</v>
      </c>
      <c r="F19" s="1">
        <f t="shared" si="3"/>
        <v>11.394632687477493</v>
      </c>
      <c r="G19">
        <f t="shared" si="4"/>
        <v>19.185641352882698</v>
      </c>
      <c r="H19">
        <f t="shared" si="5"/>
        <v>13.282521437967867</v>
      </c>
      <c r="I19">
        <f t="shared" si="6"/>
        <v>25.615423365157092</v>
      </c>
      <c r="J19">
        <f t="shared" si="7"/>
        <v>29.074329611629942</v>
      </c>
      <c r="K19">
        <f t="shared" si="14"/>
        <v>45.594329611629945</v>
      </c>
      <c r="M19">
        <f t="shared" si="15"/>
        <v>2029</v>
      </c>
      <c r="N19">
        <f t="shared" si="8"/>
        <v>15.214413230172552</v>
      </c>
      <c r="O19">
        <f t="shared" si="9"/>
        <v>10.533177712378372</v>
      </c>
      <c r="P19">
        <f t="shared" si="10"/>
        <v>20.313297271386762</v>
      </c>
      <c r="Q19">
        <f t="shared" si="11"/>
        <v>23.056245916695197</v>
      </c>
      <c r="R19">
        <f t="shared" si="12"/>
        <v>36.156777816541521</v>
      </c>
      <c r="S19">
        <f>INDEX('[1]EIA-derived'!$B$67:$AK$67, MATCH(A19, '[1]EIA-derived'!$B$61:$AK$61, 0)) * (1+'[1]EIA-derived'!$B$56)^(base_year-2013)</f>
        <v>3.1671353281249996</v>
      </c>
      <c r="T19">
        <f>INDEX('[1]EIA-derived'!$B$68:$AK$68, MATCH(A19, '[1]EIA-derived'!$B$61:$AK$61, 0)) * (1+'[1]EIA-derived'!$B$56)^(base_year-2013)</f>
        <v>13.999578124999999</v>
      </c>
    </row>
    <row r="20" spans="1:20" x14ac:dyDescent="0.2">
      <c r="A20">
        <f>'storage hedge'!A20</f>
        <v>2030</v>
      </c>
      <c r="B20">
        <f>'storage hedge'!E20</f>
        <v>152.3736432325008</v>
      </c>
      <c r="C20" s="1">
        <f t="shared" si="17"/>
        <v>4.6459230256705997</v>
      </c>
      <c r="D20">
        <f t="shared" si="13"/>
        <v>24.918011975879114</v>
      </c>
      <c r="E20" s="1">
        <f t="shared" si="2"/>
        <v>26.432811479521188</v>
      </c>
      <c r="F20" s="1">
        <f t="shared" si="3"/>
        <v>11.57510763080472</v>
      </c>
      <c r="G20">
        <f t="shared" si="4"/>
        <v>20.763506642892359</v>
      </c>
      <c r="H20">
        <f t="shared" si="5"/>
        <v>13.456649679121419</v>
      </c>
      <c r="I20">
        <f t="shared" si="6"/>
        <v>27.776852172266619</v>
      </c>
      <c r="J20">
        <f t="shared" si="7"/>
        <v>31.366226179440869</v>
      </c>
      <c r="K20">
        <f t="shared" si="14"/>
        <v>47.886226179440875</v>
      </c>
      <c r="M20">
        <f t="shared" si="15"/>
        <v>2030</v>
      </c>
      <c r="N20">
        <f t="shared" si="8"/>
        <v>16.174535190296361</v>
      </c>
      <c r="O20">
        <f t="shared" si="9"/>
        <v>10.482576836458692</v>
      </c>
      <c r="P20">
        <f t="shared" si="10"/>
        <v>21.637851479667113</v>
      </c>
      <c r="Q20">
        <f t="shared" si="11"/>
        <v>24.433932950329897</v>
      </c>
      <c r="R20">
        <f t="shared" si="12"/>
        <v>37.302824796937294</v>
      </c>
      <c r="S20">
        <f>INDEX('[1]EIA-derived'!$B$67:$AK$67, MATCH(A20, '[1]EIA-derived'!$B$61:$AK$61, 0)) * (1+'[1]EIA-derived'!$B$56)^(base_year-2013)</f>
        <v>3.1886731406249993</v>
      </c>
      <c r="T20">
        <f>INDEX('[1]EIA-derived'!$B$68:$AK$68, MATCH(A20, '[1]EIA-derived'!$B$61:$AK$61, 0)) * (1+'[1]EIA-derived'!$B$56)^(base_year-2013)</f>
        <v>13.999578124999999</v>
      </c>
    </row>
    <row r="21" spans="1:20" x14ac:dyDescent="0.2">
      <c r="A21">
        <f>'storage hedge'!A21</f>
        <v>2031</v>
      </c>
      <c r="B21">
        <f>'storage hedge'!E21</f>
        <v>164.98209453009494</v>
      </c>
      <c r="C21" s="1"/>
      <c r="D21">
        <f t="shared" si="13"/>
        <v>26.979900986115279</v>
      </c>
      <c r="E21" s="7"/>
      <c r="F21" s="7"/>
      <c r="G21">
        <f t="shared" ref="G21:G35" si="18">0.1333*B21+0.4521</f>
        <v>22.444213200861657</v>
      </c>
      <c r="I21">
        <f t="shared" ref="I21:I35" si="19">1.1166 * (B21/6.115) - 0.0466</f>
        <v>30.079157441096321</v>
      </c>
      <c r="J21">
        <f t="shared" ref="J21:J35" si="20">(B21/6.115) * 1.184 + 1.8633</f>
        <v>33.807502767560493</v>
      </c>
      <c r="K21">
        <f t="shared" ref="K21:K35" si="21">J21+32.81-16.29</f>
        <v>50.327502767560496</v>
      </c>
      <c r="M21">
        <f t="shared" ref="M21:M35" si="22">A21</f>
        <v>2031</v>
      </c>
      <c r="N21">
        <f t="shared" ref="N21:N35" si="23">G21*(1+inflation_rate)^(base_year-$A21)</f>
        <v>17.174642884738539</v>
      </c>
      <c r="P21">
        <f t="shared" ref="P21:P35" si="24">I21*(1+inflation_rate)^(base_year-$A21)</f>
        <v>23.017014795814827</v>
      </c>
      <c r="Q21">
        <f t="shared" ref="Q21:Q35" si="25">J21*(1+inflation_rate)^(base_year-$A21)</f>
        <v>25.86999961466104</v>
      </c>
      <c r="R21">
        <f t="shared" ref="R21:R35" si="26">K21*(1+inflation_rate)^(base_year-$A21)</f>
        <v>38.511347204648651</v>
      </c>
      <c r="S21">
        <f>INDEX('[1]EIA-derived'!$B$67:$AK$67, MATCH(A21, '[1]EIA-derived'!$B$61:$AK$61, 0)) * (1+'[1]EIA-derived'!$B$56)^(base_year-2013)</f>
        <v>3.2102109531249994</v>
      </c>
      <c r="T21">
        <f>INDEX('[1]EIA-derived'!$B$68:$AK$68, MATCH(A21, '[1]EIA-derived'!$B$61:$AK$61, 0)) * (1+'[1]EIA-derived'!$B$56)^(base_year-2013)</f>
        <v>13.999578124999999</v>
      </c>
    </row>
    <row r="22" spans="1:20" x14ac:dyDescent="0.2">
      <c r="A22">
        <f>'storage hedge'!A22</f>
        <v>2032</v>
      </c>
      <c r="B22">
        <f>'storage hedge'!E22</f>
        <v>178.40944149421031</v>
      </c>
      <c r="C22" s="1"/>
      <c r="D22">
        <f t="shared" si="13"/>
        <v>29.175705886215912</v>
      </c>
      <c r="E22" s="7"/>
      <c r="F22" s="7"/>
      <c r="G22">
        <f t="shared" si="18"/>
        <v>24.234078551178236</v>
      </c>
      <c r="I22">
        <f t="shared" si="19"/>
        <v>32.530993192548692</v>
      </c>
      <c r="J22">
        <f t="shared" si="20"/>
        <v>36.407335769279641</v>
      </c>
      <c r="K22">
        <f t="shared" si="21"/>
        <v>52.927335769279644</v>
      </c>
      <c r="M22">
        <f t="shared" si="22"/>
        <v>2032</v>
      </c>
      <c r="N22">
        <f t="shared" si="23"/>
        <v>18.216379413207989</v>
      </c>
      <c r="P22">
        <f t="shared" si="24"/>
        <v>24.453040928809806</v>
      </c>
      <c r="Q22">
        <f t="shared" si="25"/>
        <v>27.366827271631994</v>
      </c>
      <c r="R22">
        <f t="shared" si="26"/>
        <v>39.784653980853619</v>
      </c>
      <c r="S22">
        <f>INDEX('[1]EIA-derived'!$B$67:$AK$67, MATCH(A22, '[1]EIA-derived'!$B$61:$AK$61, 0)) * (1+'[1]EIA-derived'!$B$56)^(base_year-2013)</f>
        <v>3.2317487656249995</v>
      </c>
      <c r="T22">
        <f>INDEX('[1]EIA-derived'!$B$68:$AK$68, MATCH(A22, '[1]EIA-derived'!$B$61:$AK$61, 0)) * (1+'[1]EIA-derived'!$B$56)^(base_year-2013)</f>
        <v>13.999578124999999</v>
      </c>
    </row>
    <row r="23" spans="1:20" x14ac:dyDescent="0.2">
      <c r="A23">
        <f>'storage hedge'!A23</f>
        <v>2033</v>
      </c>
      <c r="B23">
        <f>'storage hedge'!E23</f>
        <v>192.70594085943418</v>
      </c>
      <c r="C23" s="1"/>
      <c r="D23">
        <f t="shared" si="13"/>
        <v>31.513645275459389</v>
      </c>
      <c r="E23" s="7"/>
      <c r="F23" s="7"/>
      <c r="G23">
        <f t="shared" si="18"/>
        <v>26.139801916562579</v>
      </c>
      <c r="I23">
        <f t="shared" si="19"/>
        <v>35.141536314577955</v>
      </c>
      <c r="J23">
        <f t="shared" si="20"/>
        <v>39.175456006143918</v>
      </c>
      <c r="K23">
        <f t="shared" si="21"/>
        <v>55.695456006143921</v>
      </c>
      <c r="M23">
        <f t="shared" si="22"/>
        <v>2033</v>
      </c>
      <c r="N23">
        <f t="shared" si="23"/>
        <v>19.30145578219491</v>
      </c>
      <c r="P23">
        <f t="shared" si="24"/>
        <v>25.94827655769085</v>
      </c>
      <c r="Q23">
        <f t="shared" si="25"/>
        <v>28.926896013347555</v>
      </c>
      <c r="R23">
        <f t="shared" si="26"/>
        <v>41.125154077415949</v>
      </c>
      <c r="S23">
        <f>INDEX('[1]EIA-derived'!$B$67:$AK$67, MATCH(A23, '[1]EIA-derived'!$B$61:$AK$61, 0)) * (1+'[1]EIA-derived'!$B$56)^(base_year-2013)</f>
        <v>3.2640554843749996</v>
      </c>
      <c r="T23">
        <f>INDEX('[1]EIA-derived'!$B$68:$AK$68, MATCH(A23, '[1]EIA-derived'!$B$61:$AK$61, 0)) * (1+'[1]EIA-derived'!$B$56)^(base_year-2013)</f>
        <v>13.999578124999999</v>
      </c>
    </row>
    <row r="24" spans="1:20" x14ac:dyDescent="0.2">
      <c r="A24">
        <f>'storage hedge'!A24</f>
        <v>2034</v>
      </c>
      <c r="B24">
        <f>'storage hedge'!E24</f>
        <v>207.92488497833176</v>
      </c>
      <c r="C24" s="1"/>
      <c r="D24">
        <f t="shared" si="13"/>
        <v>34.00243417470675</v>
      </c>
      <c r="E24" s="7"/>
      <c r="F24" s="7"/>
      <c r="G24">
        <f t="shared" si="18"/>
        <v>28.168487167611627</v>
      </c>
      <c r="I24">
        <f t="shared" si="19"/>
        <v>37.920517999477561</v>
      </c>
      <c r="J24">
        <f t="shared" si="20"/>
        <v>42.122182062852794</v>
      </c>
      <c r="K24">
        <f t="shared" si="21"/>
        <v>58.642182062852804</v>
      </c>
      <c r="M24">
        <f t="shared" si="22"/>
        <v>2034</v>
      </c>
      <c r="N24">
        <f t="shared" si="23"/>
        <v>20.431653704560382</v>
      </c>
      <c r="P24">
        <f t="shared" si="24"/>
        <v>27.505165167468483</v>
      </c>
      <c r="Q24">
        <f t="shared" si="25"/>
        <v>30.552788726907856</v>
      </c>
      <c r="R24">
        <f t="shared" si="26"/>
        <v>42.535360499077207</v>
      </c>
      <c r="S24">
        <f>INDEX('[1]EIA-derived'!$B$67:$AK$67, MATCH(A24, '[1]EIA-derived'!$B$61:$AK$61, 0)) * (1+'[1]EIA-derived'!$B$56)^(base_year-2013)</f>
        <v>3.2855932968749992</v>
      </c>
      <c r="T24">
        <f>INDEX('[1]EIA-derived'!$B$68:$AK$68, MATCH(A24, '[1]EIA-derived'!$B$61:$AK$61, 0)) * (1+'[1]EIA-derived'!$B$56)^(base_year-2013)</f>
        <v>13.999578124999999</v>
      </c>
    </row>
    <row r="25" spans="1:20" x14ac:dyDescent="0.2">
      <c r="A25">
        <f>'storage hedge'!A25</f>
        <v>2035</v>
      </c>
      <c r="B25">
        <f>'storage hedge'!E25</f>
        <v>224.12278432237517</v>
      </c>
      <c r="C25" s="1"/>
      <c r="D25">
        <f t="shared" si="13"/>
        <v>36.6513138711979</v>
      </c>
      <c r="E25" s="7"/>
      <c r="F25" s="7"/>
      <c r="G25">
        <f t="shared" si="18"/>
        <v>30.327667150172612</v>
      </c>
      <c r="I25">
        <f t="shared" si="19"/>
        <v>40.878257068579579</v>
      </c>
      <c r="J25">
        <f t="shared" si="20"/>
        <v>45.258455623498314</v>
      </c>
      <c r="K25">
        <f t="shared" si="21"/>
        <v>61.778455623498324</v>
      </c>
      <c r="M25">
        <f t="shared" si="22"/>
        <v>2035</v>
      </c>
      <c r="N25">
        <f t="shared" si="23"/>
        <v>21.608828514666147</v>
      </c>
      <c r="P25">
        <f t="shared" si="24"/>
        <v>29.126251043293578</v>
      </c>
      <c r="Q25">
        <f t="shared" si="25"/>
        <v>32.24719532709711</v>
      </c>
      <c r="R25">
        <f t="shared" si="26"/>
        <v>44.01789451390394</v>
      </c>
      <c r="S25">
        <f>INDEX('[1]EIA-derived'!$B$67:$AK$67, MATCH(A25, '[1]EIA-derived'!$B$61:$AK$61, 0)) * (1+'[1]EIA-derived'!$B$56)^(base_year-2013)</f>
        <v>3.3179000156249994</v>
      </c>
      <c r="T25">
        <f>INDEX('[1]EIA-derived'!$B$68:$AK$68, MATCH(A25, '[1]EIA-derived'!$B$61:$AK$61, 0)) * (1+'[1]EIA-derived'!$B$56)^(base_year-2013)</f>
        <v>13.999578124999999</v>
      </c>
    </row>
    <row r="26" spans="1:20" x14ac:dyDescent="0.2">
      <c r="A26">
        <f>'storage hedge'!A26</f>
        <v>2036</v>
      </c>
      <c r="B26">
        <f>'storage hedge'!E26</f>
        <v>241.35956093947738</v>
      </c>
      <c r="C26" s="1"/>
      <c r="D26">
        <f t="shared" si="13"/>
        <v>39.470083555106683</v>
      </c>
      <c r="E26" s="7"/>
      <c r="F26" s="7"/>
      <c r="G26">
        <f t="shared" si="18"/>
        <v>32.625329473232334</v>
      </c>
      <c r="I26">
        <f t="shared" si="19"/>
        <v>44.025695297632126</v>
      </c>
      <c r="J26">
        <f t="shared" si="20"/>
        <v>48.595878929246311</v>
      </c>
      <c r="K26">
        <f t="shared" si="21"/>
        <v>65.115878929246321</v>
      </c>
      <c r="M26">
        <f t="shared" si="22"/>
        <v>2036</v>
      </c>
      <c r="N26">
        <f t="shared" si="23"/>
        <v>22.834912203810848</v>
      </c>
      <c r="P26">
        <f t="shared" si="24"/>
        <v>30.814183429411234</v>
      </c>
      <c r="Q26">
        <f t="shared" si="25"/>
        <v>34.01291716384987</v>
      </c>
      <c r="R26">
        <f t="shared" si="26"/>
        <v>45.575490038905691</v>
      </c>
      <c r="S26">
        <f>INDEX('[1]EIA-derived'!$B$67:$AK$67, MATCH(A26, '[1]EIA-derived'!$B$61:$AK$61, 0)) * (1+'[1]EIA-derived'!$B$56)^(base_year-2013)</f>
        <v>3.3394378281249995</v>
      </c>
      <c r="T26">
        <f>INDEX('[1]EIA-derived'!$B$68:$AK$68, MATCH(A26, '[1]EIA-derived'!$B$61:$AK$61, 0)) * (1+'[1]EIA-derived'!$B$56)^(base_year-2013)</f>
        <v>13.999578124999999</v>
      </c>
    </row>
    <row r="27" spans="1:20" x14ac:dyDescent="0.2">
      <c r="A27">
        <f>'storage hedge'!A27</f>
        <v>2037</v>
      </c>
      <c r="B27">
        <f>'storage hedge'!E27</f>
        <v>259.69875352564537</v>
      </c>
      <c r="C27" s="1"/>
      <c r="D27">
        <f t="shared" si="13"/>
        <v>42.469133855379454</v>
      </c>
      <c r="E27" s="7"/>
      <c r="F27" s="7"/>
      <c r="G27">
        <f t="shared" si="18"/>
        <v>35.069943844968527</v>
      </c>
      <c r="I27">
        <f t="shared" si="19"/>
        <v>47.374434862916701</v>
      </c>
      <c r="J27">
        <f t="shared" si="20"/>
        <v>52.146754484769275</v>
      </c>
      <c r="K27">
        <f t="shared" si="21"/>
        <v>68.666754484769285</v>
      </c>
      <c r="M27">
        <f t="shared" si="22"/>
        <v>2037</v>
      </c>
      <c r="N27">
        <f t="shared" si="23"/>
        <v>24.111916580935638</v>
      </c>
      <c r="P27">
        <f t="shared" si="24"/>
        <v>32.571720859698502</v>
      </c>
      <c r="Q27">
        <f t="shared" si="25"/>
        <v>35.85287161170293</v>
      </c>
      <c r="R27">
        <f t="shared" si="26"/>
        <v>47.210998208024961</v>
      </c>
      <c r="S27">
        <f>INDEX('[1]EIA-derived'!$B$67:$AK$67, MATCH(A27, '[1]EIA-derived'!$B$61:$AK$61, 0)) * (1+'[1]EIA-derived'!$B$56)^(base_year-2013)</f>
        <v>3.3717445468749996</v>
      </c>
      <c r="T27">
        <f>INDEX('[1]EIA-derived'!$B$68:$AK$68, MATCH(A27, '[1]EIA-derived'!$B$61:$AK$61, 0)) * (1+'[1]EIA-derived'!$B$56)^(base_year-2013)</f>
        <v>13.999578124999999</v>
      </c>
    </row>
    <row r="28" spans="1:20" x14ac:dyDescent="0.2">
      <c r="A28">
        <f>'storage hedge'!A28</f>
        <v>2038</v>
      </c>
      <c r="B28">
        <f>'storage hedge'!E28</f>
        <v>279.20773480771987</v>
      </c>
      <c r="C28" s="1"/>
      <c r="D28">
        <f t="shared" si="13"/>
        <v>45.659482388833993</v>
      </c>
      <c r="E28" s="7"/>
      <c r="F28" s="7"/>
      <c r="G28">
        <f t="shared" si="18"/>
        <v>37.670491049869064</v>
      </c>
      <c r="I28">
        <f t="shared" si="19"/>
        <v>50.936778035372043</v>
      </c>
      <c r="J28">
        <f t="shared" si="20"/>
        <v>55.924127148379448</v>
      </c>
      <c r="K28">
        <f t="shared" si="21"/>
        <v>72.444127148379465</v>
      </c>
      <c r="M28">
        <f t="shared" si="22"/>
        <v>2038</v>
      </c>
      <c r="N28">
        <f t="shared" si="23"/>
        <v>25.441936563766756</v>
      </c>
      <c r="P28">
        <f t="shared" si="24"/>
        <v>34.401735666865108</v>
      </c>
      <c r="Q28">
        <f t="shared" si="25"/>
        <v>37.770096848738625</v>
      </c>
      <c r="R28">
        <f t="shared" si="26"/>
        <v>48.92739212999799</v>
      </c>
      <c r="S28">
        <f>INDEX('[1]EIA-derived'!$B$67:$AK$67, MATCH(A28, '[1]EIA-derived'!$B$61:$AK$61, 0)) * (1+'[1]EIA-derived'!$B$56)^(base_year-2013)</f>
        <v>3.3932823593749992</v>
      </c>
      <c r="T28">
        <f>INDEX('[1]EIA-derived'!$B$68:$AK$68, MATCH(A28, '[1]EIA-derived'!$B$61:$AK$61, 0)) * (1+'[1]EIA-derived'!$B$56)^(base_year-2013)</f>
        <v>13.999578124999999</v>
      </c>
    </row>
    <row r="29" spans="1:20" x14ac:dyDescent="0.2">
      <c r="A29">
        <f>'storage hedge'!A29</f>
        <v>2039</v>
      </c>
      <c r="B29">
        <f>'storage hedge'!E29</f>
        <v>299.95794197598849</v>
      </c>
      <c r="C29" s="1"/>
      <c r="D29">
        <f t="shared" si="13"/>
        <v>49.052811443334178</v>
      </c>
      <c r="E29" s="7"/>
      <c r="F29" s="7"/>
      <c r="G29">
        <f t="shared" si="18"/>
        <v>40.436493665399269</v>
      </c>
      <c r="I29">
        <f t="shared" si="19"/>
        <v>54.725769257626951</v>
      </c>
      <c r="J29">
        <f t="shared" si="20"/>
        <v>59.941828748907668</v>
      </c>
      <c r="K29">
        <f t="shared" si="21"/>
        <v>76.461828748907664</v>
      </c>
      <c r="M29">
        <f t="shared" si="22"/>
        <v>2039</v>
      </c>
      <c r="N29">
        <f t="shared" si="23"/>
        <v>26.827153605775987</v>
      </c>
      <c r="P29">
        <f t="shared" si="24"/>
        <v>36.307218677688361</v>
      </c>
      <c r="Q29">
        <f t="shared" si="25"/>
        <v>39.767756832834856</v>
      </c>
      <c r="R29">
        <f t="shared" si="26"/>
        <v>50.727771843895113</v>
      </c>
      <c r="S29">
        <f>INDEX('[1]EIA-derived'!$B$67:$AK$67, MATCH(A29, '[1]EIA-derived'!$B$61:$AK$61, 0)) * (1+'[1]EIA-derived'!$B$56)^(base_year-2013)</f>
        <v>3.4255890781249998</v>
      </c>
      <c r="T29">
        <f>INDEX('[1]EIA-derived'!$B$68:$AK$68, MATCH(A29, '[1]EIA-derived'!$B$61:$AK$61, 0)) * (1+'[1]EIA-derived'!$B$56)^(base_year-2013)</f>
        <v>13.999578124999999</v>
      </c>
    </row>
    <row r="30" spans="1:20" x14ac:dyDescent="0.2">
      <c r="A30">
        <f>'storage hedge'!A30</f>
        <v>2040</v>
      </c>
      <c r="B30">
        <f>'storage hedge'!E30</f>
        <v>322.02512094978971</v>
      </c>
      <c r="C30" s="1"/>
      <c r="D30">
        <f t="shared" si="13"/>
        <v>52.661507923105432</v>
      </c>
      <c r="E30" s="7"/>
      <c r="F30" s="7"/>
      <c r="G30">
        <f t="shared" si="18"/>
        <v>43.378048622606968</v>
      </c>
      <c r="I30">
        <f t="shared" si="19"/>
        <v>58.75523974693953</v>
      </c>
      <c r="J30">
        <f t="shared" si="20"/>
        <v>64.214525380956829</v>
      </c>
      <c r="K30">
        <f t="shared" si="21"/>
        <v>80.734525380956825</v>
      </c>
      <c r="M30">
        <f t="shared" si="22"/>
        <v>2040</v>
      </c>
      <c r="N30">
        <f t="shared" si="23"/>
        <v>28.269839264562009</v>
      </c>
      <c r="P30">
        <f t="shared" si="24"/>
        <v>38.291284101957864</v>
      </c>
      <c r="Q30">
        <f t="shared" si="25"/>
        <v>41.849146483359895</v>
      </c>
      <c r="R30">
        <f t="shared" si="26"/>
        <v>52.61536948047214</v>
      </c>
      <c r="S30">
        <f>INDEX('[1]EIA-derived'!$B$67:$AK$67, MATCH(A30, '[1]EIA-derived'!$B$61:$AK$61, 0)) * (1+'[1]EIA-derived'!$B$56)^(base_year-2013)</f>
        <v>3.4578957968749995</v>
      </c>
      <c r="T30">
        <f>INDEX('[1]EIA-derived'!$B$68:$AK$68, MATCH(A30, '[1]EIA-derived'!$B$61:$AK$61, 0)) * (1+'[1]EIA-derived'!$B$56)^(base_year-2013)</f>
        <v>13.999578124999999</v>
      </c>
    </row>
    <row r="31" spans="1:20" x14ac:dyDescent="0.2">
      <c r="A31">
        <f>'storage hedge'!A31</f>
        <v>2041</v>
      </c>
      <c r="B31">
        <f>'storage hedge'!E31</f>
        <v>345.48958530621337</v>
      </c>
      <c r="C31" s="1"/>
      <c r="D31">
        <f t="shared" si="13"/>
        <v>56.498705691940046</v>
      </c>
      <c r="E31" s="7"/>
      <c r="F31" s="7"/>
      <c r="G31">
        <f t="shared" si="18"/>
        <v>46.505861721318247</v>
      </c>
      <c r="I31">
        <f t="shared" si="19"/>
        <v>63.039854775620256</v>
      </c>
      <c r="J31">
        <f t="shared" si="20"/>
        <v>68.757767539257003</v>
      </c>
      <c r="K31">
        <f t="shared" si="21"/>
        <v>85.277767539257013</v>
      </c>
      <c r="M31">
        <f t="shared" si="22"/>
        <v>2041</v>
      </c>
      <c r="N31">
        <f t="shared" si="23"/>
        <v>29.772358917486375</v>
      </c>
      <c r="P31">
        <f t="shared" si="24"/>
        <v>40.35717462312153</v>
      </c>
      <c r="Q31">
        <f t="shared" si="25"/>
        <v>44.017697076785339</v>
      </c>
      <c r="R31">
        <f t="shared" si="26"/>
        <v>54.593554637799343</v>
      </c>
      <c r="S31">
        <f>INDEX('[1]EIA-derived'!$B$67:$AK$67, MATCH(A31, '[1]EIA-derived'!$B$61:$AK$61, 0)) * (1+'[1]EIA-derived'!$B$56)^(base_year-2013)</f>
        <v>3.4863257093749995</v>
      </c>
      <c r="T31">
        <f>INDEX('[1]EIA-derived'!$B$68:$AK$68, MATCH(A31, '[1]EIA-derived'!$B$61:$AK$61, 0)) * (1+'[1]EIA-derived'!$B$56)^(base_year-2013)</f>
        <v>13.999578124999999</v>
      </c>
    </row>
    <row r="32" spans="1:20" x14ac:dyDescent="0.2">
      <c r="A32">
        <f>'storage hedge'!A32</f>
        <v>2042</v>
      </c>
      <c r="B32">
        <f>'storage hedge'!E32</f>
        <v>370.4364907518123</v>
      </c>
      <c r="C32" s="1"/>
      <c r="D32">
        <f t="shared" si="13"/>
        <v>60.578330458186798</v>
      </c>
      <c r="E32" s="7"/>
      <c r="F32" s="7"/>
      <c r="G32">
        <f t="shared" si="18"/>
        <v>49.831284217216584</v>
      </c>
      <c r="I32">
        <f t="shared" si="19"/>
        <v>67.595163789611377</v>
      </c>
      <c r="J32">
        <f t="shared" si="20"/>
        <v>73.588043262493159</v>
      </c>
      <c r="K32">
        <f t="shared" si="21"/>
        <v>90.108043262493169</v>
      </c>
      <c r="M32">
        <f t="shared" si="22"/>
        <v>2042</v>
      </c>
      <c r="N32">
        <f t="shared" si="23"/>
        <v>31.337175630639251</v>
      </c>
      <c r="P32">
        <f t="shared" si="24"/>
        <v>42.508266698955175</v>
      </c>
      <c r="Q32">
        <f t="shared" si="25"/>
        <v>46.276981865040838</v>
      </c>
      <c r="R32">
        <f t="shared" si="26"/>
        <v>56.665839979985826</v>
      </c>
      <c r="S32">
        <f>INDEX('[1]EIA-derived'!$B$67:$AK$67, MATCH(A32, '[1]EIA-derived'!$B$61:$AK$61, 0)) * (1+'[1]EIA-derived'!$B$56)^(base_year-2013)</f>
        <v>3.514755621875</v>
      </c>
      <c r="T32">
        <f>INDEX('[1]EIA-derived'!$B$68:$AK$68, MATCH(A32, '[1]EIA-derived'!$B$61:$AK$61, 0)) * (1+'[1]EIA-derived'!$B$56)^(base_year-2013)</f>
        <v>13.999578124999999</v>
      </c>
    </row>
    <row r="33" spans="1:20" x14ac:dyDescent="0.2">
      <c r="A33">
        <f>'storage hedge'!A33</f>
        <v>2043</v>
      </c>
      <c r="B33">
        <f>'storage hedge'!E33</f>
        <v>396.95612607003721</v>
      </c>
      <c r="C33" s="1"/>
      <c r="D33">
        <f t="shared" si="13"/>
        <v>64.915147354053502</v>
      </c>
      <c r="E33" s="7"/>
      <c r="F33" s="7"/>
      <c r="G33">
        <f t="shared" si="18"/>
        <v>53.366351605135961</v>
      </c>
      <c r="I33">
        <f t="shared" si="19"/>
        <v>72.437653535536143</v>
      </c>
      <c r="J33">
        <f t="shared" si="20"/>
        <v>78.722834467199334</v>
      </c>
      <c r="K33">
        <f t="shared" si="21"/>
        <v>95.242834467199344</v>
      </c>
      <c r="M33">
        <f t="shared" si="22"/>
        <v>2043</v>
      </c>
      <c r="N33">
        <f t="shared" si="23"/>
        <v>32.9668541874601</v>
      </c>
      <c r="P33">
        <f t="shared" si="24"/>
        <v>44.74807608092042</v>
      </c>
      <c r="Q33">
        <f t="shared" si="25"/>
        <v>48.630721925797779</v>
      </c>
      <c r="R33">
        <f t="shared" si="26"/>
        <v>58.835887068179886</v>
      </c>
      <c r="S33">
        <f>INDEX('[1]EIA-derived'!$B$67:$AK$67, MATCH(A33, '[1]EIA-derived'!$B$61:$AK$61, 0)) * (1+'[1]EIA-derived'!$B$56)^(base_year-2013)</f>
        <v>3.5431855343750001</v>
      </c>
      <c r="T33">
        <f>INDEX('[1]EIA-derived'!$B$68:$AK$68, MATCH(A33, '[1]EIA-derived'!$B$61:$AK$61, 0)) * (1+'[1]EIA-derived'!$B$56)^(base_year-2013)</f>
        <v>13.999578124999999</v>
      </c>
    </row>
    <row r="34" spans="1:20" x14ac:dyDescent="0.2">
      <c r="A34">
        <f>'storage hedge'!A34</f>
        <v>2044</v>
      </c>
      <c r="B34">
        <f>'storage hedge'!E34</f>
        <v>425.14422153307169</v>
      </c>
      <c r="C34" s="1"/>
      <c r="D34">
        <f t="shared" si="13"/>
        <v>69.524811370902967</v>
      </c>
      <c r="E34" s="7"/>
      <c r="F34" s="7"/>
      <c r="G34">
        <f t="shared" si="18"/>
        <v>57.123824730358457</v>
      </c>
      <c r="I34">
        <f t="shared" si="19"/>
        <v>77.584804376750256</v>
      </c>
      <c r="J34">
        <f t="shared" si="20"/>
        <v>84.1806766631491</v>
      </c>
      <c r="K34">
        <f t="shared" si="21"/>
        <v>100.7006766631491</v>
      </c>
      <c r="M34">
        <f t="shared" si="22"/>
        <v>2044</v>
      </c>
      <c r="N34">
        <f t="shared" si="23"/>
        <v>34.664065283599754</v>
      </c>
      <c r="P34">
        <f t="shared" si="24"/>
        <v>47.080263561233544</v>
      </c>
      <c r="Q34">
        <f t="shared" si="25"/>
        <v>51.082792254248481</v>
      </c>
      <c r="R34">
        <f t="shared" si="26"/>
        <v>61.107512433405752</v>
      </c>
      <c r="S34">
        <f>INDEX('[1]EIA-derived'!$B$67:$AK$67, MATCH(A34, '[1]EIA-derived'!$B$61:$AK$61, 0)) * (1+'[1]EIA-derived'!$B$56)^(base_year-2013)</f>
        <v>3.5716154468750001</v>
      </c>
      <c r="T34">
        <f>INDEX('[1]EIA-derived'!$B$68:$AK$68, MATCH(A34, '[1]EIA-derived'!$B$61:$AK$61, 0)) * (1+'[1]EIA-derived'!$B$56)^(base_year-2013)</f>
        <v>13.999578124999999</v>
      </c>
    </row>
    <row r="35" spans="1:20" x14ac:dyDescent="0.2">
      <c r="A35">
        <f>'storage hedge'!A35</f>
        <v>2045</v>
      </c>
      <c r="B35">
        <f>'storage hedge'!E35</f>
        <v>455.10227582606723</v>
      </c>
      <c r="C35" s="1"/>
      <c r="D35">
        <f t="shared" si="13"/>
        <v>74.423920821924312</v>
      </c>
      <c r="E35" s="7"/>
      <c r="F35" s="7"/>
      <c r="G35">
        <f t="shared" si="18"/>
        <v>61.117233367614766</v>
      </c>
      <c r="I35">
        <f t="shared" si="19"/>
        <v>83.055149989760693</v>
      </c>
      <c r="J35">
        <f t="shared" si="20"/>
        <v>89.981222253158379</v>
      </c>
      <c r="K35">
        <f t="shared" si="21"/>
        <v>106.50122225315837</v>
      </c>
      <c r="M35">
        <f t="shared" si="22"/>
        <v>2045</v>
      </c>
      <c r="N35">
        <f t="shared" si="23"/>
        <v>36.431589894881959</v>
      </c>
      <c r="P35">
        <f t="shared" si="24"/>
        <v>49.508640957040114</v>
      </c>
      <c r="Q35">
        <f t="shared" si="25"/>
        <v>53.637228106342043</v>
      </c>
      <c r="R35">
        <f t="shared" si="26"/>
        <v>63.484693901192017</v>
      </c>
      <c r="S35">
        <f>INDEX('[1]EIA-derived'!$B$67:$AK$67, MATCH(A35, '[1]EIA-derived'!$B$61:$AK$61, 0)) * (1+'[1]EIA-derived'!$B$56)^(base_year-2013)</f>
        <v>3.6000453593750006</v>
      </c>
      <c r="T35">
        <f>INDEX('[1]EIA-derived'!$B$68:$AK$68, MATCH(A35, '[1]EIA-derived'!$B$61:$AK$61, 0)) * (1+'[1]EIA-derived'!$B$56)^(base_year-2013)</f>
        <v>13.999578124999999</v>
      </c>
    </row>
    <row r="36" spans="1:20" x14ac:dyDescent="0.2">
      <c r="B36" s="1"/>
      <c r="C36" s="1"/>
      <c r="D36" s="7"/>
      <c r="E36" s="7"/>
      <c r="F36" s="7"/>
      <c r="G36" s="10"/>
      <c r="H36" s="9"/>
      <c r="I36" s="9"/>
    </row>
    <row r="38" spans="1:20" x14ac:dyDescent="0.2">
      <c r="F38" t="s">
        <v>17</v>
      </c>
      <c r="K38" t="s">
        <v>15</v>
      </c>
    </row>
    <row r="39" spans="1:20" x14ac:dyDescent="0.2">
      <c r="A39" t="s">
        <v>5</v>
      </c>
      <c r="F39" s="5">
        <f>3*L40*(E5-G5)</f>
        <v>51566364.960000001</v>
      </c>
      <c r="K39" t="s">
        <v>16</v>
      </c>
      <c r="L39" t="s">
        <v>14</v>
      </c>
    </row>
    <row r="40" spans="1:20" x14ac:dyDescent="0.2">
      <c r="A40" t="s">
        <v>6</v>
      </c>
      <c r="B40" t="s">
        <v>7</v>
      </c>
      <c r="C40" t="s">
        <v>20</v>
      </c>
      <c r="D40" t="s">
        <v>8</v>
      </c>
      <c r="K40" t="s">
        <v>18</v>
      </c>
      <c r="L40" s="4">
        <v>1030000</v>
      </c>
      <c r="M40" s="4"/>
      <c r="N40" s="4"/>
      <c r="O40" s="4"/>
      <c r="P40" s="4"/>
      <c r="Q40" s="4"/>
      <c r="R40" s="4"/>
      <c r="S40" s="4"/>
      <c r="T40" s="4"/>
    </row>
    <row r="41" spans="1:20" x14ac:dyDescent="0.2">
      <c r="A41">
        <v>20</v>
      </c>
      <c r="B41" s="2">
        <f>A41/5.8</f>
        <v>3.4482758620689657</v>
      </c>
      <c r="C41">
        <v>3.12</v>
      </c>
      <c r="D41" s="2">
        <f>0.1333*A41+0.4521</f>
        <v>3.1181000000000001</v>
      </c>
      <c r="K41" t="s">
        <v>19</v>
      </c>
      <c r="L41" s="11">
        <v>51113806</v>
      </c>
      <c r="M41" t="s">
        <v>31</v>
      </c>
      <c r="N41" s="11"/>
      <c r="O41" s="11"/>
      <c r="P41" s="11"/>
      <c r="Q41" s="11"/>
      <c r="R41" s="11"/>
      <c r="S41" s="11"/>
      <c r="T41" s="11"/>
    </row>
    <row r="42" spans="1:20" x14ac:dyDescent="0.2">
      <c r="A42">
        <v>30</v>
      </c>
      <c r="B42" s="2">
        <f t="shared" ref="B42:B51" si="27">A42/5.8</f>
        <v>5.1724137931034484</v>
      </c>
      <c r="C42">
        <v>4.45</v>
      </c>
      <c r="D42" s="2">
        <f t="shared" ref="D42:D51" si="28">0.1333*A42+0.4521</f>
        <v>4.4511000000000003</v>
      </c>
      <c r="F42" t="s">
        <v>34</v>
      </c>
      <c r="G42" t="s">
        <v>35</v>
      </c>
      <c r="H42" t="s">
        <v>49</v>
      </c>
      <c r="I42" t="s">
        <v>50</v>
      </c>
      <c r="M42" t="s">
        <v>32</v>
      </c>
    </row>
    <row r="43" spans="1:20" x14ac:dyDescent="0.2">
      <c r="A43">
        <v>40</v>
      </c>
      <c r="B43" s="2">
        <f t="shared" si="27"/>
        <v>6.8965517241379315</v>
      </c>
      <c r="C43">
        <v>5.78</v>
      </c>
      <c r="D43" s="2">
        <f t="shared" si="28"/>
        <v>5.7840999999999996</v>
      </c>
      <c r="F43">
        <v>0.06</v>
      </c>
      <c r="G43">
        <v>20</v>
      </c>
      <c r="H43">
        <v>2016</v>
      </c>
      <c r="I43" s="14">
        <v>1.7999999999999999E-2</v>
      </c>
    </row>
    <row r="44" spans="1:20" x14ac:dyDescent="0.2">
      <c r="A44">
        <v>50</v>
      </c>
      <c r="B44" s="2">
        <f t="shared" si="27"/>
        <v>8.6206896551724146</v>
      </c>
      <c r="C44">
        <v>7.12</v>
      </c>
      <c r="D44" s="2">
        <f t="shared" si="28"/>
        <v>7.1170999999999998</v>
      </c>
    </row>
    <row r="45" spans="1:20" x14ac:dyDescent="0.2">
      <c r="A45">
        <v>60</v>
      </c>
      <c r="B45" s="2">
        <f t="shared" si="27"/>
        <v>10.344827586206897</v>
      </c>
      <c r="C45">
        <v>8.4499999999999993</v>
      </c>
      <c r="D45" s="2">
        <f t="shared" si="28"/>
        <v>8.4501000000000008</v>
      </c>
    </row>
    <row r="46" spans="1:20" x14ac:dyDescent="0.2">
      <c r="A46">
        <v>70</v>
      </c>
      <c r="B46" s="2">
        <f t="shared" si="27"/>
        <v>12.068965517241379</v>
      </c>
      <c r="C46">
        <v>9.7799999999999994</v>
      </c>
      <c r="D46" s="2">
        <f t="shared" si="28"/>
        <v>9.7830999999999992</v>
      </c>
      <c r="F46" t="s">
        <v>41</v>
      </c>
      <c r="G46" t="s">
        <v>36</v>
      </c>
      <c r="H46" t="s">
        <v>37</v>
      </c>
    </row>
    <row r="47" spans="1:20" x14ac:dyDescent="0.2">
      <c r="A47">
        <v>80</v>
      </c>
      <c r="B47" s="2">
        <f t="shared" si="27"/>
        <v>13.793103448275863</v>
      </c>
      <c r="C47">
        <v>11.11</v>
      </c>
      <c r="D47" s="2">
        <f t="shared" si="28"/>
        <v>11.116099999999999</v>
      </c>
      <c r="F47" t="s">
        <v>38</v>
      </c>
      <c r="G47" s="6">
        <v>148152158</v>
      </c>
      <c r="H47">
        <f>280+383</f>
        <v>663</v>
      </c>
    </row>
    <row r="48" spans="1:20" x14ac:dyDescent="0.2">
      <c r="A48">
        <v>90</v>
      </c>
      <c r="B48" s="2">
        <f t="shared" si="27"/>
        <v>15.517241379310345</v>
      </c>
      <c r="C48">
        <v>12.45</v>
      </c>
      <c r="D48" s="2">
        <f t="shared" si="28"/>
        <v>12.4491</v>
      </c>
      <c r="F48" t="s">
        <v>40</v>
      </c>
      <c r="G48" s="6">
        <f>G47*H48/H47</f>
        <v>46479108.392156862</v>
      </c>
      <c r="H48">
        <v>208</v>
      </c>
    </row>
    <row r="49" spans="1:13" x14ac:dyDescent="0.2">
      <c r="A49">
        <v>100</v>
      </c>
      <c r="B49" s="2">
        <f t="shared" si="27"/>
        <v>17.241379310344829</v>
      </c>
      <c r="C49">
        <v>13.78</v>
      </c>
      <c r="D49" s="2">
        <f t="shared" si="28"/>
        <v>13.7821</v>
      </c>
      <c r="F49" t="s">
        <v>39</v>
      </c>
      <c r="G49" s="6">
        <f>8958092+8958261</f>
        <v>17916353</v>
      </c>
    </row>
    <row r="50" spans="1:13" x14ac:dyDescent="0.2">
      <c r="A50">
        <v>110</v>
      </c>
      <c r="B50" s="2">
        <f t="shared" si="27"/>
        <v>18.96551724137931</v>
      </c>
      <c r="C50">
        <v>15.11</v>
      </c>
      <c r="D50" s="2">
        <f t="shared" si="28"/>
        <v>15.1151</v>
      </c>
      <c r="F50" t="s">
        <v>42</v>
      </c>
      <c r="G50" s="6">
        <v>51600000</v>
      </c>
    </row>
    <row r="51" spans="1:13" x14ac:dyDescent="0.2">
      <c r="A51">
        <v>120</v>
      </c>
      <c r="B51" s="2">
        <f t="shared" si="27"/>
        <v>20.689655172413794</v>
      </c>
      <c r="C51">
        <v>16.45</v>
      </c>
      <c r="D51" s="2">
        <f t="shared" si="28"/>
        <v>16.4481</v>
      </c>
      <c r="F51" t="s">
        <v>46</v>
      </c>
      <c r="G51" s="6">
        <f>SUM(G47:G50)</f>
        <v>264147619.39215687</v>
      </c>
    </row>
    <row r="53" spans="1:13" x14ac:dyDescent="0.2">
      <c r="C53" t="s">
        <v>9</v>
      </c>
      <c r="D53" t="s">
        <v>10</v>
      </c>
      <c r="F53" t="s">
        <v>43</v>
      </c>
      <c r="G53" s="12">
        <f>PMT(F43, G43, -G51)</f>
        <v>23029593.173195172</v>
      </c>
    </row>
    <row r="54" spans="1:13" x14ac:dyDescent="0.2">
      <c r="A54" t="s">
        <v>48</v>
      </c>
      <c r="B54" s="6">
        <f>PMT($F$43, $G$43, -200000000)</f>
        <v>17436911.39537029</v>
      </c>
      <c r="C54" s="11">
        <f>$L$41</f>
        <v>51113806</v>
      </c>
      <c r="D54" s="3">
        <f>B54/C54</f>
        <v>0.3411389751600632</v>
      </c>
      <c r="E54" s="3"/>
      <c r="F54" t="s">
        <v>45</v>
      </c>
      <c r="G54">
        <f>0.68*L41</f>
        <v>34757388.080000006</v>
      </c>
    </row>
    <row r="55" spans="1:13" x14ac:dyDescent="0.2">
      <c r="A55" t="s">
        <v>39</v>
      </c>
      <c r="B55" s="6">
        <f>PMT($F$43, $G$43, -$G$49)</f>
        <v>1562029.2989458833</v>
      </c>
      <c r="C55" s="11">
        <f>$L$41</f>
        <v>51113806</v>
      </c>
      <c r="D55" s="3">
        <f>B55/C55</f>
        <v>3.0559831505129618E-2</v>
      </c>
      <c r="E55" s="3"/>
    </row>
    <row r="56" spans="1:13" x14ac:dyDescent="0.2">
      <c r="A56" t="s">
        <v>11</v>
      </c>
      <c r="B56" s="6">
        <f>98000*365</f>
        <v>35770000</v>
      </c>
      <c r="C56" s="11">
        <f>$L$41</f>
        <v>51113806</v>
      </c>
      <c r="D56" s="3">
        <f>B56/C56</f>
        <v>0.69981092779512444</v>
      </c>
      <c r="F56" s="8" t="s">
        <v>69</v>
      </c>
    </row>
    <row r="57" spans="1:13" x14ac:dyDescent="0.2">
      <c r="A57" t="s">
        <v>44</v>
      </c>
      <c r="B57" s="13">
        <f>SUM(B54:B56)</f>
        <v>54768940.694316171</v>
      </c>
      <c r="F57" t="s">
        <v>47</v>
      </c>
      <c r="G57" t="str">
        <f>W3</f>
        <v>LNG</v>
      </c>
      <c r="H57" t="str">
        <f>X3</f>
        <v>LNG</v>
      </c>
      <c r="I57" t="str">
        <f t="shared" ref="I57:M57" si="29">Y3</f>
        <v>LSFO</v>
      </c>
      <c r="J57" t="str">
        <f t="shared" si="29"/>
        <v>Diesel</v>
      </c>
      <c r="K57" t="str">
        <f t="shared" si="29"/>
        <v>Biodiesel</v>
      </c>
      <c r="L57" t="str">
        <f t="shared" si="29"/>
        <v>Coal</v>
      </c>
      <c r="M57" t="str">
        <f t="shared" si="29"/>
        <v>Pellet-Biomass</v>
      </c>
    </row>
    <row r="58" spans="1:13" x14ac:dyDescent="0.2">
      <c r="F58" t="s">
        <v>27</v>
      </c>
      <c r="G58" t="str">
        <f>W4</f>
        <v>bulk</v>
      </c>
      <c r="H58" t="str">
        <f>X4</f>
        <v>container</v>
      </c>
      <c r="I58" t="str">
        <f t="shared" ref="I58:M58" si="30">Y4</f>
        <v>base</v>
      </c>
      <c r="J58" t="str">
        <f t="shared" si="30"/>
        <v>base</v>
      </c>
      <c r="K58" t="str">
        <f t="shared" si="30"/>
        <v>base</v>
      </c>
      <c r="L58" t="str">
        <f t="shared" si="30"/>
        <v>base</v>
      </c>
      <c r="M58" t="str">
        <f t="shared" si="30"/>
        <v>base</v>
      </c>
    </row>
    <row r="59" spans="1:13" x14ac:dyDescent="0.2">
      <c r="F59" t="s">
        <v>68</v>
      </c>
      <c r="G59" s="3">
        <f>B57/W5</f>
        <v>1.0715097344603173</v>
      </c>
      <c r="H59" s="3">
        <f>G53/X5</f>
        <v>0.66258123654713841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F60">
        <v>10</v>
      </c>
      <c r="G60">
        <f t="dataTable" ref="G60:M62" dt2D="0" dtr="0" r1="G43"/>
        <v>1.2790644066877432</v>
      </c>
      <c r="H60">
        <v>1.0325631383170208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F61">
        <v>20</v>
      </c>
      <c r="G61">
        <v>1.0715097344603173</v>
      </c>
      <c r="H61">
        <v>0.66258123654713841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F62">
        <v>25</v>
      </c>
      <c r="G62">
        <v>1.0333192785522061</v>
      </c>
      <c r="H62">
        <v>0.59450386033245484</v>
      </c>
      <c r="I62">
        <v>0</v>
      </c>
      <c r="J62">
        <v>0</v>
      </c>
      <c r="K62">
        <v>0</v>
      </c>
      <c r="L62">
        <v>0</v>
      </c>
      <c r="M62">
        <v>0</v>
      </c>
    </row>
  </sheetData>
  <pageMargins left="0.75" right="0.75" top="1" bottom="1" header="0.5" footer="0.5"/>
  <pageSetup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37" sqref="E37"/>
    </sheetView>
  </sheetViews>
  <sheetFormatPr baseColWidth="10" defaultRowHeight="16" x14ac:dyDescent="0.2"/>
  <cols>
    <col min="9" max="9" width="13.6640625" bestFit="1" customWidth="1"/>
  </cols>
  <sheetData>
    <row r="1" spans="1:11" x14ac:dyDescent="0.2">
      <c r="A1" t="s">
        <v>55</v>
      </c>
      <c r="B1" t="s">
        <v>56</v>
      </c>
      <c r="E1" t="s">
        <v>65</v>
      </c>
      <c r="K1" t="s">
        <v>65</v>
      </c>
    </row>
    <row r="2" spans="1:11" x14ac:dyDescent="0.2">
      <c r="A2" s="15">
        <f>inflation_rate</f>
        <v>1.7999999999999999E-2</v>
      </c>
      <c r="B2" s="15">
        <f>interest_rate</f>
        <v>0.06</v>
      </c>
      <c r="E2">
        <f>AVERAGE(E19:E35)/$B$6</f>
        <v>6.9151184273474744</v>
      </c>
      <c r="F2">
        <f>AVERAGE(F19:F35)/$B$6</f>
        <v>4.6287240798643419</v>
      </c>
      <c r="K2">
        <f>AVERAGE(K19:K35)/$B$6</f>
        <v>2.4896584032846318</v>
      </c>
    </row>
    <row r="3" spans="1:11" x14ac:dyDescent="0.2">
      <c r="C3" s="15"/>
      <c r="D3" s="15"/>
    </row>
    <row r="4" spans="1:11" x14ac:dyDescent="0.2">
      <c r="A4" s="8" t="s">
        <v>63</v>
      </c>
      <c r="C4" s="15"/>
      <c r="D4" s="15"/>
      <c r="I4" s="8" t="s">
        <v>64</v>
      </c>
    </row>
    <row r="5" spans="1:11" x14ac:dyDescent="0.2">
      <c r="B5" t="s">
        <v>57</v>
      </c>
      <c r="C5" t="s">
        <v>58</v>
      </c>
      <c r="D5" t="s">
        <v>56</v>
      </c>
      <c r="E5" t="s">
        <v>59</v>
      </c>
      <c r="F5" t="s">
        <v>60</v>
      </c>
      <c r="I5" t="s">
        <v>66</v>
      </c>
      <c r="J5" t="s">
        <v>61</v>
      </c>
      <c r="K5" t="s">
        <v>62</v>
      </c>
    </row>
    <row r="6" spans="1:11" x14ac:dyDescent="0.2">
      <c r="A6">
        <v>2016</v>
      </c>
      <c r="B6" s="8">
        <f>AVERAGE(30.7, 32.18, 38.21, 41.58, 46.74, 48.25)</f>
        <v>39.610000000000007</v>
      </c>
      <c r="E6">
        <f>SUM(B6:D6)</f>
        <v>39.610000000000007</v>
      </c>
      <c r="F6">
        <f t="shared" ref="F6:F35" si="0">E6*(1+$A$2)^(A$6-A6)</f>
        <v>39.610000000000007</v>
      </c>
      <c r="I6" s="8">
        <v>20</v>
      </c>
      <c r="J6">
        <f t="shared" ref="J6:J35" si="1">($B$6-$I$6)*(1+$B$2)^(A6-A$6)</f>
        <v>19.610000000000007</v>
      </c>
      <c r="K6">
        <f>SUM(I6:J6)</f>
        <v>39.610000000000007</v>
      </c>
    </row>
    <row r="7" spans="1:11" x14ac:dyDescent="0.2">
      <c r="A7">
        <v>2017</v>
      </c>
      <c r="C7" s="8">
        <f>0.225*12</f>
        <v>2.7</v>
      </c>
      <c r="D7">
        <f t="shared" ref="D7:D35" si="2">B$2*E6</f>
        <v>2.3766000000000003</v>
      </c>
      <c r="E7">
        <f>E6+SUM(B7:D7)</f>
        <v>44.686600000000006</v>
      </c>
      <c r="F7">
        <f t="shared" si="0"/>
        <v>43.896463654223972</v>
      </c>
      <c r="I7">
        <f t="shared" ref="I7:I35" si="3">(1+$A$2)*I6</f>
        <v>20.36</v>
      </c>
      <c r="J7">
        <f t="shared" si="1"/>
        <v>20.786600000000007</v>
      </c>
      <c r="K7">
        <f t="shared" ref="K7:K35" si="4">SUM(I7:J7)</f>
        <v>41.146600000000007</v>
      </c>
    </row>
    <row r="8" spans="1:11" x14ac:dyDescent="0.2">
      <c r="A8">
        <v>2018</v>
      </c>
      <c r="C8">
        <f t="shared" ref="C8:C35" si="5">C7*(1+A$2)</f>
        <v>2.7486000000000002</v>
      </c>
      <c r="D8">
        <f t="shared" si="2"/>
        <v>2.6811960000000004</v>
      </c>
      <c r="E8">
        <f t="shared" ref="E8:E33" si="6">E7+SUM(B8:D8)</f>
        <v>50.116396000000009</v>
      </c>
      <c r="F8">
        <f t="shared" si="0"/>
        <v>48.359775514221433</v>
      </c>
      <c r="I8">
        <f t="shared" si="3"/>
        <v>20.726479999999999</v>
      </c>
      <c r="J8">
        <f t="shared" si="1"/>
        <v>22.033796000000009</v>
      </c>
      <c r="K8">
        <f t="shared" si="4"/>
        <v>42.760276000000005</v>
      </c>
    </row>
    <row r="9" spans="1:11" x14ac:dyDescent="0.2">
      <c r="A9">
        <v>2019</v>
      </c>
      <c r="C9">
        <f t="shared" si="5"/>
        <v>2.7980748000000002</v>
      </c>
      <c r="D9">
        <f t="shared" si="2"/>
        <v>3.0069837600000002</v>
      </c>
      <c r="E9">
        <f t="shared" si="6"/>
        <v>55.921454560000008</v>
      </c>
      <c r="F9">
        <f t="shared" si="0"/>
        <v>53.007231871389692</v>
      </c>
      <c r="I9">
        <f t="shared" si="3"/>
        <v>21.099556639999999</v>
      </c>
      <c r="J9">
        <f t="shared" si="1"/>
        <v>23.355823760000014</v>
      </c>
      <c r="K9">
        <f t="shared" si="4"/>
        <v>44.45538040000001</v>
      </c>
    </row>
    <row r="10" spans="1:11" x14ac:dyDescent="0.2">
      <c r="A10">
        <v>2020</v>
      </c>
      <c r="C10">
        <f t="shared" si="5"/>
        <v>2.8484401464000002</v>
      </c>
      <c r="D10">
        <f t="shared" si="2"/>
        <v>3.3552872736000006</v>
      </c>
      <c r="E10">
        <f t="shared" si="6"/>
        <v>62.125181980000008</v>
      </c>
      <c r="F10">
        <f t="shared" si="0"/>
        <v>57.846430042900863</v>
      </c>
      <c r="I10">
        <f t="shared" si="3"/>
        <v>21.479348659519999</v>
      </c>
      <c r="J10">
        <f t="shared" si="1"/>
        <v>24.757173185600013</v>
      </c>
      <c r="K10">
        <f t="shared" si="4"/>
        <v>46.236521845120009</v>
      </c>
    </row>
    <row r="11" spans="1:11" x14ac:dyDescent="0.2">
      <c r="A11">
        <v>2021</v>
      </c>
      <c r="C11">
        <f t="shared" si="5"/>
        <v>2.8997120690352003</v>
      </c>
      <c r="D11">
        <f t="shared" si="2"/>
        <v>3.7275109188000002</v>
      </c>
      <c r="E11">
        <f t="shared" si="6"/>
        <v>68.752404967835204</v>
      </c>
      <c r="F11">
        <f t="shared" si="0"/>
        <v>62.885280791232717</v>
      </c>
      <c r="I11">
        <f t="shared" si="3"/>
        <v>21.865976935391359</v>
      </c>
      <c r="J11">
        <f t="shared" si="1"/>
        <v>26.24260357673602</v>
      </c>
      <c r="K11">
        <f t="shared" si="4"/>
        <v>48.108580512127375</v>
      </c>
    </row>
    <row r="12" spans="1:11" x14ac:dyDescent="0.2">
      <c r="A12">
        <v>2022</v>
      </c>
      <c r="C12">
        <f t="shared" si="5"/>
        <v>2.9519068862778339</v>
      </c>
      <c r="D12">
        <f t="shared" si="2"/>
        <v>4.1251442980701123</v>
      </c>
      <c r="E12">
        <f t="shared" si="6"/>
        <v>75.829456152183155</v>
      </c>
      <c r="F12">
        <f t="shared" si="0"/>
        <v>68.132021256096948</v>
      </c>
      <c r="I12">
        <f t="shared" si="3"/>
        <v>22.259564520228405</v>
      </c>
      <c r="J12">
        <f t="shared" si="1"/>
        <v>27.817159791340181</v>
      </c>
      <c r="K12">
        <f t="shared" si="4"/>
        <v>50.076724311568583</v>
      </c>
    </row>
    <row r="13" spans="1:11" x14ac:dyDescent="0.2">
      <c r="A13">
        <v>2023</v>
      </c>
      <c r="C13">
        <f t="shared" si="5"/>
        <v>3.0050412102308348</v>
      </c>
      <c r="D13">
        <f t="shared" si="2"/>
        <v>4.549767369130989</v>
      </c>
      <c r="E13">
        <f t="shared" si="6"/>
        <v>83.384264731544974</v>
      </c>
      <c r="F13">
        <f t="shared" si="0"/>
        <v>73.595228419904458</v>
      </c>
      <c r="I13">
        <f t="shared" si="3"/>
        <v>22.660236681592519</v>
      </c>
      <c r="J13">
        <f t="shared" si="1"/>
        <v>29.486189378820594</v>
      </c>
      <c r="K13">
        <f t="shared" si="4"/>
        <v>52.146426060413113</v>
      </c>
    </row>
    <row r="14" spans="1:11" x14ac:dyDescent="0.2">
      <c r="A14">
        <v>2024</v>
      </c>
      <c r="C14">
        <f t="shared" si="5"/>
        <v>3.0591319520149898</v>
      </c>
      <c r="D14">
        <f t="shared" si="2"/>
        <v>5.0030558838926984</v>
      </c>
      <c r="E14">
        <f t="shared" si="6"/>
        <v>91.446452567452667</v>
      </c>
      <c r="F14">
        <f t="shared" si="0"/>
        <v>79.283833128780685</v>
      </c>
      <c r="I14">
        <f t="shared" si="3"/>
        <v>23.068120941861185</v>
      </c>
      <c r="J14">
        <f t="shared" si="1"/>
        <v>31.255360741549829</v>
      </c>
      <c r="K14">
        <f t="shared" si="4"/>
        <v>54.323481683411018</v>
      </c>
    </row>
    <row r="15" spans="1:11" x14ac:dyDescent="0.2">
      <c r="A15">
        <v>2025</v>
      </c>
      <c r="C15">
        <f t="shared" si="5"/>
        <v>3.1141963271512596</v>
      </c>
      <c r="D15">
        <f t="shared" si="2"/>
        <v>5.4867871540471596</v>
      </c>
      <c r="E15">
        <f t="shared" si="6"/>
        <v>100.04743604865109</v>
      </c>
      <c r="F15">
        <f t="shared" si="0"/>
        <v>85.20713469205063</v>
      </c>
      <c r="I15">
        <f t="shared" si="3"/>
        <v>23.483347118814688</v>
      </c>
      <c r="J15">
        <f t="shared" si="1"/>
        <v>33.130682386042821</v>
      </c>
      <c r="K15">
        <f t="shared" si="4"/>
        <v>56.614029504857513</v>
      </c>
    </row>
    <row r="16" spans="1:11" x14ac:dyDescent="0.2">
      <c r="A16">
        <v>2026</v>
      </c>
      <c r="C16">
        <f t="shared" si="5"/>
        <v>3.1702518610399824</v>
      </c>
      <c r="D16">
        <f t="shared" si="2"/>
        <v>6.0028461629190657</v>
      </c>
      <c r="E16">
        <f t="shared" si="6"/>
        <v>109.22053407261014</v>
      </c>
      <c r="F16">
        <f t="shared" si="0"/>
        <v>91.374816084060555</v>
      </c>
      <c r="I16">
        <f t="shared" si="3"/>
        <v>23.906047366953352</v>
      </c>
      <c r="J16">
        <f t="shared" si="1"/>
        <v>35.118523329205388</v>
      </c>
      <c r="K16">
        <f t="shared" si="4"/>
        <v>59.02457069615874</v>
      </c>
    </row>
    <row r="17" spans="1:11" x14ac:dyDescent="0.2">
      <c r="A17">
        <v>2027</v>
      </c>
      <c r="C17">
        <f t="shared" si="5"/>
        <v>3.2273163945387022</v>
      </c>
      <c r="D17">
        <f t="shared" si="2"/>
        <v>6.5532320443566077</v>
      </c>
      <c r="E17">
        <f t="shared" si="6"/>
        <v>119.00108251150544</v>
      </c>
      <c r="F17">
        <f t="shared" si="0"/>
        <v>97.796959773186842</v>
      </c>
      <c r="I17">
        <f t="shared" si="3"/>
        <v>24.336356219558514</v>
      </c>
      <c r="J17">
        <f t="shared" si="1"/>
        <v>37.225634728957722</v>
      </c>
      <c r="K17">
        <f t="shared" si="4"/>
        <v>61.56199094851624</v>
      </c>
    </row>
    <row r="18" spans="1:11" x14ac:dyDescent="0.2">
      <c r="A18">
        <v>2028</v>
      </c>
      <c r="C18">
        <f t="shared" si="5"/>
        <v>3.285408089640399</v>
      </c>
      <c r="D18">
        <f t="shared" si="2"/>
        <v>7.1400649506903262</v>
      </c>
      <c r="E18">
        <f t="shared" si="6"/>
        <v>129.42655555183617</v>
      </c>
      <c r="F18">
        <f t="shared" si="0"/>
        <v>104.48406420390771</v>
      </c>
      <c r="I18">
        <f t="shared" si="3"/>
        <v>24.774410631510566</v>
      </c>
      <c r="J18">
        <f t="shared" si="1"/>
        <v>39.459172812695186</v>
      </c>
      <c r="K18">
        <f t="shared" si="4"/>
        <v>64.233583444205749</v>
      </c>
    </row>
    <row r="19" spans="1:11" x14ac:dyDescent="0.2">
      <c r="A19">
        <v>2029</v>
      </c>
      <c r="C19">
        <f t="shared" si="5"/>
        <v>3.3445454352539263</v>
      </c>
      <c r="D19">
        <f t="shared" si="2"/>
        <v>7.7655933331101705</v>
      </c>
      <c r="E19">
        <f t="shared" si="6"/>
        <v>140.53669432020027</v>
      </c>
      <c r="F19">
        <f t="shared" si="0"/>
        <v>111.44706095888228</v>
      </c>
      <c r="I19">
        <f t="shared" si="3"/>
        <v>25.220350022877756</v>
      </c>
      <c r="J19">
        <f t="shared" si="1"/>
        <v>41.826723181456899</v>
      </c>
      <c r="K19">
        <f t="shared" si="4"/>
        <v>67.047073204334652</v>
      </c>
    </row>
    <row r="20" spans="1:11" x14ac:dyDescent="0.2">
      <c r="A20">
        <v>2030</v>
      </c>
      <c r="C20">
        <f t="shared" si="5"/>
        <v>3.4047472530884972</v>
      </c>
      <c r="D20">
        <f t="shared" si="2"/>
        <v>8.4322016592120157</v>
      </c>
      <c r="E20">
        <f t="shared" si="6"/>
        <v>152.3736432325008</v>
      </c>
      <c r="F20">
        <f t="shared" si="0"/>
        <v>118.69733262909159</v>
      </c>
      <c r="I20">
        <f t="shared" si="3"/>
        <v>25.674316323289556</v>
      </c>
      <c r="J20">
        <f t="shared" si="1"/>
        <v>44.336326572344312</v>
      </c>
      <c r="K20">
        <f t="shared" si="4"/>
        <v>70.010642895633865</v>
      </c>
    </row>
    <row r="21" spans="1:11" x14ac:dyDescent="0.2">
      <c r="A21">
        <v>2031</v>
      </c>
      <c r="C21">
        <f t="shared" si="5"/>
        <v>3.4660327036440903</v>
      </c>
      <c r="D21">
        <f t="shared" si="2"/>
        <v>9.1424185939500475</v>
      </c>
      <c r="E21">
        <f t="shared" si="6"/>
        <v>164.98209453009494</v>
      </c>
      <c r="F21">
        <f t="shared" si="0"/>
        <v>126.24673142125448</v>
      </c>
      <c r="I21">
        <f t="shared" si="3"/>
        <v>26.136454017108768</v>
      </c>
      <c r="J21">
        <f t="shared" si="1"/>
        <v>46.996506166684981</v>
      </c>
      <c r="K21">
        <f t="shared" si="4"/>
        <v>73.132960183793756</v>
      </c>
    </row>
    <row r="22" spans="1:11" x14ac:dyDescent="0.2">
      <c r="A22">
        <v>2032</v>
      </c>
      <c r="C22">
        <f t="shared" si="5"/>
        <v>3.5284212923096838</v>
      </c>
      <c r="D22">
        <f t="shared" si="2"/>
        <v>9.8989256718056957</v>
      </c>
      <c r="E22">
        <f t="shared" si="6"/>
        <v>178.40944149421031</v>
      </c>
      <c r="F22">
        <f t="shared" si="0"/>
        <v>134.10759853293689</v>
      </c>
      <c r="I22">
        <f t="shared" si="3"/>
        <v>26.606910189416727</v>
      </c>
      <c r="J22">
        <f t="shared" si="1"/>
        <v>49.816296536686067</v>
      </c>
      <c r="K22">
        <f t="shared" si="4"/>
        <v>76.423206726102791</v>
      </c>
    </row>
    <row r="23" spans="1:11" x14ac:dyDescent="0.2">
      <c r="A23">
        <v>2033</v>
      </c>
      <c r="C23">
        <f t="shared" si="5"/>
        <v>3.5919328755712581</v>
      </c>
      <c r="D23">
        <f t="shared" si="2"/>
        <v>10.704566489652619</v>
      </c>
      <c r="E23">
        <f t="shared" si="6"/>
        <v>192.70594085943418</v>
      </c>
      <c r="F23">
        <f t="shared" si="0"/>
        <v>142.29278432702662</v>
      </c>
      <c r="I23">
        <f t="shared" si="3"/>
        <v>27.085834572826229</v>
      </c>
      <c r="J23">
        <f t="shared" si="1"/>
        <v>52.805274328887243</v>
      </c>
      <c r="K23">
        <f t="shared" si="4"/>
        <v>79.891108901713466</v>
      </c>
    </row>
    <row r="24" spans="1:11" x14ac:dyDescent="0.2">
      <c r="A24">
        <v>2034</v>
      </c>
      <c r="C24">
        <f t="shared" si="5"/>
        <v>3.6565876673315407</v>
      </c>
      <c r="D24">
        <f t="shared" si="2"/>
        <v>11.56235645156605</v>
      </c>
      <c r="E24">
        <f t="shared" si="6"/>
        <v>207.92488497833176</v>
      </c>
      <c r="F24">
        <f t="shared" si="0"/>
        <v>150.81566933855424</v>
      </c>
      <c r="I24">
        <f t="shared" si="3"/>
        <v>27.573379595137101</v>
      </c>
      <c r="J24">
        <f t="shared" si="1"/>
        <v>55.973590788620477</v>
      </c>
      <c r="K24">
        <f t="shared" si="4"/>
        <v>83.546970383757582</v>
      </c>
    </row>
    <row r="25" spans="1:11" x14ac:dyDescent="0.2">
      <c r="A25">
        <v>2035</v>
      </c>
      <c r="C25">
        <f t="shared" si="5"/>
        <v>3.7224062453435085</v>
      </c>
      <c r="D25">
        <f t="shared" si="2"/>
        <v>12.475493098699905</v>
      </c>
      <c r="E25">
        <f t="shared" si="6"/>
        <v>224.12278432237517</v>
      </c>
      <c r="F25">
        <f t="shared" si="0"/>
        <v>159.6901861481999</v>
      </c>
      <c r="I25">
        <f t="shared" si="3"/>
        <v>28.069700427849568</v>
      </c>
      <c r="J25">
        <f t="shared" si="1"/>
        <v>59.332006235937712</v>
      </c>
      <c r="K25">
        <f t="shared" si="4"/>
        <v>87.40170666378728</v>
      </c>
    </row>
    <row r="26" spans="1:11" x14ac:dyDescent="0.2">
      <c r="A26">
        <v>2036</v>
      </c>
      <c r="C26">
        <f t="shared" si="5"/>
        <v>3.7894095577596918</v>
      </c>
      <c r="D26">
        <f t="shared" si="2"/>
        <v>13.447367059342509</v>
      </c>
      <c r="E26">
        <f t="shared" si="6"/>
        <v>241.35956093947738</v>
      </c>
      <c r="F26">
        <f t="shared" si="0"/>
        <v>168.93084215824348</v>
      </c>
      <c r="I26">
        <f t="shared" si="3"/>
        <v>28.574955035550861</v>
      </c>
      <c r="J26">
        <f t="shared" si="1"/>
        <v>62.891926610093968</v>
      </c>
      <c r="K26">
        <f t="shared" si="4"/>
        <v>91.466881645644833</v>
      </c>
    </row>
    <row r="27" spans="1:11" x14ac:dyDescent="0.2">
      <c r="A27">
        <v>2037</v>
      </c>
      <c r="C27">
        <f t="shared" si="5"/>
        <v>3.8576189297993664</v>
      </c>
      <c r="D27">
        <f t="shared" si="2"/>
        <v>14.481573656368642</v>
      </c>
      <c r="E27">
        <f t="shared" si="6"/>
        <v>259.69875352564537</v>
      </c>
      <c r="F27">
        <f t="shared" si="0"/>
        <v>178.55274330819066</v>
      </c>
      <c r="I27">
        <f t="shared" si="3"/>
        <v>29.089304226190777</v>
      </c>
      <c r="J27">
        <f t="shared" si="1"/>
        <v>66.665442206699623</v>
      </c>
      <c r="K27">
        <f t="shared" si="4"/>
        <v>95.7547464328904</v>
      </c>
    </row>
    <row r="28" spans="1:11" x14ac:dyDescent="0.2">
      <c r="A28">
        <v>2038</v>
      </c>
      <c r="C28">
        <f t="shared" si="5"/>
        <v>3.9270560705357549</v>
      </c>
      <c r="D28">
        <f t="shared" si="2"/>
        <v>15.581925211538723</v>
      </c>
      <c r="E28">
        <f t="shared" si="6"/>
        <v>279.20773480771987</v>
      </c>
      <c r="F28">
        <f t="shared" si="0"/>
        <v>188.57161876884297</v>
      </c>
      <c r="I28">
        <f t="shared" si="3"/>
        <v>29.61291170226221</v>
      </c>
      <c r="J28">
        <f t="shared" si="1"/>
        <v>70.665368739101609</v>
      </c>
      <c r="K28">
        <f t="shared" si="4"/>
        <v>100.27828044136382</v>
      </c>
    </row>
    <row r="29" spans="1:11" x14ac:dyDescent="0.2">
      <c r="A29">
        <v>2039</v>
      </c>
      <c r="C29">
        <f t="shared" si="5"/>
        <v>3.9977430798053986</v>
      </c>
      <c r="D29">
        <f t="shared" si="2"/>
        <v>16.752464088463192</v>
      </c>
      <c r="E29">
        <f t="shared" si="6"/>
        <v>299.95794197598849</v>
      </c>
      <c r="F29">
        <f t="shared" si="0"/>
        <v>199.00384665518024</v>
      </c>
      <c r="I29">
        <f t="shared" si="3"/>
        <v>30.145944112902932</v>
      </c>
      <c r="J29">
        <f t="shared" si="1"/>
        <v>74.905290863447703</v>
      </c>
      <c r="K29">
        <f t="shared" si="4"/>
        <v>105.05123497635063</v>
      </c>
    </row>
    <row r="30" spans="1:11" x14ac:dyDescent="0.2">
      <c r="A30">
        <v>2040</v>
      </c>
      <c r="C30">
        <f t="shared" si="5"/>
        <v>4.0697024552418961</v>
      </c>
      <c r="D30">
        <f t="shared" si="2"/>
        <v>17.99747651855931</v>
      </c>
      <c r="E30">
        <f t="shared" si="6"/>
        <v>322.02512094978971</v>
      </c>
      <c r="F30">
        <f t="shared" si="0"/>
        <v>209.86648080008951</v>
      </c>
      <c r="I30">
        <f t="shared" si="3"/>
        <v>30.688571106935186</v>
      </c>
      <c r="J30">
        <f t="shared" si="1"/>
        <v>79.399608315254568</v>
      </c>
      <c r="K30">
        <f t="shared" si="4"/>
        <v>110.08817942218975</v>
      </c>
    </row>
    <row r="31" spans="1:11" x14ac:dyDescent="0.2">
      <c r="A31">
        <v>2041</v>
      </c>
      <c r="C31">
        <f t="shared" si="5"/>
        <v>4.1429570994362503</v>
      </c>
      <c r="D31">
        <f t="shared" si="2"/>
        <v>19.321507256987381</v>
      </c>
      <c r="E31">
        <f t="shared" si="6"/>
        <v>345.48958530621337</v>
      </c>
      <c r="F31">
        <f t="shared" si="0"/>
        <v>221.17727863270619</v>
      </c>
      <c r="I31">
        <f t="shared" si="3"/>
        <v>31.240965386860019</v>
      </c>
      <c r="J31">
        <f t="shared" si="1"/>
        <v>84.163584814169838</v>
      </c>
      <c r="K31">
        <f t="shared" si="4"/>
        <v>115.40455020102985</v>
      </c>
    </row>
    <row r="32" spans="1:11" x14ac:dyDescent="0.2">
      <c r="A32">
        <v>2042</v>
      </c>
      <c r="C32">
        <f t="shared" si="5"/>
        <v>4.2175303272261031</v>
      </c>
      <c r="D32">
        <f t="shared" si="2"/>
        <v>20.729375118372801</v>
      </c>
      <c r="E32">
        <f t="shared" si="6"/>
        <v>370.4364907518123</v>
      </c>
      <c r="F32">
        <f t="shared" si="0"/>
        <v>232.95473020694357</v>
      </c>
      <c r="I32">
        <f t="shared" si="3"/>
        <v>31.803302763823499</v>
      </c>
      <c r="J32">
        <f t="shared" si="1"/>
        <v>89.213399903020033</v>
      </c>
      <c r="K32">
        <f t="shared" si="4"/>
        <v>121.01670266684353</v>
      </c>
    </row>
    <row r="33" spans="1:11" x14ac:dyDescent="0.2">
      <c r="A33">
        <v>2043</v>
      </c>
      <c r="C33">
        <f t="shared" si="5"/>
        <v>4.2934458731161733</v>
      </c>
      <c r="D33">
        <f t="shared" si="2"/>
        <v>22.226189445108737</v>
      </c>
      <c r="E33">
        <f t="shared" si="6"/>
        <v>396.95612607003721</v>
      </c>
      <c r="F33">
        <f t="shared" si="0"/>
        <v>245.21808842766225</v>
      </c>
      <c r="I33">
        <f t="shared" si="3"/>
        <v>32.375762213572322</v>
      </c>
      <c r="J33">
        <f t="shared" si="1"/>
        <v>94.566203897201248</v>
      </c>
      <c r="K33">
        <f t="shared" si="4"/>
        <v>126.94196611077356</v>
      </c>
    </row>
    <row r="34" spans="1:11" x14ac:dyDescent="0.2">
      <c r="A34">
        <v>2044</v>
      </c>
      <c r="C34">
        <f t="shared" si="5"/>
        <v>4.3707278988322642</v>
      </c>
      <c r="D34">
        <f t="shared" si="2"/>
        <v>23.817367564202232</v>
      </c>
      <c r="E34">
        <f t="shared" ref="E34:E35" si="7">E33+SUM(B34:D34)</f>
        <v>425.14422153307169</v>
      </c>
      <c r="F34">
        <f t="shared" si="0"/>
        <v>257.98740052389201</v>
      </c>
      <c r="I34">
        <f t="shared" si="3"/>
        <v>32.958525933416624</v>
      </c>
      <c r="J34">
        <f t="shared" si="1"/>
        <v>100.24017613103332</v>
      </c>
      <c r="K34">
        <f t="shared" si="4"/>
        <v>133.19870206444995</v>
      </c>
    </row>
    <row r="35" spans="1:11" x14ac:dyDescent="0.2">
      <c r="A35">
        <v>2045</v>
      </c>
      <c r="C35">
        <f t="shared" si="5"/>
        <v>4.4494010010112452</v>
      </c>
      <c r="D35">
        <f t="shared" si="2"/>
        <v>25.508653291984299</v>
      </c>
      <c r="E35">
        <f t="shared" si="7"/>
        <v>455.10227582606723</v>
      </c>
      <c r="F35">
        <f t="shared" si="0"/>
        <v>271.28354082055546</v>
      </c>
      <c r="I35">
        <f t="shared" si="3"/>
        <v>33.551779400218123</v>
      </c>
      <c r="J35">
        <f t="shared" si="1"/>
        <v>106.25458669889534</v>
      </c>
      <c r="K35">
        <f t="shared" si="4"/>
        <v>139.80636609911346</v>
      </c>
    </row>
    <row r="37" spans="1:11" x14ac:dyDescent="0.2">
      <c r="E37">
        <f>(E35/E19)^(1/($A35-$A19))</f>
        <v>1.076204874009308</v>
      </c>
      <c r="F37">
        <f>(F35/F19)^(1/($A35-$A19))</f>
        <v>1.0571757112075717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4" sqref="D4"/>
    </sheetView>
  </sheetViews>
  <sheetFormatPr baseColWidth="10" defaultRowHeight="16" x14ac:dyDescent="0.2"/>
  <sheetData>
    <row r="2" spans="2:4" x14ac:dyDescent="0.2">
      <c r="B2">
        <v>1</v>
      </c>
    </row>
    <row r="3" spans="2:4" x14ac:dyDescent="0.2">
      <c r="C3" t="s">
        <v>67</v>
      </c>
      <c r="D3">
        <f>B2*3</f>
        <v>3</v>
      </c>
    </row>
    <row r="4" spans="2:4" x14ac:dyDescent="0.2">
      <c r="C4">
        <v>1</v>
      </c>
      <c r="D4">
        <f t="dataTable" ref="D4:D6" dt2D="0" dtr="0" r1="B2"/>
        <v>3</v>
      </c>
    </row>
    <row r="5" spans="2:4" x14ac:dyDescent="0.2">
      <c r="C5">
        <v>2</v>
      </c>
      <c r="D5">
        <v>6</v>
      </c>
    </row>
    <row r="6" spans="2:4" x14ac:dyDescent="0.2">
      <c r="C6">
        <v>3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hedged hubs</vt:lpstr>
      <vt:lpstr>storage hedge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2016-06-23T07:32:22Z</dcterms:created>
  <dcterms:modified xsi:type="dcterms:W3CDTF">2016-07-23T02:37:02Z</dcterms:modified>
</cp:coreProperties>
</file>