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20" yWindow="720" windowWidth="24180" windowHeight="14880" tabRatio="500"/>
  </bookViews>
  <sheets>
    <sheet name="main" sheetId="1" r:id="rId1"/>
    <sheet name="maintenance" sheetId="3" r:id="rId2"/>
    <sheet name="reserves" sheetId="2" r:id="rId3"/>
  </sheets>
  <definedNames>
    <definedName name="cost_of_capital">main!$B$69</definedName>
    <definedName name="equipment_install_year">main!$B$71</definedName>
    <definedName name="equipment_life_years">main!$B$70</definedName>
    <definedName name="fuel_prices">main!$A$74:$C$80</definedName>
    <definedName name="loads">main!$A$83:$B$84</definedName>
    <definedName name="new_generator_capital_costs">main!$A$98:$C$108</definedName>
    <definedName name="oahu_average_load">main!$B$84</definedName>
    <definedName name="oahu_gen_tie_wind_derate">main!$D$25</definedName>
    <definedName name="oahu_peak_load">main!$B$83</definedName>
    <definedName name="oahu_wind_derate">main!$C$25</definedName>
    <definedName name="oahu_wind_gen_tie_cost_per_mw">main!#REF!</definedName>
    <definedName name="planned_maintenance_dates">maintenance!$A$2:$C$130</definedName>
    <definedName name="renewable_project_info">main!$A$88:$G$95</definedName>
    <definedName name="renewable_reserve_requirements">reserves!$A$1:$C$28</definedName>
    <definedName name="scenario_capacities">main!$A$3:$N$21</definedName>
    <definedName name="scenarios">main!$A$3:$H$12</definedName>
    <definedName name="solver_adj" localSheetId="0" hidden="1">main!$C$26:$F$26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main!$Q$46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waste_plant_capacity_factor">main!$B$72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B107" i="1" l="1"/>
  <c r="B28" i="3"/>
  <c r="D28" i="3"/>
  <c r="D27" i="3"/>
  <c r="B29" i="3"/>
  <c r="B31" i="3"/>
  <c r="B33" i="3"/>
  <c r="B35" i="3"/>
  <c r="B37" i="3"/>
  <c r="B39" i="3"/>
  <c r="B41" i="3"/>
  <c r="B43" i="3"/>
  <c r="B45" i="3"/>
  <c r="B47" i="3"/>
  <c r="B49" i="3"/>
  <c r="B51" i="3"/>
  <c r="B53" i="3"/>
  <c r="B55" i="3"/>
  <c r="B57" i="3"/>
  <c r="B59" i="3"/>
  <c r="B61" i="3"/>
  <c r="B63" i="3"/>
  <c r="B65" i="3"/>
  <c r="B67" i="3"/>
  <c r="B69" i="3"/>
  <c r="B71" i="3"/>
  <c r="B73" i="3"/>
  <c r="B75" i="3"/>
  <c r="B77" i="3"/>
  <c r="B79" i="3"/>
  <c r="B81" i="3"/>
  <c r="B83" i="3"/>
  <c r="B85" i="3"/>
  <c r="B87" i="3"/>
  <c r="B89" i="3"/>
  <c r="B91" i="3"/>
  <c r="B93" i="3"/>
  <c r="B95" i="3"/>
  <c r="B97" i="3"/>
  <c r="B99" i="3"/>
  <c r="B101" i="3"/>
  <c r="B103" i="3"/>
  <c r="B105" i="3"/>
  <c r="B107" i="3"/>
  <c r="B109" i="3"/>
  <c r="B111" i="3"/>
  <c r="B113" i="3"/>
  <c r="B115" i="3"/>
  <c r="B117" i="3"/>
  <c r="B119" i="3"/>
  <c r="B121" i="3"/>
  <c r="B123" i="3"/>
  <c r="B125" i="3"/>
  <c r="B127" i="3"/>
  <c r="B129" i="3"/>
  <c r="C129" i="3"/>
  <c r="C130" i="3"/>
  <c r="B130" i="3"/>
  <c r="C127" i="3"/>
  <c r="C128" i="3"/>
  <c r="B128" i="3"/>
  <c r="C125" i="3"/>
  <c r="C126" i="3"/>
  <c r="B126" i="3"/>
  <c r="C123" i="3"/>
  <c r="C124" i="3"/>
  <c r="B124" i="3"/>
  <c r="C121" i="3"/>
  <c r="C122" i="3"/>
  <c r="B122" i="3"/>
  <c r="C119" i="3"/>
  <c r="C120" i="3"/>
  <c r="B120" i="3"/>
  <c r="C117" i="3"/>
  <c r="C118" i="3"/>
  <c r="B118" i="3"/>
  <c r="C115" i="3"/>
  <c r="C116" i="3"/>
  <c r="B116" i="3"/>
  <c r="C113" i="3"/>
  <c r="C114" i="3"/>
  <c r="B114" i="3"/>
  <c r="C111" i="3"/>
  <c r="C112" i="3"/>
  <c r="B112" i="3"/>
  <c r="C109" i="3"/>
  <c r="C110" i="3"/>
  <c r="B110" i="3"/>
  <c r="C107" i="3"/>
  <c r="C108" i="3"/>
  <c r="B108" i="3"/>
  <c r="C105" i="3"/>
  <c r="C106" i="3"/>
  <c r="B106" i="3"/>
  <c r="C103" i="3"/>
  <c r="C104" i="3"/>
  <c r="B104" i="3"/>
  <c r="C101" i="3"/>
  <c r="C102" i="3"/>
  <c r="B102" i="3"/>
  <c r="C99" i="3"/>
  <c r="C100" i="3"/>
  <c r="B100" i="3"/>
  <c r="C97" i="3"/>
  <c r="C98" i="3"/>
  <c r="B98" i="3"/>
  <c r="C95" i="3"/>
  <c r="C96" i="3"/>
  <c r="B96" i="3"/>
  <c r="C93" i="3"/>
  <c r="C94" i="3"/>
  <c r="B94" i="3"/>
  <c r="C91" i="3"/>
  <c r="C92" i="3"/>
  <c r="B92" i="3"/>
  <c r="C89" i="3"/>
  <c r="C90" i="3"/>
  <c r="B90" i="3"/>
  <c r="C87" i="3"/>
  <c r="C88" i="3"/>
  <c r="B88" i="3"/>
  <c r="C85" i="3"/>
  <c r="C86" i="3"/>
  <c r="B86" i="3"/>
  <c r="C83" i="3"/>
  <c r="C84" i="3"/>
  <c r="B84" i="3"/>
  <c r="C81" i="3"/>
  <c r="C82" i="3"/>
  <c r="B82" i="3"/>
  <c r="C79" i="3"/>
  <c r="C80" i="3"/>
  <c r="B80" i="3"/>
  <c r="C77" i="3"/>
  <c r="C78" i="3"/>
  <c r="B78" i="3"/>
  <c r="C75" i="3"/>
  <c r="C76" i="3"/>
  <c r="B76" i="3"/>
  <c r="C73" i="3"/>
  <c r="C74" i="3"/>
  <c r="B74" i="3"/>
  <c r="C71" i="3"/>
  <c r="C72" i="3"/>
  <c r="B72" i="3"/>
  <c r="C69" i="3"/>
  <c r="C70" i="3"/>
  <c r="B70" i="3"/>
  <c r="C67" i="3"/>
  <c r="C68" i="3"/>
  <c r="B68" i="3"/>
  <c r="C65" i="3"/>
  <c r="C66" i="3"/>
  <c r="B66" i="3"/>
  <c r="C63" i="3"/>
  <c r="C64" i="3"/>
  <c r="B64" i="3"/>
  <c r="C61" i="3"/>
  <c r="C62" i="3"/>
  <c r="B62" i="3"/>
  <c r="C59" i="3"/>
  <c r="C60" i="3"/>
  <c r="B60" i="3"/>
  <c r="C57" i="3"/>
  <c r="C58" i="3"/>
  <c r="B58" i="3"/>
  <c r="C55" i="3"/>
  <c r="C56" i="3"/>
  <c r="B56" i="3"/>
  <c r="C53" i="3"/>
  <c r="C54" i="3"/>
  <c r="B54" i="3"/>
  <c r="C51" i="3"/>
  <c r="C52" i="3"/>
  <c r="B52" i="3"/>
  <c r="C49" i="3"/>
  <c r="C50" i="3"/>
  <c r="B50" i="3"/>
  <c r="C47" i="3"/>
  <c r="C48" i="3"/>
  <c r="B48" i="3"/>
  <c r="C45" i="3"/>
  <c r="C46" i="3"/>
  <c r="B46" i="3"/>
  <c r="C43" i="3"/>
  <c r="C44" i="3"/>
  <c r="B44" i="3"/>
  <c r="C41" i="3"/>
  <c r="C42" i="3"/>
  <c r="B42" i="3"/>
  <c r="C39" i="3"/>
  <c r="C40" i="3"/>
  <c r="B40" i="3"/>
  <c r="C37" i="3"/>
  <c r="C38" i="3"/>
  <c r="B38" i="3"/>
  <c r="C35" i="3"/>
  <c r="C36" i="3"/>
  <c r="B36" i="3"/>
  <c r="C33" i="3"/>
  <c r="C34" i="3"/>
  <c r="B34" i="3"/>
  <c r="C31" i="3"/>
  <c r="C32" i="3"/>
  <c r="B32" i="3"/>
  <c r="C29" i="3"/>
  <c r="C30" i="3"/>
  <c r="B30" i="3"/>
  <c r="C27" i="3"/>
  <c r="C28" i="3"/>
  <c r="E75" i="1"/>
  <c r="B80" i="1"/>
  <c r="E90" i="1"/>
  <c r="E91" i="1"/>
  <c r="E92" i="1"/>
  <c r="E93" i="1"/>
  <c r="E94" i="1"/>
  <c r="E95" i="1"/>
  <c r="E89" i="1"/>
  <c r="B84" i="1"/>
  <c r="C84" i="1"/>
  <c r="I28" i="1"/>
  <c r="E28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25" i="1"/>
  <c r="D28" i="1"/>
  <c r="A5" i="2"/>
  <c r="A8" i="2"/>
  <c r="A11" i="2"/>
  <c r="A14" i="2"/>
  <c r="A17" i="2"/>
  <c r="A20" i="2"/>
  <c r="A23" i="2"/>
  <c r="A26" i="2"/>
  <c r="A6" i="2"/>
  <c r="A9" i="2"/>
  <c r="A7" i="2"/>
  <c r="A10" i="2"/>
  <c r="A12" i="2"/>
  <c r="A13" i="2"/>
  <c r="A15" i="2"/>
  <c r="A16" i="2"/>
  <c r="A18" i="2"/>
  <c r="A19" i="2"/>
  <c r="A21" i="2"/>
  <c r="A22" i="2"/>
  <c r="A24" i="2"/>
  <c r="A25" i="2"/>
  <c r="A27" i="2"/>
  <c r="A28" i="2"/>
  <c r="B100" i="1"/>
  <c r="B108" i="1"/>
  <c r="B106" i="1"/>
  <c r="B104" i="1"/>
  <c r="B103" i="1"/>
  <c r="C100" i="1"/>
  <c r="E76" i="1"/>
  <c r="B72" i="1"/>
  <c r="B69" i="1"/>
  <c r="F37" i="1"/>
  <c r="F38" i="1"/>
  <c r="F39" i="1"/>
  <c r="F40" i="1"/>
  <c r="F41" i="1"/>
  <c r="F42" i="1"/>
  <c r="F43" i="1"/>
  <c r="F44" i="1"/>
  <c r="F45" i="1"/>
  <c r="F28" i="1"/>
  <c r="F29" i="1"/>
  <c r="F30" i="1"/>
  <c r="F31" i="1"/>
  <c r="F32" i="1"/>
  <c r="F33" i="1"/>
  <c r="F34" i="1"/>
  <c r="F35" i="1"/>
  <c r="F36" i="1"/>
  <c r="F25" i="1"/>
  <c r="E50" i="1"/>
  <c r="I50" i="1"/>
  <c r="J28" i="1"/>
  <c r="J50" i="1"/>
  <c r="C51" i="1"/>
  <c r="E51" i="1"/>
  <c r="I51" i="1"/>
  <c r="J51" i="1"/>
  <c r="C52" i="1"/>
  <c r="E52" i="1"/>
  <c r="I52" i="1"/>
  <c r="J52" i="1"/>
  <c r="C53" i="1"/>
  <c r="E53" i="1"/>
  <c r="I53" i="1"/>
  <c r="J53" i="1"/>
  <c r="C54" i="1"/>
  <c r="E54" i="1"/>
  <c r="I54" i="1"/>
  <c r="J54" i="1"/>
  <c r="C55" i="1"/>
  <c r="E55" i="1"/>
  <c r="I55" i="1"/>
  <c r="J55" i="1"/>
  <c r="C56" i="1"/>
  <c r="E56" i="1"/>
  <c r="I56" i="1"/>
  <c r="J56" i="1"/>
  <c r="C57" i="1"/>
  <c r="E57" i="1"/>
  <c r="I57" i="1"/>
  <c r="J57" i="1"/>
  <c r="C58" i="1"/>
  <c r="E58" i="1"/>
  <c r="I58" i="1"/>
  <c r="J58" i="1"/>
  <c r="C59" i="1"/>
  <c r="E59" i="1"/>
  <c r="I59" i="1"/>
  <c r="J59" i="1"/>
  <c r="C60" i="1"/>
  <c r="E60" i="1"/>
  <c r="I60" i="1"/>
  <c r="J60" i="1"/>
  <c r="C61" i="1"/>
  <c r="E61" i="1"/>
  <c r="I61" i="1"/>
  <c r="J61" i="1"/>
  <c r="C62" i="1"/>
  <c r="E62" i="1"/>
  <c r="I62" i="1"/>
  <c r="J62" i="1"/>
  <c r="C63" i="1"/>
  <c r="E63" i="1"/>
  <c r="I63" i="1"/>
  <c r="J63" i="1"/>
  <c r="C64" i="1"/>
  <c r="E64" i="1"/>
  <c r="I64" i="1"/>
  <c r="J64" i="1"/>
  <c r="C65" i="1"/>
  <c r="E65" i="1"/>
  <c r="I65" i="1"/>
  <c r="J65" i="1"/>
  <c r="C66" i="1"/>
  <c r="E66" i="1"/>
  <c r="I66" i="1"/>
  <c r="J66" i="1"/>
  <c r="C67" i="1"/>
  <c r="E67" i="1"/>
  <c r="I67" i="1"/>
  <c r="J67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25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25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25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B27" i="1"/>
  <c r="C27" i="1"/>
  <c r="F27" i="1"/>
  <c r="E27" i="1"/>
  <c r="D27" i="1"/>
  <c r="G27" i="1"/>
  <c r="H27" i="1"/>
  <c r="I27" i="1"/>
  <c r="K27" i="1"/>
  <c r="J27" i="1"/>
  <c r="L27" i="1"/>
  <c r="M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27" i="1"/>
  <c r="R49" i="1"/>
  <c r="P49" i="1"/>
  <c r="C49" i="1"/>
  <c r="F49" i="1"/>
  <c r="E49" i="1"/>
  <c r="G49" i="1"/>
  <c r="H49" i="1"/>
  <c r="I49" i="1"/>
  <c r="K49" i="1"/>
  <c r="J49" i="1"/>
  <c r="L49" i="1"/>
  <c r="M49" i="1"/>
  <c r="D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B49" i="1"/>
  <c r="A49" i="1"/>
  <c r="D50" i="1"/>
  <c r="R50" i="1"/>
  <c r="S50" i="1"/>
  <c r="D51" i="1"/>
  <c r="R51" i="1"/>
  <c r="S51" i="1"/>
  <c r="D52" i="1"/>
  <c r="R52" i="1"/>
  <c r="S52" i="1"/>
  <c r="D53" i="1"/>
  <c r="R53" i="1"/>
  <c r="S53" i="1"/>
  <c r="D54" i="1"/>
  <c r="R54" i="1"/>
  <c r="S54" i="1"/>
  <c r="D55" i="1"/>
  <c r="R55" i="1"/>
  <c r="S55" i="1"/>
  <c r="D56" i="1"/>
  <c r="R56" i="1"/>
  <c r="S56" i="1"/>
  <c r="D57" i="1"/>
  <c r="R57" i="1"/>
  <c r="S57" i="1"/>
  <c r="D58" i="1"/>
  <c r="R58" i="1"/>
  <c r="S58" i="1"/>
  <c r="D59" i="1"/>
  <c r="R59" i="1"/>
  <c r="S59" i="1"/>
  <c r="D60" i="1"/>
  <c r="R60" i="1"/>
  <c r="S60" i="1"/>
  <c r="D61" i="1"/>
  <c r="R61" i="1"/>
  <c r="S61" i="1"/>
  <c r="D62" i="1"/>
  <c r="R62" i="1"/>
  <c r="S62" i="1"/>
  <c r="D63" i="1"/>
  <c r="R63" i="1"/>
  <c r="S63" i="1"/>
  <c r="D64" i="1"/>
  <c r="R64" i="1"/>
  <c r="S64" i="1"/>
  <c r="D65" i="1"/>
  <c r="R65" i="1"/>
  <c r="S65" i="1"/>
  <c r="D66" i="1"/>
  <c r="R66" i="1"/>
  <c r="S66" i="1"/>
  <c r="D67" i="1"/>
  <c r="R67" i="1"/>
  <c r="S67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D25" i="1"/>
  <c r="P50" i="1"/>
  <c r="Q50" i="1"/>
  <c r="S46" i="1" a="1"/>
  <c r="S46" i="1"/>
  <c r="Q46" i="1" a="1"/>
  <c r="Q46" i="1"/>
</calcChain>
</file>

<file path=xl/comments1.xml><?xml version="1.0" encoding="utf-8"?>
<comments xmlns="http://schemas.openxmlformats.org/spreadsheetml/2006/main">
  <authors>
    <author>Matthias Fripp</author>
  </authors>
  <commentList>
    <comment ref="B80" authorId="0">
      <text>
        <r>
          <rPr>
            <sz val="9"/>
            <color indexed="81"/>
            <rFont val="Calibri"/>
            <family val="2"/>
          </rPr>
          <t>based on "Assume ~$35/MWh full load cost" in message from Derek Stenclik at GE, forwarded by Jon Cole at HNEI 2016-09-28.
Could instead use $30.42 energy cost (ECAC) reported in Jay Griffin correspondence</t>
        </r>
      </text>
    </comment>
  </commentList>
</comments>
</file>

<file path=xl/sharedStrings.xml><?xml version="1.0" encoding="utf-8"?>
<sst xmlns="http://schemas.openxmlformats.org/spreadsheetml/2006/main" count="281" uniqueCount="131">
  <si>
    <t>Scenario</t>
  </si>
  <si>
    <t>Description</t>
  </si>
  <si>
    <t>BAU - 2013 resources and practices plus committed new PV and some new dist PV</t>
  </si>
  <si>
    <t>grid of the near future - planned new gen and retirements, better baseload turndown, ancillary svcs from central wind/solar; MATS (LSFO-&gt;diesel); cycling Maalaea CC</t>
  </si>
  <si>
    <t>Biodiesel</t>
  </si>
  <si>
    <t>Diesel</t>
  </si>
  <si>
    <t>LSFO</t>
  </si>
  <si>
    <t>ULSD</t>
  </si>
  <si>
    <t>Peak</t>
  </si>
  <si>
    <t>Average</t>
  </si>
  <si>
    <t>Start</t>
  </si>
  <si>
    <t>End</t>
  </si>
  <si>
    <t>H8</t>
  </si>
  <si>
    <t>H9</t>
  </si>
  <si>
    <t>W3</t>
  </si>
  <si>
    <t>W4</t>
  </si>
  <si>
    <t>W5</t>
  </si>
  <si>
    <t>W6</t>
  </si>
  <si>
    <t>W7</t>
  </si>
  <si>
    <t>W8</t>
  </si>
  <si>
    <t>W9</t>
  </si>
  <si>
    <t>W10</t>
  </si>
  <si>
    <t>K1</t>
  </si>
  <si>
    <t>K2</t>
  </si>
  <si>
    <t>K3</t>
  </si>
  <si>
    <t>K4</t>
  </si>
  <si>
    <t>K5</t>
  </si>
  <si>
    <t>K6</t>
  </si>
  <si>
    <t>AES</t>
  </si>
  <si>
    <t>Kal1</t>
  </si>
  <si>
    <t>Kal2</t>
  </si>
  <si>
    <t>cap factor</t>
  </si>
  <si>
    <t>err</t>
  </si>
  <si>
    <t>scenario</t>
  </si>
  <si>
    <t>Maui</t>
  </si>
  <si>
    <t>Oahu</t>
  </si>
  <si>
    <t>From Table 1 of RPS Study</t>
  </si>
  <si>
    <t>W/S GWh available</t>
  </si>
  <si>
    <t>Total production</t>
  </si>
  <si>
    <t>pen avail (W/S/F/B)</t>
  </si>
  <si>
    <t>pen act (W/S/B/F)</t>
  </si>
  <si>
    <t>reported cap factor</t>
  </si>
  <si>
    <t>de-rate</t>
  </si>
  <si>
    <t>Bold (pre-specified) values come from Tables 8 &amp; 9 of RPS Study, assuming no curtailment for biodiesel, distributed solar, firm renewable, and Oahu wind in Scenarios 2, 3, 6, 11, 14)</t>
  </si>
  <si>
    <t>MW installed</t>
  </si>
  <si>
    <t>cost of capital</t>
  </si>
  <si>
    <t>equipment life (years)</t>
  </si>
  <si>
    <t>&lt;- so we choose a lifetime and rate that give the right fixed charge rate</t>
  </si>
  <si>
    <t>&lt;- pp 28-29: they use a fixed charge rate of 10-14% (10% for examples),</t>
  </si>
  <si>
    <t>equipment install year</t>
  </si>
  <si>
    <t>&lt;- installation year for all projects (dummy to keep them active and get right cost of capital)</t>
  </si>
  <si>
    <t>Project Name</t>
  </si>
  <si>
    <t>Generation Technology</t>
  </si>
  <si>
    <t>Energy Source</t>
  </si>
  <si>
    <t>Wind</t>
  </si>
  <si>
    <t>CentralPV</t>
  </si>
  <si>
    <t>DistPV</t>
  </si>
  <si>
    <t>Projects with no entry in the generator table</t>
  </si>
  <si>
    <t>Solar</t>
  </si>
  <si>
    <t>Load Zone</t>
  </si>
  <si>
    <t>Shape ID</t>
  </si>
  <si>
    <t>OAHU100W</t>
  </si>
  <si>
    <t>see "Stage 2 Hourly Renewable Shapes" for these</t>
  </si>
  <si>
    <t>LANAI200</t>
  </si>
  <si>
    <t>OAHUCENT</t>
  </si>
  <si>
    <t>OAHUDIST</t>
  </si>
  <si>
    <t>MAUI100W</t>
  </si>
  <si>
    <t>MAUICENT</t>
  </si>
  <si>
    <t>MAUIDIST</t>
  </si>
  <si>
    <t>CIP-CT1</t>
  </si>
  <si>
    <t>Plant ID</t>
  </si>
  <si>
    <t>waste plant capacity factor</t>
  </si>
  <si>
    <t>Coal</t>
  </si>
  <si>
    <t xml:space="preserve">AES Full Load Heat Rate (as represented in RPS Study Generator Table) </t>
  </si>
  <si>
    <t>Oahu_Wind</t>
  </si>
  <si>
    <t>Oahu_Gen-Tie_Wind</t>
  </si>
  <si>
    <t>Oahu_Central_PV</t>
  </si>
  <si>
    <t>Oahu_Distributed_PV</t>
  </si>
  <si>
    <t>Maui_Wind</t>
  </si>
  <si>
    <t>Maui_Central_PV</t>
  </si>
  <si>
    <t>Maui_Distributed_PV</t>
  </si>
  <si>
    <t>Oahu_Biodiesel</t>
  </si>
  <si>
    <t>Oahu_Firm_RE</t>
  </si>
  <si>
    <t>Maui_Biodiesel</t>
  </si>
  <si>
    <t>Maui_Firm_RE</t>
  </si>
  <si>
    <t>Grid-Tie_Cable</t>
  </si>
  <si>
    <t>Capital Cost ($/MW)</t>
  </si>
  <si>
    <t>Schofield</t>
  </si>
  <si>
    <t>Connect Cost ($/MW)</t>
  </si>
  <si>
    <t>New_ICE_1</t>
  </si>
  <si>
    <t>non-zero values are from Table 3, p. 28 of RPS Study; others are assumed zero</t>
  </si>
  <si>
    <t>New project capital costs</t>
  </si>
  <si>
    <t>Note: Scenarios 2-18 have additional cost of $51M for fuel switch to diesel and $70M for lower turndown capability</t>
  </si>
  <si>
    <t>Plant Name</t>
  </si>
  <si>
    <t>x</t>
  </si>
  <si>
    <t>y</t>
  </si>
  <si>
    <t>renewable power</t>
  </si>
  <si>
    <t>reserves</t>
  </si>
  <si>
    <t>&lt;- starting point for curve</t>
  </si>
  <si>
    <t>&lt;- nighttime max reserves (second point)</t>
  </si>
  <si>
    <t>&lt;- daytime max reserves (last point)</t>
  </si>
  <si>
    <t>values found by inspecting RPS Study Figure 39, p. 62; see Hawaii RPS Study - reserve requirement analysis.ai</t>
  </si>
  <si>
    <t>Available GWh</t>
  </si>
  <si>
    <t>Figure 3</t>
  </si>
  <si>
    <t>Figure 4</t>
  </si>
  <si>
    <t>Column Expression</t>
  </si>
  <si>
    <t>Lanai</t>
  </si>
  <si>
    <t>Maui .*Cent</t>
  </si>
  <si>
    <t>matches columns in Scenarios1-9.xlsx and Scenarios10-18.xlsx</t>
  </si>
  <si>
    <t>(Oahu )?[^ ]* Wi</t>
  </si>
  <si>
    <t>(Oahu )?[^ ]* Cen</t>
  </si>
  <si>
    <t>(Oahu )?[^ ]* Dis</t>
  </si>
  <si>
    <t>2020 Fuel Prices (2013$/MMBtu)</t>
  </si>
  <si>
    <t>2020 Loads (MW)</t>
  </si>
  <si>
    <t>&lt;- note: all loads now come directly from GE spreadsheets</t>
  </si>
  <si>
    <t>Kahului1</t>
  </si>
  <si>
    <t>Kahului2</t>
  </si>
  <si>
    <t>Kahului3</t>
  </si>
  <si>
    <t>Kahului4</t>
  </si>
  <si>
    <t>Thermal Units Planned Maintenance</t>
  </si>
  <si>
    <t xml:space="preserve">TODO: figure out what M1415, M15116, M1718 and M1819 are in Maui listed in Table 11 but not in Table 7) </t>
  </si>
  <si>
    <t>MSFO</t>
  </si>
  <si>
    <t>(Maui )?(KWP1|KWP2|AUWAHI|add'l Wi)</t>
  </si>
  <si>
    <t>(Maui .*Dist|Dist PV)</t>
  </si>
  <si>
    <t>Project Reporting Type</t>
  </si>
  <si>
    <t>note: e-mail from Jon Cole 9/28/16 says Kal1 is on maintenance outage Friday evening to Saturday morning and Kal2 is on maintenance outage Saturday evening to Sunday morning</t>
  </si>
  <si>
    <t>by inspection of Fig 8 (see 'figure 8 fitted data.csv'), these periods include the 8 pm hour and 8 am hour</t>
  </si>
  <si>
    <t>Note: we use only the hour number from the start and end periods (end hour is last hour of outage)</t>
  </si>
  <si>
    <t>&lt;- retired in scenarios 2+</t>
  </si>
  <si>
    <t>(Oahu )?[^ ]* Cen$</t>
  </si>
  <si>
    <t>New_ICE_2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</si>
</sst>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.00;[Red]\-&quot;$&quot;#,##0.00"/>
    <numFmt numFmtId="165" formatCode="0.0%"/>
    <numFmt numFmtId="166" formatCode="0.0"/>
    <numFmt numFmtId="167" formatCode="_-* #,##0_-;\-* #,##0_-;_-* &quot;-&quot;??_-;_-@_-"/>
    <numFmt numFmtId="168" formatCode="&quot;$&quot;#,##0.00;[Red]&quot;$&quot;#,##0.00"/>
    <numFmt numFmtId="169" formatCode="m/d/yy\ h:mm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4" fillId="0" borderId="0" xfId="0" applyFont="1"/>
    <xf numFmtId="165" fontId="0" fillId="0" borderId="0" xfId="43" applyNumberFormat="1" applyFont="1"/>
    <xf numFmtId="165" fontId="4" fillId="0" borderId="0" xfId="43" applyNumberFormat="1" applyFont="1"/>
    <xf numFmtId="0" fontId="0" fillId="0" borderId="0" xfId="0" applyFont="1"/>
    <xf numFmtId="165" fontId="1" fillId="0" borderId="0" xfId="43" applyNumberFormat="1" applyFont="1"/>
    <xf numFmtId="0" fontId="0" fillId="0" borderId="0" xfId="0" applyNumberFormat="1"/>
    <xf numFmtId="10" fontId="0" fillId="0" borderId="0" xfId="0" applyNumberFormat="1"/>
    <xf numFmtId="0" fontId="4" fillId="0" borderId="0" xfId="0" applyFont="1" applyAlignment="1">
      <alignment wrapText="1"/>
    </xf>
    <xf numFmtId="166" fontId="0" fillId="0" borderId="0" xfId="0" applyNumberFormat="1" applyFont="1"/>
    <xf numFmtId="0" fontId="5" fillId="0" borderId="0" xfId="0" applyFont="1"/>
    <xf numFmtId="3" fontId="0" fillId="0" borderId="0" xfId="0" applyNumberFormat="1"/>
    <xf numFmtId="167" fontId="5" fillId="0" borderId="0" xfId="0" applyNumberFormat="1" applyFont="1"/>
    <xf numFmtId="168" fontId="0" fillId="0" borderId="0" xfId="0" applyNumberFormat="1"/>
    <xf numFmtId="169" fontId="0" fillId="0" borderId="0" xfId="0" applyNumberFormat="1"/>
    <xf numFmtId="169" fontId="4" fillId="0" borderId="0" xfId="0" applyNumberFormat="1" applyFont="1"/>
    <xf numFmtId="14" fontId="0" fillId="0" borderId="0" xfId="0" applyNumberFormat="1"/>
    <xf numFmtId="169" fontId="0" fillId="0" borderId="0" xfId="0" applyNumberFormat="1" applyFont="1"/>
  </cellXfs>
  <cellStyles count="3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Normal" xfId="0" builtinId="0"/>
    <cellStyle name="Percent" xfId="4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main!$W$49</c:f>
              <c:strCache>
                <c:ptCount val="1"/>
                <c:pt idx="0">
                  <c:v>pen avail (W/S/F/B)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39176071741032"/>
                  <c:y val="-0.0363641003207932"/>
                </c:manualLayout>
              </c:layout>
              <c:numFmt formatCode="General" sourceLinked="0"/>
            </c:trendlineLbl>
          </c:trendline>
          <c:xVal>
            <c:numRef>
              <c:f>main!$W$50:$W$58</c:f>
              <c:numCache>
                <c:formatCode>General</c:formatCode>
                <c:ptCount val="9"/>
                <c:pt idx="0">
                  <c:v>0.191461461461</c:v>
                </c:pt>
                <c:pt idx="1">
                  <c:v>0.180983483483</c:v>
                </c:pt>
                <c:pt idx="2">
                  <c:v>0.227414914915</c:v>
                </c:pt>
                <c:pt idx="3">
                  <c:v>0.260355355355</c:v>
                </c:pt>
                <c:pt idx="4">
                  <c:v>0.292615115115</c:v>
                </c:pt>
                <c:pt idx="5">
                  <c:v>0.266453953954</c:v>
                </c:pt>
                <c:pt idx="6">
                  <c:v>0.299874874875</c:v>
                </c:pt>
                <c:pt idx="7">
                  <c:v>0.338813813814</c:v>
                </c:pt>
                <c:pt idx="8">
                  <c:v>0.334937437437</c:v>
                </c:pt>
              </c:numCache>
            </c:numRef>
          </c:xVal>
          <c:yVal>
            <c:numRef>
              <c:f>main!$T$50:$T$58</c:f>
              <c:numCache>
                <c:formatCode>General</c:formatCode>
                <c:ptCount val="9"/>
                <c:pt idx="0">
                  <c:v>1046.47671347255</c:v>
                </c:pt>
                <c:pt idx="1">
                  <c:v>1046.47671347255</c:v>
                </c:pt>
                <c:pt idx="2">
                  <c:v>1472.72333148679</c:v>
                </c:pt>
                <c:pt idx="3">
                  <c:v>1772.79478471704</c:v>
                </c:pt>
                <c:pt idx="4">
                  <c:v>2068.75567009482</c:v>
                </c:pt>
                <c:pt idx="5">
                  <c:v>1830.34273465161</c:v>
                </c:pt>
                <c:pt idx="6">
                  <c:v>2128.35890395562</c:v>
                </c:pt>
                <c:pt idx="7">
                  <c:v>2473.64660356303</c:v>
                </c:pt>
                <c:pt idx="8">
                  <c:v>2436.65149289081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001080"/>
        <c:axId val="1996070696"/>
      </c:scatterChart>
      <c:valAx>
        <c:axId val="1992001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96070696"/>
        <c:crosses val="autoZero"/>
        <c:crossBetween val="midCat"/>
      </c:valAx>
      <c:valAx>
        <c:axId val="1996070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2001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402166</xdr:colOff>
      <xdr:row>68</xdr:row>
      <xdr:rowOff>105834</xdr:rowOff>
    </xdr:from>
    <xdr:to>
      <xdr:col>23</xdr:col>
      <xdr:colOff>0</xdr:colOff>
      <xdr:row>85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8"/>
  <sheetViews>
    <sheetView tabSelected="1" topLeftCell="A88" zoomScale="125" zoomScaleNormal="125" zoomScalePageLayoutView="125" workbookViewId="0">
      <selection activeCell="A109" sqref="A109"/>
    </sheetView>
  </sheetViews>
  <sheetFormatPr baseColWidth="10" defaultRowHeight="15" x14ac:dyDescent="0"/>
  <cols>
    <col min="1" max="1" width="20.5" customWidth="1"/>
    <col min="2" max="2" width="13.33203125" bestFit="1" customWidth="1"/>
    <col min="3" max="3" width="18" customWidth="1"/>
    <col min="17" max="17" width="12.1640625" bestFit="1" customWidth="1"/>
    <col min="19" max="19" width="12.1640625" bestFit="1" customWidth="1"/>
  </cols>
  <sheetData>
    <row r="1" spans="1:14">
      <c r="A1" t="s">
        <v>36</v>
      </c>
    </row>
    <row r="2" spans="1:14">
      <c r="A2" t="s">
        <v>44</v>
      </c>
    </row>
    <row r="3" spans="1:14">
      <c r="A3" t="s">
        <v>0</v>
      </c>
      <c r="B3" t="s">
        <v>1</v>
      </c>
      <c r="C3" t="s">
        <v>74</v>
      </c>
      <c r="D3" t="s">
        <v>75</v>
      </c>
      <c r="E3" t="s">
        <v>76</v>
      </c>
      <c r="F3" t="s">
        <v>77</v>
      </c>
      <c r="G3" t="s">
        <v>81</v>
      </c>
      <c r="H3" t="s">
        <v>82</v>
      </c>
      <c r="I3" t="s">
        <v>78</v>
      </c>
      <c r="J3" t="s">
        <v>79</v>
      </c>
      <c r="K3" t="s">
        <v>80</v>
      </c>
      <c r="L3" t="s">
        <v>83</v>
      </c>
      <c r="M3" t="s">
        <v>84</v>
      </c>
      <c r="N3" t="s">
        <v>85</v>
      </c>
    </row>
    <row r="4" spans="1:14">
      <c r="A4">
        <v>1</v>
      </c>
      <c r="B4" t="s">
        <v>2</v>
      </c>
      <c r="C4" s="5">
        <v>100</v>
      </c>
      <c r="D4" s="5">
        <v>0</v>
      </c>
      <c r="E4" s="5">
        <v>11</v>
      </c>
      <c r="F4" s="5">
        <v>220</v>
      </c>
      <c r="G4" s="5"/>
      <c r="H4" s="5">
        <v>74</v>
      </c>
      <c r="I4" s="5">
        <v>72</v>
      </c>
      <c r="J4" s="5">
        <v>0</v>
      </c>
      <c r="K4" s="5">
        <v>40</v>
      </c>
      <c r="L4" s="5"/>
      <c r="M4" s="5">
        <v>16</v>
      </c>
      <c r="N4" s="5">
        <v>0</v>
      </c>
    </row>
    <row r="5" spans="1:14">
      <c r="A5">
        <v>2</v>
      </c>
      <c r="B5" t="s">
        <v>3</v>
      </c>
      <c r="C5" s="5">
        <v>100</v>
      </c>
      <c r="D5" s="5">
        <v>0</v>
      </c>
      <c r="E5" s="5">
        <v>11</v>
      </c>
      <c r="F5" s="5">
        <v>220</v>
      </c>
      <c r="G5" s="5"/>
      <c r="H5" s="5">
        <v>74</v>
      </c>
      <c r="I5" s="5">
        <v>72</v>
      </c>
      <c r="J5" s="5">
        <v>0</v>
      </c>
      <c r="K5" s="5">
        <v>40</v>
      </c>
      <c r="L5" s="5"/>
      <c r="M5" s="5">
        <v>0</v>
      </c>
      <c r="N5" s="5">
        <v>0</v>
      </c>
    </row>
    <row r="6" spans="1:14">
      <c r="A6">
        <v>3</v>
      </c>
      <c r="C6" s="5">
        <v>100</v>
      </c>
      <c r="D6" s="5">
        <v>0</v>
      </c>
      <c r="E6" s="5">
        <v>200</v>
      </c>
      <c r="F6" s="5">
        <v>260</v>
      </c>
      <c r="G6" s="5"/>
      <c r="H6" s="5">
        <v>74</v>
      </c>
      <c r="I6" s="5">
        <v>72</v>
      </c>
      <c r="J6" s="5">
        <v>0</v>
      </c>
      <c r="K6" s="5">
        <v>40</v>
      </c>
      <c r="L6" s="5"/>
      <c r="M6" s="5">
        <v>0</v>
      </c>
      <c r="N6" s="5">
        <v>0</v>
      </c>
    </row>
    <row r="7" spans="1:14">
      <c r="A7">
        <v>4</v>
      </c>
      <c r="C7" s="5">
        <v>200</v>
      </c>
      <c r="D7" s="5">
        <v>0</v>
      </c>
      <c r="E7" s="5">
        <v>200</v>
      </c>
      <c r="F7" s="5">
        <v>260</v>
      </c>
      <c r="G7" s="5"/>
      <c r="H7" s="5">
        <v>74</v>
      </c>
      <c r="I7" s="5">
        <v>72</v>
      </c>
      <c r="J7" s="5">
        <v>0</v>
      </c>
      <c r="K7" s="5">
        <v>40</v>
      </c>
      <c r="L7" s="5"/>
      <c r="M7" s="5">
        <v>0</v>
      </c>
      <c r="N7" s="5">
        <v>0</v>
      </c>
    </row>
    <row r="8" spans="1:14">
      <c r="A8">
        <v>5</v>
      </c>
      <c r="C8" s="5">
        <v>300</v>
      </c>
      <c r="D8" s="5">
        <v>0</v>
      </c>
      <c r="E8" s="5">
        <v>200</v>
      </c>
      <c r="F8" s="5">
        <v>260</v>
      </c>
      <c r="G8" s="5"/>
      <c r="H8" s="5">
        <v>74</v>
      </c>
      <c r="I8" s="5">
        <v>72</v>
      </c>
      <c r="J8" s="5">
        <v>0</v>
      </c>
      <c r="K8" s="5">
        <v>40</v>
      </c>
      <c r="L8" s="5"/>
      <c r="M8" s="5">
        <v>0</v>
      </c>
      <c r="N8" s="5">
        <v>0</v>
      </c>
    </row>
    <row r="9" spans="1:14">
      <c r="A9">
        <v>6</v>
      </c>
      <c r="C9" s="5">
        <v>100</v>
      </c>
      <c r="D9" s="5">
        <v>0</v>
      </c>
      <c r="E9" s="5">
        <v>300</v>
      </c>
      <c r="F9" s="5">
        <v>360</v>
      </c>
      <c r="G9" s="5"/>
      <c r="H9" s="5">
        <v>74</v>
      </c>
      <c r="I9" s="5">
        <v>72</v>
      </c>
      <c r="J9" s="5">
        <v>0</v>
      </c>
      <c r="K9" s="5">
        <v>40</v>
      </c>
      <c r="L9" s="5"/>
      <c r="M9" s="5">
        <v>0</v>
      </c>
      <c r="N9" s="5">
        <v>0</v>
      </c>
    </row>
    <row r="10" spans="1:14">
      <c r="A10">
        <v>7</v>
      </c>
      <c r="C10" s="5">
        <v>200</v>
      </c>
      <c r="D10" s="5">
        <v>0</v>
      </c>
      <c r="E10" s="5">
        <v>300</v>
      </c>
      <c r="F10" s="5">
        <v>360</v>
      </c>
      <c r="G10" s="5"/>
      <c r="H10" s="5">
        <v>74</v>
      </c>
      <c r="I10" s="5">
        <v>72</v>
      </c>
      <c r="J10" s="5">
        <v>0</v>
      </c>
      <c r="K10" s="5">
        <v>40</v>
      </c>
      <c r="L10" s="5"/>
      <c r="M10" s="5">
        <v>0</v>
      </c>
      <c r="N10" s="5">
        <v>0</v>
      </c>
    </row>
    <row r="11" spans="1:14">
      <c r="A11">
        <v>8</v>
      </c>
      <c r="C11" s="5">
        <v>200</v>
      </c>
      <c r="D11" s="5">
        <v>0</v>
      </c>
      <c r="E11" s="5">
        <v>400</v>
      </c>
      <c r="F11" s="5">
        <v>460</v>
      </c>
      <c r="G11" s="5"/>
      <c r="H11" s="5">
        <v>74</v>
      </c>
      <c r="I11" s="5">
        <v>72</v>
      </c>
      <c r="J11" s="5">
        <v>0</v>
      </c>
      <c r="K11" s="5">
        <v>40</v>
      </c>
      <c r="L11" s="5"/>
      <c r="M11" s="5">
        <v>0</v>
      </c>
      <c r="N11" s="5">
        <v>0</v>
      </c>
    </row>
    <row r="12" spans="1:14">
      <c r="A12">
        <v>9</v>
      </c>
      <c r="C12" s="5">
        <v>200</v>
      </c>
      <c r="D12" s="5">
        <v>0</v>
      </c>
      <c r="E12" s="5">
        <v>300</v>
      </c>
      <c r="F12" s="5">
        <v>560</v>
      </c>
      <c r="G12" s="5"/>
      <c r="H12" s="5">
        <v>74</v>
      </c>
      <c r="I12" s="5">
        <v>72</v>
      </c>
      <c r="J12" s="5">
        <v>0</v>
      </c>
      <c r="K12" s="5">
        <v>40</v>
      </c>
      <c r="L12" s="5"/>
      <c r="M12" s="5">
        <v>0</v>
      </c>
      <c r="N12" s="5">
        <v>0</v>
      </c>
    </row>
    <row r="13" spans="1:14">
      <c r="A13">
        <v>10</v>
      </c>
      <c r="C13" s="5">
        <v>100</v>
      </c>
      <c r="D13" s="5">
        <v>200</v>
      </c>
      <c r="E13" s="5">
        <v>200</v>
      </c>
      <c r="F13" s="5">
        <v>260</v>
      </c>
      <c r="G13" s="5"/>
      <c r="H13" s="5">
        <v>74</v>
      </c>
      <c r="I13" s="5">
        <v>72</v>
      </c>
      <c r="J13" s="5">
        <v>0</v>
      </c>
      <c r="K13" s="5">
        <v>78</v>
      </c>
      <c r="L13" s="5"/>
      <c r="M13" s="5">
        <v>0</v>
      </c>
      <c r="N13" s="5">
        <v>0</v>
      </c>
    </row>
    <row r="14" spans="1:14">
      <c r="A14">
        <v>11</v>
      </c>
      <c r="C14" s="5">
        <v>100</v>
      </c>
      <c r="D14" s="5">
        <v>0</v>
      </c>
      <c r="E14" s="5">
        <v>200</v>
      </c>
      <c r="F14" s="5">
        <v>260</v>
      </c>
      <c r="G14" s="5"/>
      <c r="H14" s="5">
        <v>74</v>
      </c>
      <c r="I14" s="5">
        <v>272</v>
      </c>
      <c r="J14" s="5">
        <v>0</v>
      </c>
      <c r="K14" s="5">
        <v>78</v>
      </c>
      <c r="L14" s="5"/>
      <c r="M14" s="5">
        <v>0</v>
      </c>
      <c r="N14" s="5">
        <v>200</v>
      </c>
    </row>
    <row r="15" spans="1:14">
      <c r="A15">
        <v>12</v>
      </c>
      <c r="C15" s="5">
        <v>100</v>
      </c>
      <c r="D15" s="5">
        <v>200</v>
      </c>
      <c r="E15" s="5">
        <v>200</v>
      </c>
      <c r="F15" s="5">
        <v>260</v>
      </c>
      <c r="G15" s="5"/>
      <c r="H15" s="5">
        <v>74</v>
      </c>
      <c r="I15" s="5">
        <v>272</v>
      </c>
      <c r="J15" s="5">
        <v>100</v>
      </c>
      <c r="K15" s="5">
        <v>78</v>
      </c>
      <c r="L15" s="5"/>
      <c r="M15" s="5">
        <v>0</v>
      </c>
      <c r="N15" s="5">
        <v>200</v>
      </c>
    </row>
    <row r="16" spans="1:14">
      <c r="A16">
        <v>13</v>
      </c>
      <c r="C16" s="5">
        <v>100</v>
      </c>
      <c r="D16" s="5">
        <v>200</v>
      </c>
      <c r="E16" s="5">
        <v>300</v>
      </c>
      <c r="F16" s="5">
        <v>360</v>
      </c>
      <c r="G16" s="5"/>
      <c r="H16" s="5">
        <v>74</v>
      </c>
      <c r="I16" s="5">
        <v>72</v>
      </c>
      <c r="J16" s="5">
        <v>0</v>
      </c>
      <c r="K16" s="5">
        <v>78</v>
      </c>
      <c r="L16" s="5"/>
      <c r="M16" s="5">
        <v>0</v>
      </c>
      <c r="N16" s="5">
        <v>0</v>
      </c>
    </row>
    <row r="17" spans="1:19">
      <c r="A17">
        <v>14</v>
      </c>
      <c r="C17" s="5">
        <v>100</v>
      </c>
      <c r="D17" s="5">
        <v>0</v>
      </c>
      <c r="E17" s="5">
        <v>300</v>
      </c>
      <c r="F17" s="5">
        <v>360</v>
      </c>
      <c r="G17" s="5"/>
      <c r="H17" s="5">
        <v>74</v>
      </c>
      <c r="I17" s="5">
        <v>272</v>
      </c>
      <c r="J17" s="5">
        <v>0</v>
      </c>
      <c r="K17" s="5">
        <v>78</v>
      </c>
      <c r="L17" s="5"/>
      <c r="M17" s="5">
        <v>0</v>
      </c>
      <c r="N17" s="5">
        <v>200</v>
      </c>
    </row>
    <row r="18" spans="1:19">
      <c r="A18">
        <v>15</v>
      </c>
      <c r="C18" s="5">
        <v>100</v>
      </c>
      <c r="D18" s="5">
        <v>200</v>
      </c>
      <c r="E18" s="5">
        <v>300</v>
      </c>
      <c r="F18" s="5">
        <v>360</v>
      </c>
      <c r="G18" s="5"/>
      <c r="H18" s="5">
        <v>74</v>
      </c>
      <c r="I18" s="5">
        <v>272</v>
      </c>
      <c r="J18" s="5">
        <v>100</v>
      </c>
      <c r="K18" s="5">
        <v>78</v>
      </c>
      <c r="L18" s="5"/>
      <c r="M18" s="5">
        <v>0</v>
      </c>
      <c r="N18" s="5">
        <v>200</v>
      </c>
    </row>
    <row r="19" spans="1:19">
      <c r="A19">
        <v>16</v>
      </c>
      <c r="C19" s="5">
        <v>200</v>
      </c>
      <c r="D19" s="5">
        <v>200</v>
      </c>
      <c r="E19" s="5">
        <v>400</v>
      </c>
      <c r="F19" s="5">
        <v>460</v>
      </c>
      <c r="G19" s="5"/>
      <c r="H19" s="5">
        <v>74</v>
      </c>
      <c r="I19" s="5">
        <v>72</v>
      </c>
      <c r="J19" s="5">
        <v>0</v>
      </c>
      <c r="K19" s="5">
        <v>78</v>
      </c>
      <c r="L19" s="5"/>
      <c r="M19" s="5">
        <v>0</v>
      </c>
      <c r="N19" s="5">
        <v>0</v>
      </c>
    </row>
    <row r="20" spans="1:19">
      <c r="A20">
        <v>17</v>
      </c>
      <c r="C20" s="5">
        <v>200</v>
      </c>
      <c r="D20" s="5">
        <v>0</v>
      </c>
      <c r="E20" s="5">
        <v>400</v>
      </c>
      <c r="F20" s="5">
        <v>460</v>
      </c>
      <c r="G20" s="5"/>
      <c r="H20" s="5">
        <v>74</v>
      </c>
      <c r="I20" s="5">
        <v>272</v>
      </c>
      <c r="J20" s="5">
        <v>0</v>
      </c>
      <c r="K20" s="5">
        <v>78</v>
      </c>
      <c r="L20" s="5"/>
      <c r="M20" s="5">
        <v>0</v>
      </c>
      <c r="N20" s="5">
        <v>200</v>
      </c>
    </row>
    <row r="21" spans="1:19">
      <c r="A21">
        <v>18</v>
      </c>
      <c r="C21" s="5">
        <v>200</v>
      </c>
      <c r="D21" s="5">
        <v>200</v>
      </c>
      <c r="E21" s="5">
        <v>400</v>
      </c>
      <c r="F21" s="5">
        <v>460</v>
      </c>
      <c r="G21" s="5"/>
      <c r="H21" s="5">
        <v>74</v>
      </c>
      <c r="I21" s="5">
        <v>272</v>
      </c>
      <c r="J21" s="5">
        <v>100</v>
      </c>
      <c r="K21" s="5">
        <v>78</v>
      </c>
      <c r="L21" s="5"/>
      <c r="M21" s="5">
        <v>0</v>
      </c>
      <c r="N21" s="5">
        <v>200</v>
      </c>
    </row>
    <row r="23" spans="1:19">
      <c r="B23" t="s">
        <v>35</v>
      </c>
      <c r="I23" t="s">
        <v>34</v>
      </c>
    </row>
    <row r="24" spans="1:19">
      <c r="A24" t="s">
        <v>41</v>
      </c>
      <c r="C24" s="2">
        <v>0.40879599999999999</v>
      </c>
      <c r="D24" s="2">
        <v>0.51505800000000002</v>
      </c>
      <c r="E24" s="2">
        <v>0.22256799999999999</v>
      </c>
      <c r="F24" s="2">
        <v>0.18071100000000001</v>
      </c>
      <c r="I24" s="2">
        <v>0.48713299999999998</v>
      </c>
      <c r="K24" s="2">
        <v>0.18712999999999999</v>
      </c>
    </row>
    <row r="25" spans="1:19">
      <c r="A25" t="s">
        <v>42</v>
      </c>
      <c r="C25">
        <f>AVERAGE(C28:C45)/C24</f>
        <v>0.83076124068268431</v>
      </c>
      <c r="D25">
        <f>AVERAGE(D28:D45)/D24</f>
        <v>0.83076124068268464</v>
      </c>
      <c r="E25">
        <f>AVERAGE(E28:E45)/E24</f>
        <v>0.99999999999999978</v>
      </c>
      <c r="F25">
        <f>AVERAGE(F28:F45)/F24</f>
        <v>1.0070743236812627</v>
      </c>
      <c r="I25">
        <f>AVERAGE(I28:I45)/I24</f>
        <v>0.99999999999999989</v>
      </c>
      <c r="K25">
        <f>AVERAGE(K28:K45)/K24</f>
        <v>1.0023096242002008</v>
      </c>
    </row>
    <row r="26" spans="1:19">
      <c r="A26" t="s">
        <v>31</v>
      </c>
      <c r="F26" s="5"/>
      <c r="I26" s="2"/>
      <c r="J26" s="2"/>
      <c r="K26" s="2"/>
    </row>
    <row r="27" spans="1:19">
      <c r="A27" t="str">
        <f t="shared" ref="A27:A45" si="0">A3</f>
        <v>Scenario</v>
      </c>
      <c r="B27" t="str">
        <f t="shared" ref="B27:M27" si="1">B3</f>
        <v>Description</v>
      </c>
      <c r="C27" t="str">
        <f t="shared" si="1"/>
        <v>Oahu_Wind</v>
      </c>
      <c r="D27" t="str">
        <f>D3</f>
        <v>Oahu_Gen-Tie_Wind</v>
      </c>
      <c r="E27" t="str">
        <f>E3</f>
        <v>Oahu_Central_PV</v>
      </c>
      <c r="F27" t="str">
        <f t="shared" si="1"/>
        <v>Oahu_Distributed_PV</v>
      </c>
      <c r="G27" t="str">
        <f t="shared" si="1"/>
        <v>Oahu_Biodiesel</v>
      </c>
      <c r="H27" t="str">
        <f t="shared" si="1"/>
        <v>Oahu_Firm_RE</v>
      </c>
      <c r="I27" t="str">
        <f t="shared" si="1"/>
        <v>Maui_Wind</v>
      </c>
      <c r="J27" t="str">
        <f>J3</f>
        <v>Maui_Central_PV</v>
      </c>
      <c r="K27" t="str">
        <f t="shared" si="1"/>
        <v>Maui_Distributed_PV</v>
      </c>
      <c r="L27" t="str">
        <f t="shared" si="1"/>
        <v>Maui_Biodiesel</v>
      </c>
      <c r="M27" t="str">
        <f t="shared" si="1"/>
        <v>Maui_Firm_RE</v>
      </c>
    </row>
    <row r="28" spans="1:19">
      <c r="A28">
        <f t="shared" si="0"/>
        <v>1</v>
      </c>
      <c r="C28">
        <f>C50/(8.76*C4)</f>
        <v>0.33961187214611871</v>
      </c>
      <c r="D28" s="2">
        <f t="shared" ref="D28:D45" si="2">$C$25*$D$24</f>
        <v>0.42789022310354202</v>
      </c>
      <c r="E28" s="2">
        <f>E24</f>
        <v>0.22256799999999999</v>
      </c>
      <c r="F28">
        <f t="shared" ref="F28:F45" si="3">F50/(8.76*F4)</f>
        <v>0.18223329182233292</v>
      </c>
      <c r="G28" s="2">
        <v>0</v>
      </c>
      <c r="H28" s="2">
        <v>0</v>
      </c>
      <c r="I28" s="2">
        <f>I24</f>
        <v>0.48713299999999998</v>
      </c>
      <c r="J28" s="2">
        <f>E28*K28/F28</f>
        <v>0.22900041799544421</v>
      </c>
      <c r="K28">
        <v>0.18750000000000003</v>
      </c>
      <c r="L28" s="2"/>
      <c r="M28" s="2"/>
      <c r="Q28" s="3"/>
      <c r="S28" s="3"/>
    </row>
    <row r="29" spans="1:19" s="2" customFormat="1">
      <c r="A29">
        <f t="shared" si="0"/>
        <v>2</v>
      </c>
      <c r="C29" s="2">
        <f>C28</f>
        <v>0.33961187214611871</v>
      </c>
      <c r="D29" s="2">
        <f t="shared" si="2"/>
        <v>0.42789022310354202</v>
      </c>
      <c r="E29" s="2">
        <f t="shared" ref="E29:E44" si="4">E28</f>
        <v>0.22256799999999999</v>
      </c>
      <c r="F29">
        <f t="shared" si="3"/>
        <v>0.18223329182233292</v>
      </c>
      <c r="I29" s="2">
        <f t="shared" ref="I29:I45" si="5">I28</f>
        <v>0.48713299999999998</v>
      </c>
      <c r="J29" s="2">
        <f t="shared" ref="J29:J45" si="6">J28</f>
        <v>0.22900041799544421</v>
      </c>
      <c r="K29">
        <f t="shared" ref="K29:K45" si="7">K51/(8.76*K5)</f>
        <v>0.18750000000000003</v>
      </c>
      <c r="Q29" s="4"/>
      <c r="S29" s="4"/>
    </row>
    <row r="30" spans="1:19">
      <c r="A30">
        <f t="shared" si="0"/>
        <v>3</v>
      </c>
      <c r="C30" s="2">
        <f t="shared" ref="C30:C45" si="8">C29</f>
        <v>0.33961187214611871</v>
      </c>
      <c r="D30" s="2">
        <f t="shared" si="2"/>
        <v>0.42789022310354202</v>
      </c>
      <c r="E30" s="2">
        <f t="shared" si="4"/>
        <v>0.22256799999999999</v>
      </c>
      <c r="F30">
        <f t="shared" si="3"/>
        <v>0.18146294344924482</v>
      </c>
      <c r="G30" s="2"/>
      <c r="H30" s="2"/>
      <c r="I30" s="2">
        <f t="shared" si="5"/>
        <v>0.48713299999999998</v>
      </c>
      <c r="J30" s="2">
        <f t="shared" si="6"/>
        <v>0.22900041799544421</v>
      </c>
      <c r="K30">
        <f t="shared" si="7"/>
        <v>0.18750000000000003</v>
      </c>
      <c r="L30" s="2"/>
      <c r="M30" s="2"/>
      <c r="Q30" s="3"/>
      <c r="S30" s="3"/>
    </row>
    <row r="31" spans="1:19">
      <c r="A31">
        <f t="shared" si="0"/>
        <v>4</v>
      </c>
      <c r="C31" s="2">
        <f t="shared" si="8"/>
        <v>0.33961187214611871</v>
      </c>
      <c r="D31" s="2">
        <f t="shared" si="2"/>
        <v>0.42789022310354202</v>
      </c>
      <c r="E31" s="2">
        <f t="shared" si="4"/>
        <v>0.22256799999999999</v>
      </c>
      <c r="F31">
        <f t="shared" si="3"/>
        <v>0.18146294344924482</v>
      </c>
      <c r="G31" s="2"/>
      <c r="H31" s="2"/>
      <c r="I31" s="2">
        <f t="shared" si="5"/>
        <v>0.48713299999999998</v>
      </c>
      <c r="J31" s="2">
        <f t="shared" si="6"/>
        <v>0.22900041799544421</v>
      </c>
      <c r="K31">
        <f t="shared" si="7"/>
        <v>0.18750000000000003</v>
      </c>
      <c r="L31" s="2"/>
      <c r="M31" s="2"/>
      <c r="Q31" s="3"/>
      <c r="S31" s="3"/>
    </row>
    <row r="32" spans="1:19">
      <c r="A32">
        <f t="shared" si="0"/>
        <v>5</v>
      </c>
      <c r="C32" s="2">
        <f t="shared" si="8"/>
        <v>0.33961187214611871</v>
      </c>
      <c r="D32" s="2">
        <f t="shared" si="2"/>
        <v>0.42789022310354202</v>
      </c>
      <c r="E32" s="2">
        <f t="shared" si="4"/>
        <v>0.22256799999999999</v>
      </c>
      <c r="F32">
        <f t="shared" si="3"/>
        <v>0.18146294344924482</v>
      </c>
      <c r="G32" s="2"/>
      <c r="H32" s="2"/>
      <c r="I32" s="2">
        <f t="shared" si="5"/>
        <v>0.48713299999999998</v>
      </c>
      <c r="J32" s="2">
        <f t="shared" si="6"/>
        <v>0.22900041799544421</v>
      </c>
      <c r="K32">
        <f t="shared" si="7"/>
        <v>0.18750000000000003</v>
      </c>
      <c r="L32" s="2"/>
      <c r="M32" s="2"/>
      <c r="Q32" s="3"/>
      <c r="S32" s="3"/>
    </row>
    <row r="33" spans="1:22">
      <c r="A33">
        <f t="shared" si="0"/>
        <v>6</v>
      </c>
      <c r="C33" s="2">
        <f t="shared" si="8"/>
        <v>0.33961187214611871</v>
      </c>
      <c r="D33" s="2">
        <f t="shared" si="2"/>
        <v>0.42789022310354202</v>
      </c>
      <c r="E33" s="2">
        <f t="shared" si="4"/>
        <v>0.22256799999999999</v>
      </c>
      <c r="F33">
        <f t="shared" si="3"/>
        <v>0.18226788432267885</v>
      </c>
      <c r="G33" s="2"/>
      <c r="H33" s="2"/>
      <c r="I33" s="2">
        <f t="shared" si="5"/>
        <v>0.48713299999999998</v>
      </c>
      <c r="J33" s="2">
        <f t="shared" si="6"/>
        <v>0.22900041799544421</v>
      </c>
      <c r="K33">
        <f t="shared" si="7"/>
        <v>0.18750000000000003</v>
      </c>
      <c r="L33" s="2"/>
      <c r="M33" s="2"/>
      <c r="Q33" s="3"/>
      <c r="S33" s="3"/>
    </row>
    <row r="34" spans="1:22">
      <c r="A34">
        <f t="shared" si="0"/>
        <v>7</v>
      </c>
      <c r="C34" s="2">
        <f t="shared" si="8"/>
        <v>0.33961187214611871</v>
      </c>
      <c r="D34" s="2">
        <f t="shared" si="2"/>
        <v>0.42789022310354202</v>
      </c>
      <c r="E34" s="2">
        <f t="shared" si="4"/>
        <v>0.22256799999999999</v>
      </c>
      <c r="F34">
        <f t="shared" si="3"/>
        <v>0.18226788432267885</v>
      </c>
      <c r="G34" s="2"/>
      <c r="H34" s="2"/>
      <c r="I34" s="2">
        <f t="shared" si="5"/>
        <v>0.48713299999999998</v>
      </c>
      <c r="J34" s="2">
        <f t="shared" si="6"/>
        <v>0.22900041799544421</v>
      </c>
      <c r="K34">
        <f t="shared" si="7"/>
        <v>0.18750000000000003</v>
      </c>
      <c r="L34" s="2"/>
      <c r="M34" s="2"/>
      <c r="Q34" s="3"/>
      <c r="S34" s="3"/>
    </row>
    <row r="35" spans="1:22">
      <c r="A35">
        <f t="shared" si="0"/>
        <v>8</v>
      </c>
      <c r="C35" s="2">
        <f t="shared" si="8"/>
        <v>0.33961187214611871</v>
      </c>
      <c r="D35" s="2">
        <f t="shared" si="2"/>
        <v>0.42789022310354202</v>
      </c>
      <c r="E35" s="2">
        <f t="shared" si="4"/>
        <v>0.22256799999999999</v>
      </c>
      <c r="F35">
        <f t="shared" si="3"/>
        <v>0.18225134008338295</v>
      </c>
      <c r="G35" s="2"/>
      <c r="H35" s="2"/>
      <c r="I35" s="2">
        <f t="shared" si="5"/>
        <v>0.48713299999999998</v>
      </c>
      <c r="J35" s="2">
        <f t="shared" si="6"/>
        <v>0.22900041799544421</v>
      </c>
      <c r="K35">
        <f t="shared" si="7"/>
        <v>0.18750000000000003</v>
      </c>
      <c r="L35" s="2"/>
      <c r="M35" s="2"/>
      <c r="Q35" s="3"/>
      <c r="S35" s="3"/>
    </row>
    <row r="36" spans="1:22">
      <c r="A36">
        <f t="shared" si="0"/>
        <v>9</v>
      </c>
      <c r="C36" s="2">
        <f t="shared" si="8"/>
        <v>0.33961187214611871</v>
      </c>
      <c r="D36" s="2">
        <f t="shared" si="2"/>
        <v>0.42789022310354202</v>
      </c>
      <c r="E36" s="2">
        <f t="shared" si="4"/>
        <v>0.22256799999999999</v>
      </c>
      <c r="F36">
        <f t="shared" si="3"/>
        <v>0.1822203196347032</v>
      </c>
      <c r="G36" s="2"/>
      <c r="H36" s="2"/>
      <c r="I36" s="2">
        <f t="shared" si="5"/>
        <v>0.48713299999999998</v>
      </c>
      <c r="J36" s="2">
        <f t="shared" si="6"/>
        <v>0.22900041799544421</v>
      </c>
      <c r="K36">
        <f t="shared" si="7"/>
        <v>0.18750000000000003</v>
      </c>
      <c r="L36" s="2"/>
      <c r="M36" s="2"/>
      <c r="Q36" s="3"/>
      <c r="S36" s="3"/>
    </row>
    <row r="37" spans="1:22" s="2" customFormat="1">
      <c r="A37">
        <f t="shared" si="0"/>
        <v>10</v>
      </c>
      <c r="C37" s="2">
        <f t="shared" si="8"/>
        <v>0.33961187214611871</v>
      </c>
      <c r="D37" s="2">
        <f t="shared" si="2"/>
        <v>0.42789022310354202</v>
      </c>
      <c r="E37" s="2">
        <f t="shared" si="4"/>
        <v>0.22256799999999999</v>
      </c>
      <c r="F37">
        <f t="shared" si="3"/>
        <v>0.18146294344924482</v>
      </c>
      <c r="I37" s="2">
        <f t="shared" si="5"/>
        <v>0.48713299999999998</v>
      </c>
      <c r="J37" s="2">
        <f t="shared" si="6"/>
        <v>0.22900041799544421</v>
      </c>
      <c r="K37">
        <f t="shared" si="7"/>
        <v>0.18762439995316707</v>
      </c>
      <c r="Q37" s="4"/>
      <c r="S37" s="4"/>
    </row>
    <row r="38" spans="1:22">
      <c r="A38">
        <f t="shared" si="0"/>
        <v>11</v>
      </c>
      <c r="C38" s="2">
        <f t="shared" si="8"/>
        <v>0.33961187214611871</v>
      </c>
      <c r="D38" s="2">
        <f t="shared" si="2"/>
        <v>0.42789022310354202</v>
      </c>
      <c r="E38" s="2">
        <f t="shared" si="4"/>
        <v>0.22256799999999999</v>
      </c>
      <c r="F38">
        <f t="shared" si="3"/>
        <v>0.18146294344924482</v>
      </c>
      <c r="G38" s="2"/>
      <c r="H38" s="2"/>
      <c r="I38" s="2">
        <f t="shared" si="5"/>
        <v>0.48713299999999998</v>
      </c>
      <c r="J38" s="2">
        <f t="shared" si="6"/>
        <v>0.22900041799544421</v>
      </c>
      <c r="K38">
        <f t="shared" si="7"/>
        <v>0.18762439995316707</v>
      </c>
      <c r="L38" s="2"/>
      <c r="M38" s="2"/>
      <c r="P38" s="2"/>
      <c r="Q38" s="3"/>
      <c r="S38" s="3"/>
      <c r="T38" s="2"/>
    </row>
    <row r="39" spans="1:22">
      <c r="A39">
        <f t="shared" si="0"/>
        <v>12</v>
      </c>
      <c r="C39" s="2">
        <f t="shared" si="8"/>
        <v>0.33961187214611871</v>
      </c>
      <c r="D39" s="2">
        <f t="shared" si="2"/>
        <v>0.42789022310354202</v>
      </c>
      <c r="E39" s="2">
        <f t="shared" si="4"/>
        <v>0.22256799999999999</v>
      </c>
      <c r="F39">
        <f t="shared" si="3"/>
        <v>0.18146294344924482</v>
      </c>
      <c r="G39" s="2"/>
      <c r="H39" s="2"/>
      <c r="I39" s="2">
        <f t="shared" si="5"/>
        <v>0.48713299999999998</v>
      </c>
      <c r="J39" s="2">
        <f t="shared" si="6"/>
        <v>0.22900041799544421</v>
      </c>
      <c r="K39">
        <f t="shared" si="7"/>
        <v>0.18762439995316707</v>
      </c>
      <c r="L39" s="2"/>
      <c r="M39" s="2"/>
      <c r="Q39" s="3"/>
      <c r="S39" s="3"/>
    </row>
    <row r="40" spans="1:22" s="2" customFormat="1">
      <c r="A40">
        <f t="shared" si="0"/>
        <v>13</v>
      </c>
      <c r="C40" s="2">
        <f t="shared" si="8"/>
        <v>0.33961187214611871</v>
      </c>
      <c r="D40" s="2">
        <f t="shared" si="2"/>
        <v>0.42789022310354202</v>
      </c>
      <c r="E40" s="2">
        <f t="shared" si="4"/>
        <v>0.22256799999999999</v>
      </c>
      <c r="F40">
        <f t="shared" si="3"/>
        <v>0.18226788432267885</v>
      </c>
      <c r="I40" s="2">
        <f t="shared" si="5"/>
        <v>0.48713299999999998</v>
      </c>
      <c r="J40" s="2">
        <f t="shared" si="6"/>
        <v>0.22900041799544421</v>
      </c>
      <c r="K40">
        <f t="shared" si="7"/>
        <v>0.18762439995316707</v>
      </c>
      <c r="Q40" s="4"/>
      <c r="S40" s="4"/>
    </row>
    <row r="41" spans="1:22">
      <c r="A41">
        <f t="shared" si="0"/>
        <v>14</v>
      </c>
      <c r="C41" s="2">
        <f t="shared" si="8"/>
        <v>0.33961187214611871</v>
      </c>
      <c r="D41" s="2">
        <f t="shared" si="2"/>
        <v>0.42789022310354202</v>
      </c>
      <c r="E41" s="2">
        <f t="shared" si="4"/>
        <v>0.22256799999999999</v>
      </c>
      <c r="F41">
        <f t="shared" si="3"/>
        <v>0.18226788432267885</v>
      </c>
      <c r="G41" s="2"/>
      <c r="H41" s="2"/>
      <c r="I41" s="2">
        <f t="shared" si="5"/>
        <v>0.48713299999999998</v>
      </c>
      <c r="J41" s="2">
        <f t="shared" si="6"/>
        <v>0.22900041799544421</v>
      </c>
      <c r="K41">
        <f t="shared" si="7"/>
        <v>0.18762439995316707</v>
      </c>
      <c r="L41" s="2"/>
      <c r="M41" s="2"/>
      <c r="Q41" s="3"/>
      <c r="S41" s="3"/>
    </row>
    <row r="42" spans="1:22">
      <c r="A42">
        <f t="shared" si="0"/>
        <v>15</v>
      </c>
      <c r="C42" s="2">
        <f t="shared" si="8"/>
        <v>0.33961187214611871</v>
      </c>
      <c r="D42" s="2">
        <f t="shared" si="2"/>
        <v>0.42789022310354202</v>
      </c>
      <c r="E42" s="2">
        <f t="shared" si="4"/>
        <v>0.22256799999999999</v>
      </c>
      <c r="F42">
        <f t="shared" si="3"/>
        <v>0.18226788432267885</v>
      </c>
      <c r="G42" s="2"/>
      <c r="H42" s="2"/>
      <c r="I42" s="2">
        <f t="shared" si="5"/>
        <v>0.48713299999999998</v>
      </c>
      <c r="J42" s="2">
        <f t="shared" si="6"/>
        <v>0.22900041799544421</v>
      </c>
      <c r="K42">
        <f t="shared" si="7"/>
        <v>0.18762439995316707</v>
      </c>
      <c r="L42" s="2"/>
      <c r="M42" s="2"/>
      <c r="Q42" s="3"/>
      <c r="S42" s="3"/>
    </row>
    <row r="43" spans="1:22" s="2" customFormat="1">
      <c r="A43">
        <f t="shared" si="0"/>
        <v>16</v>
      </c>
      <c r="C43" s="2">
        <f t="shared" si="8"/>
        <v>0.33961187214611871</v>
      </c>
      <c r="D43" s="2">
        <f t="shared" si="2"/>
        <v>0.42789022310354202</v>
      </c>
      <c r="E43" s="2">
        <f t="shared" si="4"/>
        <v>0.22256799999999999</v>
      </c>
      <c r="F43">
        <f t="shared" si="3"/>
        <v>0.18225134008338295</v>
      </c>
      <c r="I43" s="2">
        <f t="shared" si="5"/>
        <v>0.48713299999999998</v>
      </c>
      <c r="J43" s="2">
        <f t="shared" si="6"/>
        <v>0.22900041799544421</v>
      </c>
      <c r="K43">
        <f t="shared" si="7"/>
        <v>0.18762439995316707</v>
      </c>
      <c r="Q43" s="4"/>
      <c r="S43" s="4"/>
    </row>
    <row r="44" spans="1:22">
      <c r="A44">
        <f t="shared" si="0"/>
        <v>17</v>
      </c>
      <c r="C44" s="2">
        <f t="shared" si="8"/>
        <v>0.33961187214611871</v>
      </c>
      <c r="D44" s="2">
        <f t="shared" si="2"/>
        <v>0.42789022310354202</v>
      </c>
      <c r="E44" s="2">
        <f t="shared" si="4"/>
        <v>0.22256799999999999</v>
      </c>
      <c r="F44">
        <f t="shared" si="3"/>
        <v>0.18225134008338295</v>
      </c>
      <c r="G44" s="2"/>
      <c r="H44" s="2"/>
      <c r="I44" s="2">
        <f t="shared" si="5"/>
        <v>0.48713299999999998</v>
      </c>
      <c r="J44" s="2">
        <f t="shared" si="6"/>
        <v>0.22900041799544421</v>
      </c>
      <c r="K44">
        <f t="shared" si="7"/>
        <v>0.18762439995316707</v>
      </c>
      <c r="L44" s="2"/>
      <c r="M44" s="2"/>
      <c r="P44" s="2"/>
      <c r="Q44" s="3"/>
      <c r="S44" s="3"/>
      <c r="T44" s="2"/>
    </row>
    <row r="45" spans="1:22">
      <c r="A45">
        <f t="shared" si="0"/>
        <v>18</v>
      </c>
      <c r="C45" s="2">
        <f t="shared" si="8"/>
        <v>0.33961187214611871</v>
      </c>
      <c r="D45" s="2">
        <f t="shared" si="2"/>
        <v>0.42789022310354202</v>
      </c>
      <c r="E45" s="2">
        <f>E44</f>
        <v>0.22256799999999999</v>
      </c>
      <c r="F45">
        <f t="shared" si="3"/>
        <v>0.18225134008338295</v>
      </c>
      <c r="G45" s="2"/>
      <c r="H45" s="2"/>
      <c r="I45" s="2">
        <f t="shared" si="5"/>
        <v>0.48713299999999998</v>
      </c>
      <c r="J45" s="2">
        <f t="shared" si="6"/>
        <v>0.22900041799544421</v>
      </c>
      <c r="K45">
        <f t="shared" si="7"/>
        <v>0.18762439995316707</v>
      </c>
      <c r="L45" s="2"/>
      <c r="M45" s="2"/>
      <c r="P45" s="2"/>
      <c r="Q45" s="3"/>
      <c r="S45" s="3"/>
      <c r="T45" s="2"/>
    </row>
    <row r="46" spans="1:22">
      <c r="G46" s="2"/>
      <c r="H46" s="2"/>
      <c r="L46" s="2"/>
      <c r="M46" s="2"/>
      <c r="P46" s="2"/>
      <c r="Q46" s="3">
        <f t="array" ref="Q46">SQRT(AVERAGE(Q50:Q67^2))</f>
        <v>2.1028097562282183E-3</v>
      </c>
      <c r="S46" s="3">
        <f t="array" ref="S46">SQRT(AVERAGE(S50:S67^2))</f>
        <v>4.7215327772296076E-2</v>
      </c>
      <c r="T46" s="2"/>
    </row>
    <row r="47" spans="1:22">
      <c r="A47" t="s">
        <v>43</v>
      </c>
      <c r="G47" s="2"/>
      <c r="H47" s="2"/>
      <c r="L47" s="2"/>
      <c r="M47" s="2"/>
      <c r="P47" s="2"/>
      <c r="Q47" s="3"/>
      <c r="S47" s="3"/>
      <c r="T47" s="2"/>
    </row>
    <row r="48" spans="1:22">
      <c r="A48" t="s">
        <v>102</v>
      </c>
      <c r="C48" t="s">
        <v>35</v>
      </c>
      <c r="G48" s="2"/>
      <c r="H48" s="2"/>
      <c r="I48" t="s">
        <v>34</v>
      </c>
      <c r="L48" s="2"/>
      <c r="M48" s="2"/>
      <c r="P48" s="2"/>
      <c r="Q48" t="s">
        <v>32</v>
      </c>
      <c r="S48" t="s">
        <v>32</v>
      </c>
      <c r="T48" t="s">
        <v>104</v>
      </c>
      <c r="V48" t="s">
        <v>103</v>
      </c>
    </row>
    <row r="49" spans="1:24">
      <c r="A49" t="str">
        <f t="shared" ref="A49:M49" si="9">A3</f>
        <v>Scenario</v>
      </c>
      <c r="B49" t="str">
        <f t="shared" si="9"/>
        <v>Description</v>
      </c>
      <c r="C49" t="str">
        <f t="shared" si="9"/>
        <v>Oahu_Wind</v>
      </c>
      <c r="D49" t="str">
        <f t="shared" si="9"/>
        <v>Oahu_Gen-Tie_Wind</v>
      </c>
      <c r="E49" t="str">
        <f t="shared" si="9"/>
        <v>Oahu_Central_PV</v>
      </c>
      <c r="F49" t="str">
        <f t="shared" si="9"/>
        <v>Oahu_Distributed_PV</v>
      </c>
      <c r="G49" t="str">
        <f t="shared" si="9"/>
        <v>Oahu_Biodiesel</v>
      </c>
      <c r="H49" t="str">
        <f t="shared" si="9"/>
        <v>Oahu_Firm_RE</v>
      </c>
      <c r="I49" t="str">
        <f t="shared" si="9"/>
        <v>Maui_Wind</v>
      </c>
      <c r="J49" t="str">
        <f t="shared" si="9"/>
        <v>Maui_Central_PV</v>
      </c>
      <c r="K49" t="str">
        <f t="shared" si="9"/>
        <v>Maui_Distributed_PV</v>
      </c>
      <c r="L49" t="str">
        <f t="shared" si="9"/>
        <v>Maui_Biodiesel</v>
      </c>
      <c r="M49" t="str">
        <f t="shared" si="9"/>
        <v>Maui_Firm_RE</v>
      </c>
      <c r="O49" t="s">
        <v>38</v>
      </c>
      <c r="P49" t="str">
        <f>T49</f>
        <v>W/S GWh available</v>
      </c>
      <c r="R49" t="str">
        <f>W49</f>
        <v>pen avail (W/S/F/B)</v>
      </c>
      <c r="T49" t="s">
        <v>37</v>
      </c>
      <c r="U49" t="s">
        <v>40</v>
      </c>
      <c r="V49" t="s">
        <v>33</v>
      </c>
      <c r="W49" t="s">
        <v>39</v>
      </c>
    </row>
    <row r="50" spans="1:24">
      <c r="A50">
        <f t="shared" ref="A50:A67" si="10">A4</f>
        <v>1</v>
      </c>
      <c r="C50" s="2">
        <v>297.5</v>
      </c>
      <c r="D50">
        <f t="shared" ref="D50:E67" si="11">D$28*D4*8.76</f>
        <v>0</v>
      </c>
      <c r="E50">
        <f t="shared" si="11"/>
        <v>21.446652480000001</v>
      </c>
      <c r="F50" s="2">
        <v>351.2</v>
      </c>
      <c r="G50" s="2">
        <v>12.5</v>
      </c>
      <c r="H50" s="2">
        <v>597.1</v>
      </c>
      <c r="I50">
        <f t="shared" ref="I50:J67" si="12">I$28*I4*8.76</f>
        <v>307.24452575999993</v>
      </c>
      <c r="J50">
        <f t="shared" si="12"/>
        <v>0</v>
      </c>
      <c r="K50" s="2">
        <v>65.7</v>
      </c>
      <c r="L50" s="2">
        <v>0</v>
      </c>
      <c r="M50" s="2">
        <v>96.6</v>
      </c>
      <c r="O50">
        <v>8941</v>
      </c>
      <c r="P50">
        <f t="shared" ref="P50:P67" si="13">SUM(C50:F50,I50:K50)</f>
        <v>1043.0911782400001</v>
      </c>
      <c r="Q50" s="3">
        <f>P50/T50-1</f>
        <v>-3.2351749341040792E-3</v>
      </c>
      <c r="R50">
        <f t="shared" ref="R50:R67" si="14">SUM(C50:M50)/O50</f>
        <v>0.19564826957163631</v>
      </c>
      <c r="S50" s="3">
        <f t="shared" ref="S50:S67" si="15">R50/W50-1</f>
        <v>2.1867628496553326E-2</v>
      </c>
      <c r="T50" s="5">
        <v>1046.47671347255</v>
      </c>
      <c r="U50">
        <v>0.184377727352</v>
      </c>
      <c r="V50">
        <v>0.99684680969100004</v>
      </c>
      <c r="W50">
        <v>0.19146146146099999</v>
      </c>
    </row>
    <row r="51" spans="1:24" s="5" customFormat="1">
      <c r="A51" s="5">
        <f t="shared" si="10"/>
        <v>2</v>
      </c>
      <c r="C51" s="5">
        <f t="shared" ref="C51:C67" si="16">C$28*C5*8.76</f>
        <v>297.49999999999994</v>
      </c>
      <c r="D51" s="5">
        <f t="shared" si="11"/>
        <v>0</v>
      </c>
      <c r="E51" s="5">
        <f t="shared" si="11"/>
        <v>21.446652480000001</v>
      </c>
      <c r="F51" s="2">
        <v>351.2</v>
      </c>
      <c r="G51" s="2">
        <v>135.4</v>
      </c>
      <c r="H51" s="2">
        <v>597.1</v>
      </c>
      <c r="I51" s="5">
        <f t="shared" si="12"/>
        <v>307.24452575999993</v>
      </c>
      <c r="J51" s="5">
        <f t="shared" si="12"/>
        <v>0</v>
      </c>
      <c r="K51" s="2">
        <v>65.7</v>
      </c>
      <c r="L51" s="2">
        <v>0.4</v>
      </c>
      <c r="M51" s="2">
        <v>0</v>
      </c>
      <c r="O51" s="5">
        <v>8937.2000000000007</v>
      </c>
      <c r="P51" s="5">
        <f t="shared" si="13"/>
        <v>1043.0911782399999</v>
      </c>
      <c r="Q51" s="3">
        <f t="shared" ref="Q51:Q67" si="17">P51/T51-1</f>
        <v>-3.2351749341041902E-3</v>
      </c>
      <c r="R51" s="5">
        <f t="shared" si="14"/>
        <v>0.19871896995031998</v>
      </c>
      <c r="S51" s="6">
        <f t="shared" si="15"/>
        <v>9.799505527246577E-2</v>
      </c>
      <c r="T51" s="5">
        <v>1046.47671347255</v>
      </c>
      <c r="U51" s="5">
        <v>0.198261975413</v>
      </c>
      <c r="V51" s="5">
        <v>2.001500483664</v>
      </c>
      <c r="W51" s="5">
        <v>0.180983483483</v>
      </c>
      <c r="X51"/>
    </row>
    <row r="52" spans="1:24">
      <c r="A52">
        <f t="shared" si="10"/>
        <v>3</v>
      </c>
      <c r="C52">
        <f t="shared" si="16"/>
        <v>297.49999999999994</v>
      </c>
      <c r="D52">
        <f t="shared" si="11"/>
        <v>0</v>
      </c>
      <c r="E52">
        <f t="shared" si="11"/>
        <v>389.93913599999996</v>
      </c>
      <c r="F52" s="2">
        <v>413.3</v>
      </c>
      <c r="G52" s="2">
        <v>102.5</v>
      </c>
      <c r="H52" s="2">
        <v>597.1</v>
      </c>
      <c r="I52">
        <f t="shared" si="12"/>
        <v>307.24452575999993</v>
      </c>
      <c r="J52">
        <f t="shared" si="12"/>
        <v>0</v>
      </c>
      <c r="K52" s="2">
        <v>65.7</v>
      </c>
      <c r="L52" s="2">
        <v>0.4</v>
      </c>
      <c r="M52" s="2">
        <v>0</v>
      </c>
      <c r="O52">
        <v>8937.4</v>
      </c>
      <c r="P52">
        <f t="shared" si="13"/>
        <v>1473.6836617599999</v>
      </c>
      <c r="Q52" s="3">
        <f t="shared" si="17"/>
        <v>6.5207785649779026E-4</v>
      </c>
      <c r="R52">
        <f t="shared" si="14"/>
        <v>0.24321208201042807</v>
      </c>
      <c r="S52" s="3">
        <f t="shared" si="15"/>
        <v>6.9464076713405154E-2</v>
      </c>
      <c r="T52" s="5">
        <v>1472.7233314867899</v>
      </c>
      <c r="U52">
        <v>0.24206169114500001</v>
      </c>
      <c r="V52">
        <v>3.0075849036800002</v>
      </c>
      <c r="W52">
        <v>0.22741491491499999</v>
      </c>
    </row>
    <row r="53" spans="1:24">
      <c r="A53">
        <f t="shared" si="10"/>
        <v>4</v>
      </c>
      <c r="C53">
        <f t="shared" si="16"/>
        <v>594.99999999999989</v>
      </c>
      <c r="D53">
        <f t="shared" si="11"/>
        <v>0</v>
      </c>
      <c r="E53">
        <f t="shared" si="11"/>
        <v>389.93913599999996</v>
      </c>
      <c r="F53" s="2">
        <v>413.3</v>
      </c>
      <c r="G53" s="2">
        <v>90.9</v>
      </c>
      <c r="H53" s="2">
        <v>597.1</v>
      </c>
      <c r="I53">
        <f t="shared" si="12"/>
        <v>307.24452575999993</v>
      </c>
      <c r="J53">
        <f t="shared" si="12"/>
        <v>0</v>
      </c>
      <c r="K53" s="2">
        <v>65.7</v>
      </c>
      <c r="L53" s="2">
        <v>0.4</v>
      </c>
      <c r="M53" s="2">
        <v>0</v>
      </c>
      <c r="O53">
        <v>8937.7000000000007</v>
      </c>
      <c r="P53">
        <f t="shared" si="13"/>
        <v>1771.1836617599999</v>
      </c>
      <c r="Q53" s="3">
        <f t="shared" si="17"/>
        <v>-9.0880398054493661E-4</v>
      </c>
      <c r="R53">
        <f t="shared" si="14"/>
        <v>0.27519201380220859</v>
      </c>
      <c r="S53" s="3">
        <f t="shared" si="15"/>
        <v>5.6986185004639145E-2</v>
      </c>
      <c r="T53" s="5">
        <v>1772.7947847170401</v>
      </c>
      <c r="U53">
        <v>0.272702790315</v>
      </c>
      <c r="V53">
        <v>4.0151270649460002</v>
      </c>
      <c r="W53">
        <v>0.26035535535499998</v>
      </c>
    </row>
    <row r="54" spans="1:24">
      <c r="A54">
        <f t="shared" si="10"/>
        <v>5</v>
      </c>
      <c r="C54">
        <f t="shared" si="16"/>
        <v>892.5</v>
      </c>
      <c r="D54">
        <f t="shared" si="11"/>
        <v>0</v>
      </c>
      <c r="E54">
        <f t="shared" si="11"/>
        <v>389.93913599999996</v>
      </c>
      <c r="F54" s="2">
        <v>413.3</v>
      </c>
      <c r="G54" s="2">
        <v>87.9</v>
      </c>
      <c r="H54" s="2">
        <v>597.1</v>
      </c>
      <c r="I54">
        <f t="shared" si="12"/>
        <v>307.24452575999993</v>
      </c>
      <c r="J54">
        <f t="shared" si="12"/>
        <v>0</v>
      </c>
      <c r="K54" s="2">
        <v>65.7</v>
      </c>
      <c r="L54" s="2">
        <v>0.4</v>
      </c>
      <c r="M54" s="2">
        <v>0</v>
      </c>
      <c r="O54">
        <v>8937.5</v>
      </c>
      <c r="P54">
        <f t="shared" si="13"/>
        <v>2068.6836617599997</v>
      </c>
      <c r="Q54" s="3">
        <f t="shared" si="17"/>
        <v>-3.4807558892069324E-5</v>
      </c>
      <c r="R54">
        <f t="shared" si="14"/>
        <v>0.30814922089622376</v>
      </c>
      <c r="S54" s="3">
        <f t="shared" si="15"/>
        <v>5.3087161184816933E-2</v>
      </c>
      <c r="T54" s="5">
        <v>2068.7556700948198</v>
      </c>
      <c r="U54">
        <v>0.29975313567599998</v>
      </c>
      <c r="V54">
        <v>4.996051950779</v>
      </c>
      <c r="W54">
        <v>0.29261511511499999</v>
      </c>
    </row>
    <row r="55" spans="1:24">
      <c r="A55">
        <f t="shared" si="10"/>
        <v>6</v>
      </c>
      <c r="C55">
        <f t="shared" si="16"/>
        <v>297.49999999999994</v>
      </c>
      <c r="D55">
        <f t="shared" si="11"/>
        <v>0</v>
      </c>
      <c r="E55">
        <f t="shared" si="11"/>
        <v>584.90870399999994</v>
      </c>
      <c r="F55" s="2">
        <v>574.79999999999995</v>
      </c>
      <c r="G55" s="2">
        <v>79.3</v>
      </c>
      <c r="H55" s="2">
        <v>597.1</v>
      </c>
      <c r="I55">
        <f t="shared" si="12"/>
        <v>307.24452575999993</v>
      </c>
      <c r="J55">
        <f t="shared" si="12"/>
        <v>0</v>
      </c>
      <c r="K55" s="2">
        <v>65.7</v>
      </c>
      <c r="L55" s="2">
        <v>0.4</v>
      </c>
      <c r="M55" s="2">
        <v>0</v>
      </c>
      <c r="O55">
        <v>8937.6</v>
      </c>
      <c r="P55">
        <f t="shared" si="13"/>
        <v>1830.1532297599999</v>
      </c>
      <c r="Q55" s="3">
        <f t="shared" si="17"/>
        <v>-1.0353519481487439E-4</v>
      </c>
      <c r="R55">
        <f t="shared" si="14"/>
        <v>0.28049512506265656</v>
      </c>
      <c r="S55" s="3">
        <f t="shared" si="15"/>
        <v>5.2696426156545462E-2</v>
      </c>
      <c r="T55" s="5">
        <v>1830.34273465161</v>
      </c>
      <c r="U55">
        <v>0.27844799640899998</v>
      </c>
      <c r="V55">
        <v>6.00073261996</v>
      </c>
      <c r="W55">
        <v>0.26645395395400001</v>
      </c>
    </row>
    <row r="56" spans="1:24">
      <c r="A56">
        <f t="shared" si="10"/>
        <v>7</v>
      </c>
      <c r="C56">
        <f t="shared" si="16"/>
        <v>594.99999999999989</v>
      </c>
      <c r="D56">
        <f t="shared" si="11"/>
        <v>0</v>
      </c>
      <c r="E56">
        <f t="shared" si="11"/>
        <v>584.90870399999994</v>
      </c>
      <c r="F56" s="2">
        <v>574.79999999999995</v>
      </c>
      <c r="G56" s="2">
        <v>71.900000000000006</v>
      </c>
      <c r="H56" s="2">
        <v>597.1</v>
      </c>
      <c r="I56">
        <f t="shared" si="12"/>
        <v>307.24452575999993</v>
      </c>
      <c r="J56">
        <f t="shared" si="12"/>
        <v>0</v>
      </c>
      <c r="K56" s="2">
        <v>65.7</v>
      </c>
      <c r="L56" s="2">
        <v>0.4</v>
      </c>
      <c r="M56" s="2">
        <v>0</v>
      </c>
      <c r="O56">
        <v>8937.9</v>
      </c>
      <c r="P56">
        <f t="shared" si="13"/>
        <v>2127.6532297599997</v>
      </c>
      <c r="Q56" s="3">
        <f t="shared" si="17"/>
        <v>-3.3155789388183976E-4</v>
      </c>
      <c r="R56">
        <f t="shared" si="14"/>
        <v>0.31294299888788191</v>
      </c>
      <c r="S56" s="3">
        <f t="shared" si="15"/>
        <v>4.3578589297717185E-2</v>
      </c>
      <c r="T56" s="5">
        <v>2128.35890395562</v>
      </c>
      <c r="U56">
        <v>0.30908909557899999</v>
      </c>
      <c r="V56">
        <v>7.0009590797629997</v>
      </c>
      <c r="W56">
        <v>0.29987487487499997</v>
      </c>
    </row>
    <row r="57" spans="1:24">
      <c r="A57">
        <f t="shared" si="10"/>
        <v>8</v>
      </c>
      <c r="C57">
        <f t="shared" si="16"/>
        <v>594.99999999999989</v>
      </c>
      <c r="D57">
        <f t="shared" si="11"/>
        <v>0</v>
      </c>
      <c r="E57">
        <f t="shared" si="11"/>
        <v>779.87827199999992</v>
      </c>
      <c r="F57" s="2">
        <v>734.4</v>
      </c>
      <c r="G57" s="2">
        <v>71.2</v>
      </c>
      <c r="H57" s="2">
        <v>597.1</v>
      </c>
      <c r="I57">
        <f t="shared" si="12"/>
        <v>307.24452575999993</v>
      </c>
      <c r="J57">
        <f t="shared" si="12"/>
        <v>0</v>
      </c>
      <c r="K57" s="2">
        <v>65.7</v>
      </c>
      <c r="L57" s="2">
        <v>0.4</v>
      </c>
      <c r="M57" s="2">
        <v>0</v>
      </c>
      <c r="O57">
        <v>8937.6</v>
      </c>
      <c r="P57">
        <f t="shared" si="13"/>
        <v>2482.2227977599996</v>
      </c>
      <c r="Q57" s="3">
        <f t="shared" si="17"/>
        <v>3.4670248307160367E-3</v>
      </c>
      <c r="R57">
        <f t="shared" si="14"/>
        <v>0.35254685796634433</v>
      </c>
      <c r="S57" s="3">
        <f t="shared" si="15"/>
        <v>4.0532716177515082E-2</v>
      </c>
      <c r="T57" s="5">
        <v>2473.6466035630301</v>
      </c>
      <c r="U57">
        <v>0.342602797796</v>
      </c>
      <c r="V57">
        <v>8.0063146291529996</v>
      </c>
      <c r="W57">
        <v>0.338813813814</v>
      </c>
    </row>
    <row r="58" spans="1:24">
      <c r="A58">
        <f t="shared" si="10"/>
        <v>9</v>
      </c>
      <c r="C58">
        <f t="shared" si="16"/>
        <v>594.99999999999989</v>
      </c>
      <c r="D58">
        <f t="shared" si="11"/>
        <v>0</v>
      </c>
      <c r="E58">
        <f t="shared" si="11"/>
        <v>584.90870399999994</v>
      </c>
      <c r="F58" s="2">
        <v>893.9</v>
      </c>
      <c r="G58" s="2">
        <v>68.8</v>
      </c>
      <c r="H58" s="2">
        <v>597.1</v>
      </c>
      <c r="I58">
        <f t="shared" si="12"/>
        <v>307.24452575999993</v>
      </c>
      <c r="J58">
        <f t="shared" si="12"/>
        <v>0</v>
      </c>
      <c r="K58" s="2">
        <v>65.7</v>
      </c>
      <c r="L58" s="2">
        <v>0.4</v>
      </c>
      <c r="M58" s="2">
        <v>0</v>
      </c>
      <c r="O58">
        <v>8937.7999999999993</v>
      </c>
      <c r="P58">
        <f t="shared" si="13"/>
        <v>2446.7532297599996</v>
      </c>
      <c r="Q58" s="3">
        <f t="shared" si="17"/>
        <v>4.1457454620255074E-3</v>
      </c>
      <c r="R58">
        <f t="shared" si="14"/>
        <v>0.34830195683053994</v>
      </c>
      <c r="S58" s="3">
        <f t="shared" si="15"/>
        <v>3.9901539510804218E-2</v>
      </c>
      <c r="T58" s="5">
        <v>2436.65149289081</v>
      </c>
      <c r="U58">
        <v>0.33805450963799999</v>
      </c>
      <c r="V58">
        <v>9.0147746275039999</v>
      </c>
      <c r="W58">
        <v>0.334937437437</v>
      </c>
    </row>
    <row r="59" spans="1:24" s="5" customFormat="1">
      <c r="A59" s="5">
        <f t="shared" si="10"/>
        <v>10</v>
      </c>
      <c r="C59" s="5">
        <f t="shared" si="16"/>
        <v>297.49999999999994</v>
      </c>
      <c r="D59" s="5">
        <f t="shared" si="11"/>
        <v>749.66367087740571</v>
      </c>
      <c r="E59" s="5">
        <f t="shared" si="11"/>
        <v>389.93913599999996</v>
      </c>
      <c r="F59" s="2">
        <v>413.3</v>
      </c>
      <c r="G59" s="2">
        <v>87.3</v>
      </c>
      <c r="H59" s="2">
        <v>597.1</v>
      </c>
      <c r="I59" s="5">
        <f t="shared" si="12"/>
        <v>307.24452575999993</v>
      </c>
      <c r="J59" s="5">
        <f t="shared" si="12"/>
        <v>0</v>
      </c>
      <c r="K59" s="2">
        <v>128.19999999999999</v>
      </c>
      <c r="L59" s="2">
        <v>0.4</v>
      </c>
      <c r="M59" s="2">
        <v>0</v>
      </c>
      <c r="O59" s="5">
        <v>8962.4</v>
      </c>
      <c r="P59" s="2">
        <f t="shared" si="13"/>
        <v>2285.8473326374051</v>
      </c>
      <c r="Q59" s="3">
        <f t="shared" si="17"/>
        <v>-2.1298927846838955E-3</v>
      </c>
      <c r="R59" s="5">
        <f t="shared" si="14"/>
        <v>0.33145667819305158</v>
      </c>
      <c r="S59" s="6">
        <f t="shared" si="15"/>
        <v>5.5934504248455363E-2</v>
      </c>
      <c r="T59" s="5">
        <v>2290.72633412815</v>
      </c>
      <c r="U59">
        <v>0.32895793332200002</v>
      </c>
      <c r="V59" s="5">
        <v>10.021263975644001</v>
      </c>
      <c r="W59" s="5">
        <v>0.31389889889900002</v>
      </c>
      <c r="X59"/>
    </row>
    <row r="60" spans="1:24">
      <c r="A60">
        <f t="shared" si="10"/>
        <v>11</v>
      </c>
      <c r="C60">
        <f t="shared" si="16"/>
        <v>297.49999999999994</v>
      </c>
      <c r="D60">
        <f t="shared" si="11"/>
        <v>0</v>
      </c>
      <c r="E60">
        <f t="shared" si="11"/>
        <v>389.93913599999996</v>
      </c>
      <c r="F60" s="2">
        <v>413.3</v>
      </c>
      <c r="G60" s="2">
        <v>56.4</v>
      </c>
      <c r="H60" s="2">
        <v>597.1</v>
      </c>
      <c r="I60">
        <f t="shared" si="12"/>
        <v>1160.7015417599998</v>
      </c>
      <c r="J60">
        <f t="shared" si="12"/>
        <v>0</v>
      </c>
      <c r="K60" s="2">
        <v>128.19999999999999</v>
      </c>
      <c r="L60" s="2">
        <v>2.2999999999999998</v>
      </c>
      <c r="M60" s="2">
        <v>0</v>
      </c>
      <c r="O60">
        <v>8973.2999999999993</v>
      </c>
      <c r="P60" s="5">
        <f t="shared" si="13"/>
        <v>2389.6406777599996</v>
      </c>
      <c r="Q60" s="3">
        <f t="shared" si="17"/>
        <v>9.7012321764222698E-4</v>
      </c>
      <c r="R60">
        <f t="shared" si="14"/>
        <v>0.33938915201319469</v>
      </c>
      <c r="S60" s="3">
        <f t="shared" si="15"/>
        <v>3.1724574492664637E-2</v>
      </c>
      <c r="T60" s="5">
        <v>2387.3246786611799</v>
      </c>
      <c r="U60">
        <v>0.33685759170099999</v>
      </c>
      <c r="V60">
        <v>11.023719227337001</v>
      </c>
      <c r="W60">
        <v>0.32895325012499999</v>
      </c>
    </row>
    <row r="61" spans="1:24">
      <c r="A61">
        <f t="shared" si="10"/>
        <v>12</v>
      </c>
      <c r="C61">
        <f t="shared" si="16"/>
        <v>297.49999999999994</v>
      </c>
      <c r="D61">
        <f t="shared" si="11"/>
        <v>749.66367087740571</v>
      </c>
      <c r="E61">
        <f t="shared" si="11"/>
        <v>389.93913599999996</v>
      </c>
      <c r="F61" s="2">
        <v>413.3</v>
      </c>
      <c r="G61" s="2">
        <v>38.700000000000003</v>
      </c>
      <c r="H61" s="2">
        <v>597.1</v>
      </c>
      <c r="I61">
        <f t="shared" si="12"/>
        <v>1160.7015417599998</v>
      </c>
      <c r="J61">
        <f t="shared" si="12"/>
        <v>200.60436616400912</v>
      </c>
      <c r="K61" s="2">
        <v>128.19999999999999</v>
      </c>
      <c r="L61" s="2">
        <v>1.6</v>
      </c>
      <c r="M61" s="2">
        <v>0</v>
      </c>
      <c r="O61">
        <v>8986.4</v>
      </c>
      <c r="P61">
        <f t="shared" si="13"/>
        <v>3339.9087148014146</v>
      </c>
      <c r="Q61" s="3">
        <f t="shared" si="17"/>
        <v>-2.1611144143339756E-3</v>
      </c>
      <c r="R61">
        <f t="shared" si="14"/>
        <v>0.4425919962166624</v>
      </c>
      <c r="S61" s="3">
        <f t="shared" si="15"/>
        <v>2.6823330714834004E-2</v>
      </c>
      <c r="T61" s="5">
        <v>3347.1422722127199</v>
      </c>
      <c r="U61">
        <v>0.42566890257599999</v>
      </c>
      <c r="V61">
        <v>12.002133558793</v>
      </c>
      <c r="W61">
        <v>0.43103032720200002</v>
      </c>
    </row>
    <row r="62" spans="1:24" s="5" customFormat="1">
      <c r="A62" s="5">
        <f t="shared" si="10"/>
        <v>13</v>
      </c>
      <c r="C62" s="5">
        <f t="shared" si="16"/>
        <v>297.49999999999994</v>
      </c>
      <c r="D62" s="5">
        <f t="shared" si="11"/>
        <v>749.66367087740571</v>
      </c>
      <c r="E62" s="5">
        <f t="shared" si="11"/>
        <v>584.90870399999994</v>
      </c>
      <c r="F62" s="2">
        <v>574.79999999999995</v>
      </c>
      <c r="G62" s="2">
        <v>75.3</v>
      </c>
      <c r="H62" s="2">
        <v>597.1</v>
      </c>
      <c r="I62" s="5">
        <f t="shared" si="12"/>
        <v>307.24452575999993</v>
      </c>
      <c r="J62" s="5">
        <f t="shared" si="12"/>
        <v>0</v>
      </c>
      <c r="K62" s="2">
        <v>128.19999999999999</v>
      </c>
      <c r="L62" s="2">
        <v>0.4</v>
      </c>
      <c r="M62" s="2">
        <v>0</v>
      </c>
      <c r="O62" s="5">
        <v>8961.1</v>
      </c>
      <c r="P62" s="2">
        <f t="shared" si="13"/>
        <v>2642.3169006374051</v>
      </c>
      <c r="Q62" s="3">
        <f t="shared" si="17"/>
        <v>5.1856848920950327E-5</v>
      </c>
      <c r="R62" s="5">
        <f t="shared" si="14"/>
        <v>0.36994530812482901</v>
      </c>
      <c r="S62" s="6">
        <f t="shared" si="15"/>
        <v>4.6246456965514549E-2</v>
      </c>
      <c r="T62" s="5">
        <v>2642.1798855142601</v>
      </c>
      <c r="U62">
        <v>0.362950402713</v>
      </c>
      <c r="V62" s="5">
        <v>13.018017239440001</v>
      </c>
      <c r="W62" s="5">
        <v>0.35359288976499997</v>
      </c>
      <c r="X62"/>
    </row>
    <row r="63" spans="1:24">
      <c r="A63">
        <f t="shared" si="10"/>
        <v>14</v>
      </c>
      <c r="C63">
        <f t="shared" si="16"/>
        <v>297.49999999999994</v>
      </c>
      <c r="D63">
        <f t="shared" si="11"/>
        <v>0</v>
      </c>
      <c r="E63">
        <f t="shared" si="11"/>
        <v>584.90870399999994</v>
      </c>
      <c r="F63" s="2">
        <v>574.79999999999995</v>
      </c>
      <c r="G63" s="2">
        <v>47.4</v>
      </c>
      <c r="H63" s="2">
        <v>597.1</v>
      </c>
      <c r="I63">
        <f t="shared" si="12"/>
        <v>1160.7015417599998</v>
      </c>
      <c r="J63">
        <f t="shared" si="12"/>
        <v>0</v>
      </c>
      <c r="K63" s="2">
        <v>128.19999999999999</v>
      </c>
      <c r="L63" s="2">
        <v>2.2000000000000002</v>
      </c>
      <c r="M63" s="2">
        <v>0</v>
      </c>
      <c r="O63">
        <v>8969.2000000000007</v>
      </c>
      <c r="P63">
        <f t="shared" si="13"/>
        <v>2746.1102457599995</v>
      </c>
      <c r="Q63" s="3">
        <f t="shared" si="17"/>
        <v>1.9252288617959135E-3</v>
      </c>
      <c r="R63">
        <f t="shared" si="14"/>
        <v>0.37827345200909773</v>
      </c>
      <c r="S63" s="3">
        <f t="shared" si="15"/>
        <v>2.6333243338901413E-2</v>
      </c>
      <c r="T63" s="5">
        <v>2740.83351397352</v>
      </c>
      <c r="U63">
        <v>0.37348328055300001</v>
      </c>
      <c r="V63">
        <v>14.013168600074</v>
      </c>
      <c r="W63">
        <v>0.36856786473999997</v>
      </c>
    </row>
    <row r="64" spans="1:24">
      <c r="A64">
        <f t="shared" si="10"/>
        <v>15</v>
      </c>
      <c r="C64">
        <f t="shared" si="16"/>
        <v>297.49999999999994</v>
      </c>
      <c r="D64">
        <f t="shared" si="11"/>
        <v>749.66367087740571</v>
      </c>
      <c r="E64">
        <f t="shared" si="11"/>
        <v>584.90870399999994</v>
      </c>
      <c r="F64" s="2">
        <v>574.79999999999995</v>
      </c>
      <c r="G64" s="2">
        <v>36.799999999999997</v>
      </c>
      <c r="H64" s="2">
        <v>597.1</v>
      </c>
      <c r="I64">
        <f t="shared" si="12"/>
        <v>1160.7015417599998</v>
      </c>
      <c r="J64">
        <f t="shared" si="12"/>
        <v>200.60436616400912</v>
      </c>
      <c r="K64" s="2">
        <v>128.19999999999999</v>
      </c>
      <c r="L64" s="2">
        <v>1.7</v>
      </c>
      <c r="M64" s="2">
        <v>0</v>
      </c>
      <c r="O64">
        <v>8982.6</v>
      </c>
      <c r="P64">
        <f t="shared" si="13"/>
        <v>3696.3782828014141</v>
      </c>
      <c r="Q64" s="3">
        <f t="shared" si="17"/>
        <v>-1.1546143096190509E-3</v>
      </c>
      <c r="R64">
        <f t="shared" si="14"/>
        <v>0.48226329601690088</v>
      </c>
      <c r="S64" s="3">
        <f t="shared" si="15"/>
        <v>2.6028098958806645E-2</v>
      </c>
      <c r="T64" s="5">
        <v>3700.6511075250701</v>
      </c>
      <c r="U64">
        <v>0.45750691968200002</v>
      </c>
      <c r="V64">
        <v>15.020413814048</v>
      </c>
      <c r="W64">
        <v>0.47002932620100002</v>
      </c>
    </row>
    <row r="65" spans="1:24" s="5" customFormat="1">
      <c r="A65" s="5">
        <f t="shared" si="10"/>
        <v>16</v>
      </c>
      <c r="C65" s="5">
        <f t="shared" si="16"/>
        <v>594.99999999999989</v>
      </c>
      <c r="D65" s="5">
        <f t="shared" si="11"/>
        <v>749.66367087740571</v>
      </c>
      <c r="E65" s="5">
        <f t="shared" si="11"/>
        <v>779.87827199999992</v>
      </c>
      <c r="F65" s="2">
        <v>734.4</v>
      </c>
      <c r="G65" s="2">
        <v>68.400000000000006</v>
      </c>
      <c r="H65" s="2">
        <v>597.1</v>
      </c>
      <c r="I65" s="5">
        <f t="shared" si="12"/>
        <v>307.24452575999993</v>
      </c>
      <c r="J65" s="5">
        <f t="shared" si="12"/>
        <v>0</v>
      </c>
      <c r="K65" s="2">
        <v>128.19999999999999</v>
      </c>
      <c r="L65" s="2">
        <v>0.4</v>
      </c>
      <c r="M65" s="2">
        <v>0</v>
      </c>
      <c r="O65" s="5">
        <v>8958.2999999999993</v>
      </c>
      <c r="P65" s="2">
        <f t="shared" si="13"/>
        <v>3294.3864686374054</v>
      </c>
      <c r="Q65" s="3">
        <f t="shared" si="17"/>
        <v>2.0693369003033091E-4</v>
      </c>
      <c r="R65" s="5">
        <f t="shared" si="14"/>
        <v>0.44208013447165262</v>
      </c>
      <c r="S65" s="6">
        <f t="shared" si="15"/>
        <v>4.0129028916882525E-2</v>
      </c>
      <c r="T65" s="5">
        <v>3293.7048901306198</v>
      </c>
      <c r="U65" s="5">
        <v>0.414657257562</v>
      </c>
      <c r="V65" s="5">
        <v>16.025931334688</v>
      </c>
      <c r="W65" s="5">
        <v>0.42502432119599998</v>
      </c>
      <c r="X65"/>
    </row>
    <row r="66" spans="1:24">
      <c r="A66">
        <f t="shared" si="10"/>
        <v>17</v>
      </c>
      <c r="C66">
        <f t="shared" si="16"/>
        <v>594.99999999999989</v>
      </c>
      <c r="D66">
        <f t="shared" si="11"/>
        <v>0</v>
      </c>
      <c r="E66">
        <f t="shared" si="11"/>
        <v>779.87827199999992</v>
      </c>
      <c r="F66" s="2">
        <v>734.4</v>
      </c>
      <c r="G66" s="2">
        <v>44</v>
      </c>
      <c r="H66" s="2">
        <v>597.1</v>
      </c>
      <c r="I66">
        <f t="shared" si="12"/>
        <v>1160.7015417599998</v>
      </c>
      <c r="J66">
        <f t="shared" si="12"/>
        <v>0</v>
      </c>
      <c r="K66" s="2">
        <v>128.19999999999999</v>
      </c>
      <c r="L66" s="2">
        <v>2.1</v>
      </c>
      <c r="M66" s="2">
        <v>0</v>
      </c>
      <c r="O66">
        <v>8964.2999999999993</v>
      </c>
      <c r="P66" s="5">
        <f t="shared" si="13"/>
        <v>3398.1798137599999</v>
      </c>
      <c r="Q66" s="3">
        <f t="shared" si="17"/>
        <v>3.5400073558449208E-3</v>
      </c>
      <c r="R66">
        <f t="shared" si="14"/>
        <v>0.45083049582901058</v>
      </c>
      <c r="S66" s="3">
        <f t="shared" si="15"/>
        <v>2.4932642822479423E-2</v>
      </c>
      <c r="T66" s="5">
        <v>3386.1926668111801</v>
      </c>
      <c r="U66" s="5">
        <v>0.43141410867000002</v>
      </c>
      <c r="V66">
        <v>17.024538081989999</v>
      </c>
      <c r="W66">
        <v>0.43986353541000001</v>
      </c>
    </row>
    <row r="67" spans="1:24">
      <c r="A67">
        <f t="shared" si="10"/>
        <v>18</v>
      </c>
      <c r="C67">
        <f t="shared" si="16"/>
        <v>594.99999999999989</v>
      </c>
      <c r="D67">
        <f t="shared" si="11"/>
        <v>749.66367087740571</v>
      </c>
      <c r="E67">
        <f t="shared" si="11"/>
        <v>779.87827199999992</v>
      </c>
      <c r="F67" s="2">
        <v>734.4</v>
      </c>
      <c r="G67" s="2">
        <v>36.1</v>
      </c>
      <c r="H67" s="2">
        <v>597.1</v>
      </c>
      <c r="I67">
        <f t="shared" si="12"/>
        <v>1160.7015417599998</v>
      </c>
      <c r="J67">
        <f t="shared" si="12"/>
        <v>200.60436616400912</v>
      </c>
      <c r="K67" s="2">
        <v>128.19999999999999</v>
      </c>
      <c r="L67" s="2">
        <v>1.8</v>
      </c>
      <c r="M67" s="2">
        <v>0</v>
      </c>
      <c r="O67">
        <v>8975.7999999999993</v>
      </c>
      <c r="P67" s="5">
        <f t="shared" si="13"/>
        <v>4348.4478508014145</v>
      </c>
      <c r="Q67" s="3">
        <f t="shared" si="17"/>
        <v>5.6088004690546533E-4</v>
      </c>
      <c r="R67">
        <f t="shared" si="14"/>
        <v>0.55520932404926748</v>
      </c>
      <c r="S67" s="3">
        <f t="shared" si="15"/>
        <v>2.5451011615554631E-2</v>
      </c>
      <c r="T67" s="5">
        <v>4346.0102603627302</v>
      </c>
      <c r="U67" s="5">
        <v>0.49820212951600001</v>
      </c>
      <c r="V67">
        <v>18.011575695314001</v>
      </c>
      <c r="W67">
        <v>0.54142939814799995</v>
      </c>
    </row>
    <row r="69" spans="1:24">
      <c r="A69" t="s">
        <v>45</v>
      </c>
      <c r="B69" s="8">
        <f>RATE(equipment_life_years, 0.1, -1)</f>
        <v>9.3073397717987463E-2</v>
      </c>
      <c r="C69" t="s">
        <v>48</v>
      </c>
    </row>
    <row r="70" spans="1:24">
      <c r="A70" t="s">
        <v>46</v>
      </c>
      <c r="B70" s="7">
        <v>30</v>
      </c>
      <c r="C70" t="s">
        <v>47</v>
      </c>
    </row>
    <row r="71" spans="1:24">
      <c r="A71" t="s">
        <v>49</v>
      </c>
      <c r="B71" s="7">
        <v>2010</v>
      </c>
      <c r="C71" t="s">
        <v>50</v>
      </c>
    </row>
    <row r="72" spans="1:24">
      <c r="A72" t="s">
        <v>71</v>
      </c>
      <c r="B72" s="8">
        <f>AVERAGE(H50:H67)/(8.76*AVERAGE(H4:H21))</f>
        <v>0.92110946563001372</v>
      </c>
    </row>
    <row r="73" spans="1:24">
      <c r="B73" s="7"/>
    </row>
    <row r="74" spans="1:24">
      <c r="A74" t="s">
        <v>112</v>
      </c>
      <c r="B74" t="s">
        <v>35</v>
      </c>
      <c r="C74" t="s">
        <v>34</v>
      </c>
      <c r="E74" t="s">
        <v>73</v>
      </c>
      <c r="L74" s="2"/>
    </row>
    <row r="75" spans="1:24">
      <c r="A75" t="s">
        <v>4</v>
      </c>
      <c r="B75" s="1">
        <v>45.93</v>
      </c>
      <c r="C75" s="1">
        <v>46.84</v>
      </c>
      <c r="E75">
        <f>(258.75+180*14.971+180^2*0.0051)/180</f>
        <v>17.326500000000003</v>
      </c>
    </row>
    <row r="76" spans="1:24">
      <c r="A76" t="s">
        <v>5</v>
      </c>
      <c r="B76" s="1">
        <v>21.49</v>
      </c>
      <c r="C76" s="1">
        <v>23.56</v>
      </c>
      <c r="E76" s="1">
        <f>B80*E75</f>
        <v>33</v>
      </c>
    </row>
    <row r="77" spans="1:24">
      <c r="A77" t="s">
        <v>6</v>
      </c>
      <c r="B77" s="1">
        <v>18.64</v>
      </c>
      <c r="C77" s="1">
        <v>18.920000000000002</v>
      </c>
      <c r="L77" s="2"/>
    </row>
    <row r="78" spans="1:24">
      <c r="A78" t="s">
        <v>121</v>
      </c>
      <c r="B78" s="1"/>
      <c r="C78" s="1">
        <v>16.12</v>
      </c>
      <c r="L78" s="2"/>
    </row>
    <row r="79" spans="1:24">
      <c r="A79" t="s">
        <v>7</v>
      </c>
      <c r="B79" s="1">
        <v>22.67</v>
      </c>
      <c r="C79" s="1">
        <v>24.47</v>
      </c>
      <c r="L79" s="2"/>
    </row>
    <row r="80" spans="1:24">
      <c r="A80" t="s">
        <v>72</v>
      </c>
      <c r="B80" s="1">
        <f>(35-2)/E75</f>
        <v>1.9045970045883469</v>
      </c>
      <c r="C80" s="14"/>
    </row>
    <row r="81" spans="1:13">
      <c r="L81" s="2"/>
    </row>
    <row r="82" spans="1:13">
      <c r="A82" t="s">
        <v>113</v>
      </c>
      <c r="B82" t="s">
        <v>35</v>
      </c>
      <c r="C82" t="s">
        <v>34</v>
      </c>
      <c r="L82" s="5"/>
      <c r="M82" s="5"/>
    </row>
    <row r="83" spans="1:13">
      <c r="A83" t="s">
        <v>8</v>
      </c>
      <c r="B83">
        <v>1279</v>
      </c>
      <c r="C83">
        <v>1172</v>
      </c>
      <c r="D83" t="s">
        <v>114</v>
      </c>
      <c r="L83" s="5"/>
      <c r="M83" s="5"/>
    </row>
    <row r="84" spans="1:13">
      <c r="A84" t="s">
        <v>9</v>
      </c>
      <c r="B84">
        <f>7769/8.76</f>
        <v>886.8721461187215</v>
      </c>
      <c r="C84">
        <f>200/8.76</f>
        <v>22.831050228310502</v>
      </c>
      <c r="L84" s="5"/>
      <c r="M84" s="5"/>
    </row>
    <row r="87" spans="1:13">
      <c r="A87" t="s">
        <v>57</v>
      </c>
      <c r="F87" t="s">
        <v>62</v>
      </c>
      <c r="G87" t="s">
        <v>108</v>
      </c>
    </row>
    <row r="88" spans="1:13" ht="45">
      <c r="A88" s="9" t="s">
        <v>59</v>
      </c>
      <c r="B88" s="9" t="s">
        <v>51</v>
      </c>
      <c r="C88" s="9" t="s">
        <v>52</v>
      </c>
      <c r="D88" s="9" t="s">
        <v>53</v>
      </c>
      <c r="E88" s="9" t="s">
        <v>124</v>
      </c>
      <c r="F88" s="9" t="s">
        <v>60</v>
      </c>
      <c r="G88" s="9" t="s">
        <v>105</v>
      </c>
    </row>
    <row r="89" spans="1:13">
      <c r="A89" t="s">
        <v>35</v>
      </c>
      <c r="B89" t="s">
        <v>74</v>
      </c>
      <c r="C89" t="s">
        <v>54</v>
      </c>
      <c r="D89" t="s">
        <v>54</v>
      </c>
      <c r="E89" t="str">
        <f>C89</f>
        <v>Wind</v>
      </c>
      <c r="F89" s="10" t="s">
        <v>61</v>
      </c>
      <c r="G89" t="s">
        <v>109</v>
      </c>
      <c r="K89" t="s">
        <v>109</v>
      </c>
    </row>
    <row r="90" spans="1:13">
      <c r="A90" t="s">
        <v>35</v>
      </c>
      <c r="B90" t="s">
        <v>75</v>
      </c>
      <c r="C90" t="s">
        <v>54</v>
      </c>
      <c r="D90" t="s">
        <v>54</v>
      </c>
      <c r="E90" t="str">
        <f t="shared" ref="E90:E95" si="18">C90</f>
        <v>Wind</v>
      </c>
      <c r="F90" s="10" t="s">
        <v>63</v>
      </c>
      <c r="G90" t="s">
        <v>106</v>
      </c>
      <c r="K90" t="s">
        <v>106</v>
      </c>
    </row>
    <row r="91" spans="1:13">
      <c r="A91" t="s">
        <v>35</v>
      </c>
      <c r="B91" t="s">
        <v>76</v>
      </c>
      <c r="C91" t="s">
        <v>55</v>
      </c>
      <c r="D91" t="s">
        <v>58</v>
      </c>
      <c r="E91" t="str">
        <f t="shared" si="18"/>
        <v>CentralPV</v>
      </c>
      <c r="F91" s="10" t="s">
        <v>64</v>
      </c>
      <c r="G91" t="s">
        <v>129</v>
      </c>
      <c r="K91" t="s">
        <v>110</v>
      </c>
    </row>
    <row r="92" spans="1:13">
      <c r="A92" t="s">
        <v>35</v>
      </c>
      <c r="B92" t="s">
        <v>77</v>
      </c>
      <c r="C92" t="s">
        <v>56</v>
      </c>
      <c r="D92" t="s">
        <v>58</v>
      </c>
      <c r="E92" t="str">
        <f t="shared" si="18"/>
        <v>DistPV</v>
      </c>
      <c r="F92" s="10" t="s">
        <v>65</v>
      </c>
      <c r="G92" t="s">
        <v>111</v>
      </c>
      <c r="K92" t="s">
        <v>111</v>
      </c>
    </row>
    <row r="93" spans="1:13">
      <c r="A93" t="s">
        <v>34</v>
      </c>
      <c r="B93" t="s">
        <v>78</v>
      </c>
      <c r="C93" t="s">
        <v>54</v>
      </c>
      <c r="D93" t="s">
        <v>54</v>
      </c>
      <c r="E93" t="str">
        <f t="shared" si="18"/>
        <v>Wind</v>
      </c>
      <c r="F93" s="10" t="s">
        <v>66</v>
      </c>
      <c r="G93" t="s">
        <v>122</v>
      </c>
      <c r="K93" t="s">
        <v>122</v>
      </c>
    </row>
    <row r="94" spans="1:13">
      <c r="A94" t="s">
        <v>34</v>
      </c>
      <c r="B94" t="s">
        <v>79</v>
      </c>
      <c r="C94" t="s">
        <v>55</v>
      </c>
      <c r="D94" t="s">
        <v>58</v>
      </c>
      <c r="E94" t="str">
        <f t="shared" si="18"/>
        <v>CentralPV</v>
      </c>
      <c r="F94" s="10" t="s">
        <v>67</v>
      </c>
      <c r="G94" t="s">
        <v>107</v>
      </c>
      <c r="K94" t="s">
        <v>107</v>
      </c>
    </row>
    <row r="95" spans="1:13">
      <c r="A95" t="s">
        <v>34</v>
      </c>
      <c r="B95" t="s">
        <v>80</v>
      </c>
      <c r="C95" t="s">
        <v>56</v>
      </c>
      <c r="D95" t="s">
        <v>58</v>
      </c>
      <c r="E95" t="str">
        <f t="shared" si="18"/>
        <v>DistPV</v>
      </c>
      <c r="F95" s="10" t="s">
        <v>68</v>
      </c>
      <c r="G95" t="s">
        <v>123</v>
      </c>
      <c r="K95" t="s">
        <v>123</v>
      </c>
    </row>
    <row r="97" spans="1:8">
      <c r="A97" t="s">
        <v>91</v>
      </c>
      <c r="C97" t="s">
        <v>90</v>
      </c>
    </row>
    <row r="98" spans="1:8">
      <c r="A98" s="2" t="s">
        <v>93</v>
      </c>
      <c r="B98" s="2" t="s">
        <v>86</v>
      </c>
      <c r="C98" s="2" t="s">
        <v>88</v>
      </c>
    </row>
    <row r="99" spans="1:8">
      <c r="A99" t="s">
        <v>74</v>
      </c>
      <c r="B99" s="12">
        <v>2500000</v>
      </c>
      <c r="C99" s="12">
        <v>0</v>
      </c>
      <c r="E99" t="s">
        <v>92</v>
      </c>
    </row>
    <row r="100" spans="1:8">
      <c r="A100" t="s">
        <v>75</v>
      </c>
      <c r="B100" s="12">
        <f>B99</f>
        <v>2500000</v>
      </c>
      <c r="C100" s="12">
        <f>520000000/200</f>
        <v>2600000</v>
      </c>
    </row>
    <row r="101" spans="1:8">
      <c r="A101" t="s">
        <v>76</v>
      </c>
      <c r="B101" s="12">
        <v>3000000</v>
      </c>
      <c r="C101" s="12">
        <v>0</v>
      </c>
    </row>
    <row r="102" spans="1:8">
      <c r="A102" t="s">
        <v>77</v>
      </c>
      <c r="B102" s="12">
        <v>0</v>
      </c>
      <c r="C102" s="12">
        <v>0</v>
      </c>
      <c r="F102" s="11"/>
      <c r="G102" s="13"/>
      <c r="H102" s="11"/>
    </row>
    <row r="103" spans="1:8">
      <c r="A103" t="s">
        <v>78</v>
      </c>
      <c r="B103" s="12">
        <f>B99</f>
        <v>2500000</v>
      </c>
      <c r="C103" s="12">
        <v>0</v>
      </c>
    </row>
    <row r="104" spans="1:8">
      <c r="A104" t="s">
        <v>79</v>
      </c>
      <c r="B104" s="12">
        <f>B101</f>
        <v>3000000</v>
      </c>
      <c r="C104" s="12">
        <v>0</v>
      </c>
    </row>
    <row r="105" spans="1:8">
      <c r="A105" t="s">
        <v>80</v>
      </c>
      <c r="B105" s="12">
        <v>0</v>
      </c>
      <c r="C105" s="12">
        <v>0</v>
      </c>
    </row>
    <row r="106" spans="1:8">
      <c r="A106" t="s">
        <v>87</v>
      </c>
      <c r="B106" s="12">
        <f>180000000/48.84</f>
        <v>3685503.6855036854</v>
      </c>
      <c r="C106">
        <v>0</v>
      </c>
    </row>
    <row r="107" spans="1:8">
      <c r="A107" t="s">
        <v>89</v>
      </c>
      <c r="B107" s="12">
        <f>122000000/2/16.7</f>
        <v>3652694.610778443</v>
      </c>
      <c r="C107">
        <v>0</v>
      </c>
    </row>
    <row r="108" spans="1:8">
      <c r="A108" t="s">
        <v>130</v>
      </c>
      <c r="B108" s="12">
        <f>122000000/2/16.7</f>
        <v>3652694.610778443</v>
      </c>
      <c r="C108">
        <v>0</v>
      </c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activeCell="B7" sqref="B7"/>
    </sheetView>
  </sheetViews>
  <sheetFormatPr baseColWidth="10" defaultRowHeight="15" x14ac:dyDescent="0"/>
  <cols>
    <col min="2" max="3" width="13.83203125" bestFit="1" customWidth="1"/>
  </cols>
  <sheetData>
    <row r="1" spans="1:5">
      <c r="A1" t="s">
        <v>119</v>
      </c>
      <c r="D1" t="s">
        <v>120</v>
      </c>
    </row>
    <row r="2" spans="1:5">
      <c r="A2" t="s">
        <v>70</v>
      </c>
      <c r="B2" t="s">
        <v>10</v>
      </c>
      <c r="C2" t="s">
        <v>11</v>
      </c>
    </row>
    <row r="3" spans="1:5">
      <c r="A3" t="s">
        <v>12</v>
      </c>
      <c r="B3" s="15">
        <v>43919.020833333336</v>
      </c>
      <c r="C3" s="15">
        <v>43931.979166666672</v>
      </c>
      <c r="D3" t="s">
        <v>128</v>
      </c>
      <c r="E3" s="17"/>
    </row>
    <row r="4" spans="1:5">
      <c r="A4" t="s">
        <v>13</v>
      </c>
      <c r="B4" s="18">
        <v>43954.020833333336</v>
      </c>
      <c r="C4" s="18">
        <v>44008.979166666672</v>
      </c>
      <c r="D4" t="s">
        <v>128</v>
      </c>
    </row>
    <row r="5" spans="1:5">
      <c r="A5" t="s">
        <v>14</v>
      </c>
      <c r="B5" s="15">
        <v>44092.020833333336</v>
      </c>
      <c r="C5" s="15">
        <v>44113.979166666672</v>
      </c>
    </row>
    <row r="6" spans="1:5">
      <c r="A6" t="s">
        <v>15</v>
      </c>
      <c r="B6" s="15">
        <v>44134.020833333336</v>
      </c>
      <c r="C6" s="15">
        <v>44155.979166666672</v>
      </c>
      <c r="D6" t="s">
        <v>127</v>
      </c>
    </row>
    <row r="7" spans="1:5">
      <c r="A7" s="2" t="s">
        <v>16</v>
      </c>
      <c r="B7" s="16">
        <v>45827.020833333336</v>
      </c>
      <c r="C7" s="16">
        <v>45852.979166666664</v>
      </c>
    </row>
    <row r="8" spans="1:5">
      <c r="A8" t="s">
        <v>17</v>
      </c>
      <c r="B8" s="15">
        <v>44052.020833333336</v>
      </c>
      <c r="C8" s="15">
        <v>44075.979166666672</v>
      </c>
    </row>
    <row r="9" spans="1:5">
      <c r="A9" t="s">
        <v>18</v>
      </c>
      <c r="B9" s="15">
        <v>43923.020833333336</v>
      </c>
      <c r="C9" s="15">
        <v>43942.979166666672</v>
      </c>
    </row>
    <row r="10" spans="1:5">
      <c r="A10" t="s">
        <v>19</v>
      </c>
      <c r="B10" s="15">
        <v>43856.020833333336</v>
      </c>
      <c r="C10" s="15">
        <v>43875.979166666672</v>
      </c>
    </row>
    <row r="11" spans="1:5">
      <c r="A11" t="s">
        <v>20</v>
      </c>
      <c r="B11" s="15">
        <v>43877.020833333336</v>
      </c>
      <c r="C11" s="15">
        <v>43945.979166666672</v>
      </c>
    </row>
    <row r="12" spans="1:5">
      <c r="A12" s="2" t="s">
        <v>21</v>
      </c>
      <c r="B12" s="16">
        <v>43954.020833333336</v>
      </c>
      <c r="C12" s="16">
        <v>44022.979166666664</v>
      </c>
    </row>
    <row r="13" spans="1:5">
      <c r="A13" t="s">
        <v>22</v>
      </c>
      <c r="B13" s="15">
        <v>44013.020833333336</v>
      </c>
      <c r="C13" s="15">
        <v>44034.979166666672</v>
      </c>
    </row>
    <row r="14" spans="1:5">
      <c r="A14" t="s">
        <v>23</v>
      </c>
      <c r="B14" s="15">
        <v>43944.020833333336</v>
      </c>
      <c r="C14" s="15">
        <v>43963.979166666672</v>
      </c>
    </row>
    <row r="15" spans="1:5">
      <c r="A15" t="s">
        <v>24</v>
      </c>
      <c r="B15" s="15">
        <v>44036.020833333336</v>
      </c>
      <c r="C15" s="15">
        <v>44120.979166666672</v>
      </c>
    </row>
    <row r="16" spans="1:5">
      <c r="A16" t="s">
        <v>25</v>
      </c>
      <c r="B16" s="15">
        <v>43972.020833333336</v>
      </c>
      <c r="C16" s="15">
        <v>43991.979166666672</v>
      </c>
    </row>
    <row r="17" spans="1:5">
      <c r="A17" t="s">
        <v>26</v>
      </c>
      <c r="B17" s="15">
        <v>43902.020833333336</v>
      </c>
      <c r="C17" s="15">
        <v>43921.979166666672</v>
      </c>
    </row>
    <row r="18" spans="1:5">
      <c r="A18" t="s">
        <v>27</v>
      </c>
      <c r="B18" s="15">
        <v>43832.020833333336</v>
      </c>
      <c r="C18" s="15">
        <v>43839.979166666672</v>
      </c>
    </row>
    <row r="19" spans="1:5">
      <c r="A19" t="s">
        <v>69</v>
      </c>
      <c r="B19" s="15">
        <v>44039.020833333336</v>
      </c>
      <c r="C19" s="15">
        <v>44042.979166666672</v>
      </c>
    </row>
    <row r="20" spans="1:5">
      <c r="A20" t="s">
        <v>29</v>
      </c>
      <c r="B20" s="15">
        <v>43842.020833333336</v>
      </c>
      <c r="C20" s="15">
        <v>43855.979166666672</v>
      </c>
    </row>
    <row r="21" spans="1:5">
      <c r="A21" t="s">
        <v>30</v>
      </c>
      <c r="B21" s="15">
        <v>43849.020833333336</v>
      </c>
      <c r="C21" s="15">
        <v>43876.979166666672</v>
      </c>
    </row>
    <row r="22" spans="1:5">
      <c r="A22" t="s">
        <v>28</v>
      </c>
      <c r="B22" s="15">
        <v>43878.020833333336</v>
      </c>
      <c r="C22" s="15">
        <v>43894.979166666672</v>
      </c>
    </row>
    <row r="23" spans="1:5">
      <c r="A23" t="s">
        <v>115</v>
      </c>
      <c r="B23" s="15">
        <v>43969.020833333336</v>
      </c>
      <c r="C23" s="15">
        <v>43986.979166666672</v>
      </c>
    </row>
    <row r="24" spans="1:5">
      <c r="A24" t="s">
        <v>116</v>
      </c>
      <c r="B24" s="15">
        <v>43955.020833333336</v>
      </c>
      <c r="C24" s="15">
        <v>43958.979166666672</v>
      </c>
    </row>
    <row r="25" spans="1:5">
      <c r="A25" t="s">
        <v>117</v>
      </c>
      <c r="B25" s="15">
        <v>43892.020833333336</v>
      </c>
      <c r="C25" s="15">
        <v>43893.979166666672</v>
      </c>
    </row>
    <row r="26" spans="1:5">
      <c r="A26" t="s">
        <v>118</v>
      </c>
      <c r="B26" s="15">
        <v>43906.020833333336</v>
      </c>
      <c r="C26" s="15">
        <v>43921.979166666672</v>
      </c>
    </row>
    <row r="27" spans="1:5">
      <c r="A27" t="s">
        <v>29</v>
      </c>
      <c r="B27" s="15">
        <v>43833.854166666664</v>
      </c>
      <c r="C27" s="15">
        <f>B27+12/24</f>
        <v>43834.354166666664</v>
      </c>
      <c r="D27">
        <f>WEEKDAY(B27)</f>
        <v>6</v>
      </c>
      <c r="E27" t="s">
        <v>125</v>
      </c>
    </row>
    <row r="28" spans="1:5">
      <c r="A28" t="s">
        <v>30</v>
      </c>
      <c r="B28" s="15">
        <f>B27+1</f>
        <v>43834.854166666664</v>
      </c>
      <c r="C28" s="15">
        <f>C27+1</f>
        <v>43835.354166666664</v>
      </c>
      <c r="D28">
        <f>WEEKDAY(B28)</f>
        <v>7</v>
      </c>
      <c r="E28" t="s">
        <v>126</v>
      </c>
    </row>
    <row r="29" spans="1:5">
      <c r="A29" t="s">
        <v>29</v>
      </c>
      <c r="B29" s="15">
        <f>ROUND((B27+7)*48, 0) /48</f>
        <v>43840.854166666664</v>
      </c>
      <c r="C29" s="15">
        <f>B29+12/24</f>
        <v>43841.354166666664</v>
      </c>
    </row>
    <row r="30" spans="1:5">
      <c r="A30" t="s">
        <v>30</v>
      </c>
      <c r="B30" s="15">
        <f>B29+1</f>
        <v>43841.854166666664</v>
      </c>
      <c r="C30" s="15">
        <f>C29+1</f>
        <v>43842.354166666664</v>
      </c>
    </row>
    <row r="31" spans="1:5">
      <c r="A31" t="s">
        <v>29</v>
      </c>
      <c r="B31" s="15">
        <f>ROUND((B29+7)*48, 0) /48</f>
        <v>43847.854166666664</v>
      </c>
      <c r="C31" s="15">
        <f>B31+12/24</f>
        <v>43848.354166666664</v>
      </c>
    </row>
    <row r="32" spans="1:5">
      <c r="A32" t="s">
        <v>30</v>
      </c>
      <c r="B32" s="15">
        <f>B31+1</f>
        <v>43848.854166666664</v>
      </c>
      <c r="C32" s="15">
        <f>C31+1</f>
        <v>43849.354166666664</v>
      </c>
    </row>
    <row r="33" spans="1:3">
      <c r="A33" t="s">
        <v>29</v>
      </c>
      <c r="B33" s="15">
        <f>ROUND((B31+7)*48, 0) /48</f>
        <v>43854.854166666664</v>
      </c>
      <c r="C33" s="15">
        <f>B33+12/24</f>
        <v>43855.354166666664</v>
      </c>
    </row>
    <row r="34" spans="1:3">
      <c r="A34" t="s">
        <v>30</v>
      </c>
      <c r="B34" s="15">
        <f>B33+1</f>
        <v>43855.854166666664</v>
      </c>
      <c r="C34" s="15">
        <f>C33+1</f>
        <v>43856.354166666664</v>
      </c>
    </row>
    <row r="35" spans="1:3">
      <c r="A35" t="s">
        <v>29</v>
      </c>
      <c r="B35" s="15">
        <f>ROUND((B33+7)*48, 0) /48</f>
        <v>43861.854166666664</v>
      </c>
      <c r="C35" s="15">
        <f>B35+12/24</f>
        <v>43862.354166666664</v>
      </c>
    </row>
    <row r="36" spans="1:3">
      <c r="A36" t="s">
        <v>30</v>
      </c>
      <c r="B36" s="15">
        <f>B35+1</f>
        <v>43862.854166666664</v>
      </c>
      <c r="C36" s="15">
        <f>C35+1</f>
        <v>43863.354166666664</v>
      </c>
    </row>
    <row r="37" spans="1:3">
      <c r="A37" t="s">
        <v>29</v>
      </c>
      <c r="B37" s="15">
        <f>ROUND((B35+7)*48, 0) /48</f>
        <v>43868.854166666664</v>
      </c>
      <c r="C37" s="15">
        <f>B37+12/24</f>
        <v>43869.354166666664</v>
      </c>
    </row>
    <row r="38" spans="1:3">
      <c r="A38" t="s">
        <v>30</v>
      </c>
      <c r="B38" s="15">
        <f>B37+1</f>
        <v>43869.854166666664</v>
      </c>
      <c r="C38" s="15">
        <f>C37+1</f>
        <v>43870.354166666664</v>
      </c>
    </row>
    <row r="39" spans="1:3">
      <c r="A39" t="s">
        <v>29</v>
      </c>
      <c r="B39" s="15">
        <f>ROUND((B37+7)*48, 0) /48</f>
        <v>43875.854166666664</v>
      </c>
      <c r="C39" s="15">
        <f>B39+12/24</f>
        <v>43876.354166666664</v>
      </c>
    </row>
    <row r="40" spans="1:3">
      <c r="A40" t="s">
        <v>30</v>
      </c>
      <c r="B40" s="15">
        <f>B39+1</f>
        <v>43876.854166666664</v>
      </c>
      <c r="C40" s="15">
        <f>C39+1</f>
        <v>43877.354166666664</v>
      </c>
    </row>
    <row r="41" spans="1:3">
      <c r="A41" t="s">
        <v>29</v>
      </c>
      <c r="B41" s="15">
        <f>ROUND((B39+7)*48, 0) /48</f>
        <v>43882.854166666664</v>
      </c>
      <c r="C41" s="15">
        <f>B41+12/24</f>
        <v>43883.354166666664</v>
      </c>
    </row>
    <row r="42" spans="1:3">
      <c r="A42" t="s">
        <v>30</v>
      </c>
      <c r="B42" s="15">
        <f>B41+1</f>
        <v>43883.854166666664</v>
      </c>
      <c r="C42" s="15">
        <f>C41+1</f>
        <v>43884.354166666664</v>
      </c>
    </row>
    <row r="43" spans="1:3">
      <c r="A43" t="s">
        <v>29</v>
      </c>
      <c r="B43" s="15">
        <f>ROUND((B41+7)*48, 0) /48</f>
        <v>43889.854166666664</v>
      </c>
      <c r="C43" s="15">
        <f>B43+12/24</f>
        <v>43890.354166666664</v>
      </c>
    </row>
    <row r="44" spans="1:3">
      <c r="A44" t="s">
        <v>30</v>
      </c>
      <c r="B44" s="15">
        <f>B43+1</f>
        <v>43890.854166666664</v>
      </c>
      <c r="C44" s="15">
        <f>C43+1</f>
        <v>43891.354166666664</v>
      </c>
    </row>
    <row r="45" spans="1:3">
      <c r="A45" t="s">
        <v>29</v>
      </c>
      <c r="B45" s="15">
        <f>ROUND((B43+7)*48, 0) /48</f>
        <v>43896.854166666664</v>
      </c>
      <c r="C45" s="15">
        <f>B45+12/24</f>
        <v>43897.354166666664</v>
      </c>
    </row>
    <row r="46" spans="1:3">
      <c r="A46" t="s">
        <v>30</v>
      </c>
      <c r="B46" s="15">
        <f>B45+1</f>
        <v>43897.854166666664</v>
      </c>
      <c r="C46" s="15">
        <f>C45+1</f>
        <v>43898.354166666664</v>
      </c>
    </row>
    <row r="47" spans="1:3">
      <c r="A47" t="s">
        <v>29</v>
      </c>
      <c r="B47" s="15">
        <f>ROUND((B45+7)*48, 0) /48</f>
        <v>43903.854166666664</v>
      </c>
      <c r="C47" s="15">
        <f>B47+12/24</f>
        <v>43904.354166666664</v>
      </c>
    </row>
    <row r="48" spans="1:3">
      <c r="A48" t="s">
        <v>30</v>
      </c>
      <c r="B48" s="15">
        <f>B47+1</f>
        <v>43904.854166666664</v>
      </c>
      <c r="C48" s="15">
        <f>C47+1</f>
        <v>43905.354166666664</v>
      </c>
    </row>
    <row r="49" spans="1:3">
      <c r="A49" t="s">
        <v>29</v>
      </c>
      <c r="B49" s="15">
        <f>ROUND((B47+7)*48, 0) /48</f>
        <v>43910.854166666664</v>
      </c>
      <c r="C49" s="15">
        <f>B49+12/24</f>
        <v>43911.354166666664</v>
      </c>
    </row>
    <row r="50" spans="1:3">
      <c r="A50" t="s">
        <v>30</v>
      </c>
      <c r="B50" s="15">
        <f>B49+1</f>
        <v>43911.854166666664</v>
      </c>
      <c r="C50" s="15">
        <f>C49+1</f>
        <v>43912.354166666664</v>
      </c>
    </row>
    <row r="51" spans="1:3">
      <c r="A51" t="s">
        <v>29</v>
      </c>
      <c r="B51" s="15">
        <f>ROUND((B49+7)*48, 0) /48</f>
        <v>43917.854166666664</v>
      </c>
      <c r="C51" s="15">
        <f>B51+12/24</f>
        <v>43918.354166666664</v>
      </c>
    </row>
    <row r="52" spans="1:3">
      <c r="A52" t="s">
        <v>30</v>
      </c>
      <c r="B52" s="15">
        <f>B51+1</f>
        <v>43918.854166666664</v>
      </c>
      <c r="C52" s="15">
        <f>C51+1</f>
        <v>43919.354166666664</v>
      </c>
    </row>
    <row r="53" spans="1:3">
      <c r="A53" t="s">
        <v>29</v>
      </c>
      <c r="B53" s="15">
        <f>ROUND((B51+7)*48, 0) /48</f>
        <v>43924.854166666664</v>
      </c>
      <c r="C53" s="15">
        <f>B53+12/24</f>
        <v>43925.354166666664</v>
      </c>
    </row>
    <row r="54" spans="1:3">
      <c r="A54" t="s">
        <v>30</v>
      </c>
      <c r="B54" s="15">
        <f>B53+1</f>
        <v>43925.854166666664</v>
      </c>
      <c r="C54" s="15">
        <f>C53+1</f>
        <v>43926.354166666664</v>
      </c>
    </row>
    <row r="55" spans="1:3">
      <c r="A55" t="s">
        <v>29</v>
      </c>
      <c r="B55" s="15">
        <f>ROUND((B53+7)*48, 0) /48</f>
        <v>43931.854166666664</v>
      </c>
      <c r="C55" s="15">
        <f>B55+12/24</f>
        <v>43932.354166666664</v>
      </c>
    </row>
    <row r="56" spans="1:3">
      <c r="A56" t="s">
        <v>30</v>
      </c>
      <c r="B56" s="15">
        <f>B55+1</f>
        <v>43932.854166666664</v>
      </c>
      <c r="C56" s="15">
        <f>C55+1</f>
        <v>43933.354166666664</v>
      </c>
    </row>
    <row r="57" spans="1:3">
      <c r="A57" t="s">
        <v>29</v>
      </c>
      <c r="B57" s="15">
        <f>ROUND((B55+7)*48, 0) /48</f>
        <v>43938.854166666664</v>
      </c>
      <c r="C57" s="15">
        <f>B57+12/24</f>
        <v>43939.354166666664</v>
      </c>
    </row>
    <row r="58" spans="1:3">
      <c r="A58" t="s">
        <v>30</v>
      </c>
      <c r="B58" s="15">
        <f>B57+1</f>
        <v>43939.854166666664</v>
      </c>
      <c r="C58" s="15">
        <f>C57+1</f>
        <v>43940.354166666664</v>
      </c>
    </row>
    <row r="59" spans="1:3">
      <c r="A59" t="s">
        <v>29</v>
      </c>
      <c r="B59" s="15">
        <f>ROUND((B57+7)*48, 0) /48</f>
        <v>43945.854166666664</v>
      </c>
      <c r="C59" s="15">
        <f>B59+12/24</f>
        <v>43946.354166666664</v>
      </c>
    </row>
    <row r="60" spans="1:3">
      <c r="A60" t="s">
        <v>30</v>
      </c>
      <c r="B60" s="15">
        <f>B59+1</f>
        <v>43946.854166666664</v>
      </c>
      <c r="C60" s="15">
        <f>C59+1</f>
        <v>43947.354166666664</v>
      </c>
    </row>
    <row r="61" spans="1:3">
      <c r="A61" t="s">
        <v>29</v>
      </c>
      <c r="B61" s="15">
        <f>ROUND((B59+7)*48, 0) /48</f>
        <v>43952.854166666664</v>
      </c>
      <c r="C61" s="15">
        <f>B61+12/24</f>
        <v>43953.354166666664</v>
      </c>
    </row>
    <row r="62" spans="1:3">
      <c r="A62" t="s">
        <v>30</v>
      </c>
      <c r="B62" s="15">
        <f>B61+1</f>
        <v>43953.854166666664</v>
      </c>
      <c r="C62" s="15">
        <f>C61+1</f>
        <v>43954.354166666664</v>
      </c>
    </row>
    <row r="63" spans="1:3">
      <c r="A63" t="s">
        <v>29</v>
      </c>
      <c r="B63" s="15">
        <f>ROUND((B61+7)*48, 0) /48</f>
        <v>43959.854166666664</v>
      </c>
      <c r="C63" s="15">
        <f>B63+12/24</f>
        <v>43960.354166666664</v>
      </c>
    </row>
    <row r="64" spans="1:3">
      <c r="A64" t="s">
        <v>30</v>
      </c>
      <c r="B64" s="15">
        <f>B63+1</f>
        <v>43960.854166666664</v>
      </c>
      <c r="C64" s="15">
        <f>C63+1</f>
        <v>43961.354166666664</v>
      </c>
    </row>
    <row r="65" spans="1:3">
      <c r="A65" t="s">
        <v>29</v>
      </c>
      <c r="B65" s="15">
        <f>ROUND((B63+7)*48, 0) /48</f>
        <v>43966.854166666664</v>
      </c>
      <c r="C65" s="15">
        <f>B65+12/24</f>
        <v>43967.354166666664</v>
      </c>
    </row>
    <row r="66" spans="1:3">
      <c r="A66" t="s">
        <v>30</v>
      </c>
      <c r="B66" s="15">
        <f>B65+1</f>
        <v>43967.854166666664</v>
      </c>
      <c r="C66" s="15">
        <f>C65+1</f>
        <v>43968.354166666664</v>
      </c>
    </row>
    <row r="67" spans="1:3">
      <c r="A67" t="s">
        <v>29</v>
      </c>
      <c r="B67" s="15">
        <f>ROUND((B65+7)*48, 0) /48</f>
        <v>43973.854166666664</v>
      </c>
      <c r="C67" s="15">
        <f>B67+12/24</f>
        <v>43974.354166666664</v>
      </c>
    </row>
    <row r="68" spans="1:3">
      <c r="A68" t="s">
        <v>30</v>
      </c>
      <c r="B68" s="15">
        <f>B67+1</f>
        <v>43974.854166666664</v>
      </c>
      <c r="C68" s="15">
        <f>C67+1</f>
        <v>43975.354166666664</v>
      </c>
    </row>
    <row r="69" spans="1:3">
      <c r="A69" t="s">
        <v>29</v>
      </c>
      <c r="B69" s="15">
        <f>ROUND((B67+7)*48, 0) /48</f>
        <v>43980.854166666664</v>
      </c>
      <c r="C69" s="15">
        <f>B69+12/24</f>
        <v>43981.354166666664</v>
      </c>
    </row>
    <row r="70" spans="1:3">
      <c r="A70" t="s">
        <v>30</v>
      </c>
      <c r="B70" s="15">
        <f>B69+1</f>
        <v>43981.854166666664</v>
      </c>
      <c r="C70" s="15">
        <f>C69+1</f>
        <v>43982.354166666664</v>
      </c>
    </row>
    <row r="71" spans="1:3">
      <c r="A71" t="s">
        <v>29</v>
      </c>
      <c r="B71" s="15">
        <f>ROUND((B69+7)*48, 0) /48</f>
        <v>43987.854166666664</v>
      </c>
      <c r="C71" s="15">
        <f>B71+12/24</f>
        <v>43988.354166666664</v>
      </c>
    </row>
    <row r="72" spans="1:3">
      <c r="A72" t="s">
        <v>30</v>
      </c>
      <c r="B72" s="15">
        <f>B71+1</f>
        <v>43988.854166666664</v>
      </c>
      <c r="C72" s="15">
        <f>C71+1</f>
        <v>43989.354166666664</v>
      </c>
    </row>
    <row r="73" spans="1:3">
      <c r="A73" t="s">
        <v>29</v>
      </c>
      <c r="B73" s="15">
        <f>ROUND((B71+7)*48, 0) /48</f>
        <v>43994.854166666664</v>
      </c>
      <c r="C73" s="15">
        <f>B73+12/24</f>
        <v>43995.354166666664</v>
      </c>
    </row>
    <row r="74" spans="1:3">
      <c r="A74" t="s">
        <v>30</v>
      </c>
      <c r="B74" s="15">
        <f>B73+1</f>
        <v>43995.854166666664</v>
      </c>
      <c r="C74" s="15">
        <f>C73+1</f>
        <v>43996.354166666664</v>
      </c>
    </row>
    <row r="75" spans="1:3">
      <c r="A75" t="s">
        <v>29</v>
      </c>
      <c r="B75" s="15">
        <f>ROUND((B73+7)*48, 0) /48</f>
        <v>44001.854166666664</v>
      </c>
      <c r="C75" s="15">
        <f>B75+12/24</f>
        <v>44002.354166666664</v>
      </c>
    </row>
    <row r="76" spans="1:3">
      <c r="A76" t="s">
        <v>30</v>
      </c>
      <c r="B76" s="15">
        <f>B75+1</f>
        <v>44002.854166666664</v>
      </c>
      <c r="C76" s="15">
        <f>C75+1</f>
        <v>44003.354166666664</v>
      </c>
    </row>
    <row r="77" spans="1:3">
      <c r="A77" t="s">
        <v>29</v>
      </c>
      <c r="B77" s="15">
        <f>ROUND((B75+7)*48, 0) /48</f>
        <v>44008.854166666664</v>
      </c>
      <c r="C77" s="15">
        <f>B77+12/24</f>
        <v>44009.354166666664</v>
      </c>
    </row>
    <row r="78" spans="1:3">
      <c r="A78" t="s">
        <v>30</v>
      </c>
      <c r="B78" s="15">
        <f>B77+1</f>
        <v>44009.854166666664</v>
      </c>
      <c r="C78" s="15">
        <f>C77+1</f>
        <v>44010.354166666664</v>
      </c>
    </row>
    <row r="79" spans="1:3">
      <c r="A79" t="s">
        <v>29</v>
      </c>
      <c r="B79" s="15">
        <f>ROUND((B77+7)*48, 0) /48</f>
        <v>44015.854166666664</v>
      </c>
      <c r="C79" s="15">
        <f>B79+12/24</f>
        <v>44016.354166666664</v>
      </c>
    </row>
    <row r="80" spans="1:3">
      <c r="A80" t="s">
        <v>30</v>
      </c>
      <c r="B80" s="15">
        <f>B79+1</f>
        <v>44016.854166666664</v>
      </c>
      <c r="C80" s="15">
        <f>C79+1</f>
        <v>44017.354166666664</v>
      </c>
    </row>
    <row r="81" spans="1:3">
      <c r="A81" t="s">
        <v>29</v>
      </c>
      <c r="B81" s="15">
        <f>ROUND((B79+7)*48, 0) /48</f>
        <v>44022.854166666664</v>
      </c>
      <c r="C81" s="15">
        <f>B81+12/24</f>
        <v>44023.354166666664</v>
      </c>
    </row>
    <row r="82" spans="1:3">
      <c r="A82" t="s">
        <v>30</v>
      </c>
      <c r="B82" s="15">
        <f>B81+1</f>
        <v>44023.854166666664</v>
      </c>
      <c r="C82" s="15">
        <f>C81+1</f>
        <v>44024.354166666664</v>
      </c>
    </row>
    <row r="83" spans="1:3">
      <c r="A83" t="s">
        <v>29</v>
      </c>
      <c r="B83" s="15">
        <f>ROUND((B81+7)*48, 0) /48</f>
        <v>44029.854166666664</v>
      </c>
      <c r="C83" s="15">
        <f>B83+12/24</f>
        <v>44030.354166666664</v>
      </c>
    </row>
    <row r="84" spans="1:3">
      <c r="A84" t="s">
        <v>30</v>
      </c>
      <c r="B84" s="15">
        <f>B83+1</f>
        <v>44030.854166666664</v>
      </c>
      <c r="C84" s="15">
        <f>C83+1</f>
        <v>44031.354166666664</v>
      </c>
    </row>
    <row r="85" spans="1:3">
      <c r="A85" t="s">
        <v>29</v>
      </c>
      <c r="B85" s="15">
        <f>ROUND((B83+7)*48, 0) /48</f>
        <v>44036.854166666664</v>
      </c>
      <c r="C85" s="15">
        <f>B85+12/24</f>
        <v>44037.354166666664</v>
      </c>
    </row>
    <row r="86" spans="1:3">
      <c r="A86" t="s">
        <v>30</v>
      </c>
      <c r="B86" s="15">
        <f>B85+1</f>
        <v>44037.854166666664</v>
      </c>
      <c r="C86" s="15">
        <f>C85+1</f>
        <v>44038.354166666664</v>
      </c>
    </row>
    <row r="87" spans="1:3">
      <c r="A87" t="s">
        <v>29</v>
      </c>
      <c r="B87" s="15">
        <f>ROUND((B85+7)*48, 0) /48</f>
        <v>44043.854166666664</v>
      </c>
      <c r="C87" s="15">
        <f>B87+12/24</f>
        <v>44044.354166666664</v>
      </c>
    </row>
    <row r="88" spans="1:3">
      <c r="A88" t="s">
        <v>30</v>
      </c>
      <c r="B88" s="15">
        <f>B87+1</f>
        <v>44044.854166666664</v>
      </c>
      <c r="C88" s="15">
        <f>C87+1</f>
        <v>44045.354166666664</v>
      </c>
    </row>
    <row r="89" spans="1:3">
      <c r="A89" t="s">
        <v>29</v>
      </c>
      <c r="B89" s="15">
        <f>ROUND((B87+7)*48, 0) /48</f>
        <v>44050.854166666664</v>
      </c>
      <c r="C89" s="15">
        <f>B89+12/24</f>
        <v>44051.354166666664</v>
      </c>
    </row>
    <row r="90" spans="1:3">
      <c r="A90" t="s">
        <v>30</v>
      </c>
      <c r="B90" s="15">
        <f>B89+1</f>
        <v>44051.854166666664</v>
      </c>
      <c r="C90" s="15">
        <f>C89+1</f>
        <v>44052.354166666664</v>
      </c>
    </row>
    <row r="91" spans="1:3">
      <c r="A91" t="s">
        <v>29</v>
      </c>
      <c r="B91" s="15">
        <f>ROUND((B89+7)*48, 0) /48</f>
        <v>44057.854166666664</v>
      </c>
      <c r="C91" s="15">
        <f>B91+12/24</f>
        <v>44058.354166666664</v>
      </c>
    </row>
    <row r="92" spans="1:3">
      <c r="A92" t="s">
        <v>30</v>
      </c>
      <c r="B92" s="15">
        <f>B91+1</f>
        <v>44058.854166666664</v>
      </c>
      <c r="C92" s="15">
        <f>C91+1</f>
        <v>44059.354166666664</v>
      </c>
    </row>
    <row r="93" spans="1:3">
      <c r="A93" t="s">
        <v>29</v>
      </c>
      <c r="B93" s="15">
        <f>ROUND((B91+7)*48, 0) /48</f>
        <v>44064.854166666664</v>
      </c>
      <c r="C93" s="15">
        <f>B93+12/24</f>
        <v>44065.354166666664</v>
      </c>
    </row>
    <row r="94" spans="1:3">
      <c r="A94" t="s">
        <v>30</v>
      </c>
      <c r="B94" s="15">
        <f>B93+1</f>
        <v>44065.854166666664</v>
      </c>
      <c r="C94" s="15">
        <f>C93+1</f>
        <v>44066.354166666664</v>
      </c>
    </row>
    <row r="95" spans="1:3">
      <c r="A95" t="s">
        <v>29</v>
      </c>
      <c r="B95" s="15">
        <f>ROUND((B93+7)*48, 0) /48</f>
        <v>44071.854166666664</v>
      </c>
      <c r="C95" s="15">
        <f>B95+12/24</f>
        <v>44072.354166666664</v>
      </c>
    </row>
    <row r="96" spans="1:3">
      <c r="A96" t="s">
        <v>30</v>
      </c>
      <c r="B96" s="15">
        <f>B95+1</f>
        <v>44072.854166666664</v>
      </c>
      <c r="C96" s="15">
        <f>C95+1</f>
        <v>44073.354166666664</v>
      </c>
    </row>
    <row r="97" spans="1:3">
      <c r="A97" t="s">
        <v>29</v>
      </c>
      <c r="B97" s="15">
        <f>ROUND((B95+7)*48, 0) /48</f>
        <v>44078.854166666664</v>
      </c>
      <c r="C97" s="15">
        <f>B97+12/24</f>
        <v>44079.354166666664</v>
      </c>
    </row>
    <row r="98" spans="1:3">
      <c r="A98" t="s">
        <v>30</v>
      </c>
      <c r="B98" s="15">
        <f>B97+1</f>
        <v>44079.854166666664</v>
      </c>
      <c r="C98" s="15">
        <f>C97+1</f>
        <v>44080.354166666664</v>
      </c>
    </row>
    <row r="99" spans="1:3">
      <c r="A99" t="s">
        <v>29</v>
      </c>
      <c r="B99" s="15">
        <f>ROUND((B97+7)*48, 0) /48</f>
        <v>44085.854166666664</v>
      </c>
      <c r="C99" s="15">
        <f>B99+12/24</f>
        <v>44086.354166666664</v>
      </c>
    </row>
    <row r="100" spans="1:3">
      <c r="A100" t="s">
        <v>30</v>
      </c>
      <c r="B100" s="15">
        <f>B99+1</f>
        <v>44086.854166666664</v>
      </c>
      <c r="C100" s="15">
        <f>C99+1</f>
        <v>44087.354166666664</v>
      </c>
    </row>
    <row r="101" spans="1:3">
      <c r="A101" t="s">
        <v>29</v>
      </c>
      <c r="B101" s="15">
        <f>ROUND((B99+7)*48, 0) /48</f>
        <v>44092.854166666664</v>
      </c>
      <c r="C101" s="15">
        <f>B101+12/24</f>
        <v>44093.354166666664</v>
      </c>
    </row>
    <row r="102" spans="1:3">
      <c r="A102" t="s">
        <v>30</v>
      </c>
      <c r="B102" s="15">
        <f>B101+1</f>
        <v>44093.854166666664</v>
      </c>
      <c r="C102" s="15">
        <f>C101+1</f>
        <v>44094.354166666664</v>
      </c>
    </row>
    <row r="103" spans="1:3">
      <c r="A103" t="s">
        <v>29</v>
      </c>
      <c r="B103" s="15">
        <f>ROUND((B101+7)*48, 0) /48</f>
        <v>44099.854166666664</v>
      </c>
      <c r="C103" s="15">
        <f>B103+12/24</f>
        <v>44100.354166666664</v>
      </c>
    </row>
    <row r="104" spans="1:3">
      <c r="A104" t="s">
        <v>30</v>
      </c>
      <c r="B104" s="15">
        <f>B103+1</f>
        <v>44100.854166666664</v>
      </c>
      <c r="C104" s="15">
        <f>C103+1</f>
        <v>44101.354166666664</v>
      </c>
    </row>
    <row r="105" spans="1:3">
      <c r="A105" t="s">
        <v>29</v>
      </c>
      <c r="B105" s="15">
        <f>ROUND((B103+7)*48, 0) /48</f>
        <v>44106.854166666664</v>
      </c>
      <c r="C105" s="15">
        <f>B105+12/24</f>
        <v>44107.354166666664</v>
      </c>
    </row>
    <row r="106" spans="1:3">
      <c r="A106" t="s">
        <v>30</v>
      </c>
      <c r="B106" s="15">
        <f>B105+1</f>
        <v>44107.854166666664</v>
      </c>
      <c r="C106" s="15">
        <f>C105+1</f>
        <v>44108.354166666664</v>
      </c>
    </row>
    <row r="107" spans="1:3">
      <c r="A107" t="s">
        <v>29</v>
      </c>
      <c r="B107" s="15">
        <f>ROUND((B105+7)*48, 0) /48</f>
        <v>44113.854166666664</v>
      </c>
      <c r="C107" s="15">
        <f>B107+12/24</f>
        <v>44114.354166666664</v>
      </c>
    </row>
    <row r="108" spans="1:3">
      <c r="A108" t="s">
        <v>30</v>
      </c>
      <c r="B108" s="15">
        <f>B107+1</f>
        <v>44114.854166666664</v>
      </c>
      <c r="C108" s="15">
        <f>C107+1</f>
        <v>44115.354166666664</v>
      </c>
    </row>
    <row r="109" spans="1:3">
      <c r="A109" t="s">
        <v>29</v>
      </c>
      <c r="B109" s="15">
        <f>ROUND((B107+7)*48, 0) /48</f>
        <v>44120.854166666664</v>
      </c>
      <c r="C109" s="15">
        <f>B109+12/24</f>
        <v>44121.354166666664</v>
      </c>
    </row>
    <row r="110" spans="1:3">
      <c r="A110" t="s">
        <v>30</v>
      </c>
      <c r="B110" s="15">
        <f>B109+1</f>
        <v>44121.854166666664</v>
      </c>
      <c r="C110" s="15">
        <f>C109+1</f>
        <v>44122.354166666664</v>
      </c>
    </row>
    <row r="111" spans="1:3">
      <c r="A111" t="s">
        <v>29</v>
      </c>
      <c r="B111" s="15">
        <f>ROUND((B109+7)*48, 0) /48</f>
        <v>44127.854166666664</v>
      </c>
      <c r="C111" s="15">
        <f>B111+12/24</f>
        <v>44128.354166666664</v>
      </c>
    </row>
    <row r="112" spans="1:3">
      <c r="A112" t="s">
        <v>30</v>
      </c>
      <c r="B112" s="15">
        <f>B111+1</f>
        <v>44128.854166666664</v>
      </c>
      <c r="C112" s="15">
        <f>C111+1</f>
        <v>44129.354166666664</v>
      </c>
    </row>
    <row r="113" spans="1:3">
      <c r="A113" t="s">
        <v>29</v>
      </c>
      <c r="B113" s="15">
        <f>ROUND((B111+7)*48, 0) /48</f>
        <v>44134.854166666664</v>
      </c>
      <c r="C113" s="15">
        <f>B113+12/24</f>
        <v>44135.354166666664</v>
      </c>
    </row>
    <row r="114" spans="1:3">
      <c r="A114" t="s">
        <v>30</v>
      </c>
      <c r="B114" s="15">
        <f>B113+1</f>
        <v>44135.854166666664</v>
      </c>
      <c r="C114" s="15">
        <f>C113+1</f>
        <v>44136.354166666664</v>
      </c>
    </row>
    <row r="115" spans="1:3">
      <c r="A115" t="s">
        <v>29</v>
      </c>
      <c r="B115" s="15">
        <f>ROUND((B113+7)*48, 0) /48</f>
        <v>44141.854166666664</v>
      </c>
      <c r="C115" s="15">
        <f>B115+12/24</f>
        <v>44142.354166666664</v>
      </c>
    </row>
    <row r="116" spans="1:3">
      <c r="A116" t="s">
        <v>30</v>
      </c>
      <c r="B116" s="15">
        <f>B115+1</f>
        <v>44142.854166666664</v>
      </c>
      <c r="C116" s="15">
        <f>C115+1</f>
        <v>44143.354166666664</v>
      </c>
    </row>
    <row r="117" spans="1:3">
      <c r="A117" t="s">
        <v>29</v>
      </c>
      <c r="B117" s="15">
        <f>ROUND((B115+7)*48, 0) /48</f>
        <v>44148.854166666664</v>
      </c>
      <c r="C117" s="15">
        <f>B117+12/24</f>
        <v>44149.354166666664</v>
      </c>
    </row>
    <row r="118" spans="1:3">
      <c r="A118" t="s">
        <v>30</v>
      </c>
      <c r="B118" s="15">
        <f>B117+1</f>
        <v>44149.854166666664</v>
      </c>
      <c r="C118" s="15">
        <f>C117+1</f>
        <v>44150.354166666664</v>
      </c>
    </row>
    <row r="119" spans="1:3">
      <c r="A119" t="s">
        <v>29</v>
      </c>
      <c r="B119" s="15">
        <f>ROUND((B117+7)*48, 0) /48</f>
        <v>44155.854166666664</v>
      </c>
      <c r="C119" s="15">
        <f>B119+12/24</f>
        <v>44156.354166666664</v>
      </c>
    </row>
    <row r="120" spans="1:3">
      <c r="A120" t="s">
        <v>30</v>
      </c>
      <c r="B120" s="15">
        <f>B119+1</f>
        <v>44156.854166666664</v>
      </c>
      <c r="C120" s="15">
        <f>C119+1</f>
        <v>44157.354166666664</v>
      </c>
    </row>
    <row r="121" spans="1:3">
      <c r="A121" t="s">
        <v>29</v>
      </c>
      <c r="B121" s="15">
        <f>ROUND((B119+7)*48, 0) /48</f>
        <v>44162.854166666664</v>
      </c>
      <c r="C121" s="15">
        <f>B121+12/24</f>
        <v>44163.354166666664</v>
      </c>
    </row>
    <row r="122" spans="1:3">
      <c r="A122" t="s">
        <v>30</v>
      </c>
      <c r="B122" s="15">
        <f>B121+1</f>
        <v>44163.854166666664</v>
      </c>
      <c r="C122" s="15">
        <f>C121+1</f>
        <v>44164.354166666664</v>
      </c>
    </row>
    <row r="123" spans="1:3">
      <c r="A123" t="s">
        <v>29</v>
      </c>
      <c r="B123" s="15">
        <f>ROUND((B121+7)*48, 0) /48</f>
        <v>44169.854166666664</v>
      </c>
      <c r="C123" s="15">
        <f>B123+12/24</f>
        <v>44170.354166666664</v>
      </c>
    </row>
    <row r="124" spans="1:3">
      <c r="A124" t="s">
        <v>30</v>
      </c>
      <c r="B124" s="15">
        <f>B123+1</f>
        <v>44170.854166666664</v>
      </c>
      <c r="C124" s="15">
        <f>C123+1</f>
        <v>44171.354166666664</v>
      </c>
    </row>
    <row r="125" spans="1:3">
      <c r="A125" t="s">
        <v>29</v>
      </c>
      <c r="B125" s="15">
        <f>ROUND((B123+7)*48, 0) /48</f>
        <v>44176.854166666664</v>
      </c>
      <c r="C125" s="15">
        <f>B125+12/24</f>
        <v>44177.354166666664</v>
      </c>
    </row>
    <row r="126" spans="1:3">
      <c r="A126" t="s">
        <v>30</v>
      </c>
      <c r="B126" s="15">
        <f>B125+1</f>
        <v>44177.854166666664</v>
      </c>
      <c r="C126" s="15">
        <f>C125+1</f>
        <v>44178.354166666664</v>
      </c>
    </row>
    <row r="127" spans="1:3">
      <c r="A127" t="s">
        <v>29</v>
      </c>
      <c r="B127" s="15">
        <f>ROUND((B125+7)*48, 0) /48</f>
        <v>44183.854166666664</v>
      </c>
      <c r="C127" s="15">
        <f>B127+12/24</f>
        <v>44184.354166666664</v>
      </c>
    </row>
    <row r="128" spans="1:3">
      <c r="A128" t="s">
        <v>30</v>
      </c>
      <c r="B128" s="15">
        <f>B127+1</f>
        <v>44184.854166666664</v>
      </c>
      <c r="C128" s="15">
        <f>C127+1</f>
        <v>44185.354166666664</v>
      </c>
    </row>
    <row r="129" spans="1:3">
      <c r="A129" t="s">
        <v>29</v>
      </c>
      <c r="B129" s="15">
        <f>ROUND((B127+7)*48, 0) /48</f>
        <v>44190.854166666664</v>
      </c>
      <c r="C129" s="15">
        <f>B129+12/24</f>
        <v>44191.354166666664</v>
      </c>
    </row>
    <row r="130" spans="1:3">
      <c r="A130" t="s">
        <v>30</v>
      </c>
      <c r="B130" s="15">
        <f>B129+1</f>
        <v>44191.854166666664</v>
      </c>
      <c r="C130" s="15">
        <f>C129+1</f>
        <v>44192.354166666664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2" sqref="B2"/>
    </sheetView>
  </sheetViews>
  <sheetFormatPr baseColWidth="10" defaultRowHeight="15" x14ac:dyDescent="0"/>
  <sheetData>
    <row r="1" spans="1:6">
      <c r="A1" t="s">
        <v>33</v>
      </c>
      <c r="B1" t="s">
        <v>96</v>
      </c>
      <c r="C1" t="s">
        <v>97</v>
      </c>
      <c r="E1" t="s">
        <v>101</v>
      </c>
    </row>
    <row r="2" spans="1:6">
      <c r="A2">
        <v>1</v>
      </c>
      <c r="B2">
        <v>0</v>
      </c>
      <c r="C2">
        <v>0</v>
      </c>
      <c r="D2" t="s">
        <v>98</v>
      </c>
    </row>
    <row r="3" spans="1:6">
      <c r="A3">
        <v>1</v>
      </c>
      <c r="B3">
        <v>21.779592696093999</v>
      </c>
      <c r="C3">
        <v>17.869175132346999</v>
      </c>
      <c r="D3" t="s">
        <v>99</v>
      </c>
    </row>
    <row r="4" spans="1:6">
      <c r="A4">
        <v>1</v>
      </c>
      <c r="B4">
        <v>53.239004368228997</v>
      </c>
      <c r="C4">
        <v>38.581173581202997</v>
      </c>
      <c r="D4" t="s">
        <v>100</v>
      </c>
    </row>
    <row r="5" spans="1:6">
      <c r="A5">
        <f t="shared" ref="A5:A28" si="0">A2+1</f>
        <v>2</v>
      </c>
      <c r="B5">
        <v>0</v>
      </c>
      <c r="C5">
        <v>0</v>
      </c>
    </row>
    <row r="6" spans="1:6">
      <c r="A6">
        <f t="shared" si="0"/>
        <v>2</v>
      </c>
      <c r="B6" s="11">
        <v>21.779592699999998</v>
      </c>
      <c r="C6" s="11">
        <v>17.869175129999999</v>
      </c>
    </row>
    <row r="7" spans="1:6">
      <c r="A7">
        <f t="shared" si="0"/>
        <v>2</v>
      </c>
      <c r="B7" s="11">
        <v>53.239004370000004</v>
      </c>
      <c r="C7" s="11">
        <v>38.581173579999998</v>
      </c>
      <c r="E7" t="s">
        <v>94</v>
      </c>
      <c r="F7" t="s">
        <v>95</v>
      </c>
    </row>
    <row r="8" spans="1:6">
      <c r="A8">
        <f t="shared" si="0"/>
        <v>3</v>
      </c>
      <c r="B8">
        <v>0</v>
      </c>
      <c r="C8">
        <v>0</v>
      </c>
      <c r="E8">
        <v>48.575275846506997</v>
      </c>
      <c r="F8">
        <v>43.594062161777003</v>
      </c>
    </row>
    <row r="9" spans="1:6">
      <c r="A9">
        <f t="shared" si="0"/>
        <v>3</v>
      </c>
      <c r="B9">
        <v>18.587775009004002</v>
      </c>
      <c r="C9">
        <v>17.773303709175</v>
      </c>
      <c r="E9">
        <v>230.805567839953</v>
      </c>
      <c r="F9">
        <v>180.32650428269201</v>
      </c>
    </row>
    <row r="10" spans="1:6">
      <c r="A10">
        <f t="shared" si="0"/>
        <v>3</v>
      </c>
      <c r="B10">
        <v>143.271672784922</v>
      </c>
      <c r="C10">
        <v>102.13520291158601</v>
      </c>
      <c r="E10">
        <v>1200</v>
      </c>
      <c r="F10">
        <v>200</v>
      </c>
    </row>
    <row r="11" spans="1:6">
      <c r="A11">
        <f t="shared" si="0"/>
        <v>4</v>
      </c>
      <c r="B11">
        <v>0</v>
      </c>
      <c r="C11">
        <v>0</v>
      </c>
    </row>
    <row r="12" spans="1:6">
      <c r="A12">
        <f t="shared" si="0"/>
        <v>4</v>
      </c>
      <c r="B12">
        <v>49.214170553427003</v>
      </c>
      <c r="C12">
        <v>43.530450445130001</v>
      </c>
      <c r="E12">
        <v>0</v>
      </c>
      <c r="F12">
        <v>0</v>
      </c>
    </row>
    <row r="13" spans="1:6">
      <c r="A13">
        <f t="shared" si="0"/>
        <v>4</v>
      </c>
      <c r="B13">
        <v>145.294775505789</v>
      </c>
      <c r="C13">
        <v>107.43856022913501</v>
      </c>
    </row>
    <row r="14" spans="1:6">
      <c r="A14">
        <f t="shared" si="0"/>
        <v>5</v>
      </c>
      <c r="B14">
        <v>0</v>
      </c>
      <c r="C14">
        <v>0</v>
      </c>
    </row>
    <row r="15" spans="1:6">
      <c r="A15">
        <f t="shared" si="0"/>
        <v>5</v>
      </c>
      <c r="B15">
        <v>78.580624104731001</v>
      </c>
      <c r="C15">
        <v>69.433823095533</v>
      </c>
    </row>
    <row r="16" spans="1:6">
      <c r="A16">
        <f t="shared" si="0"/>
        <v>5</v>
      </c>
      <c r="B16">
        <v>138.439012891879</v>
      </c>
      <c r="C16">
        <v>118.052605180858</v>
      </c>
    </row>
    <row r="17" spans="1:3">
      <c r="A17">
        <f t="shared" si="0"/>
        <v>6</v>
      </c>
      <c r="B17">
        <v>0</v>
      </c>
      <c r="C17">
        <v>0</v>
      </c>
    </row>
    <row r="18" spans="1:3">
      <c r="A18">
        <f t="shared" si="0"/>
        <v>6</v>
      </c>
      <c r="B18">
        <v>21.289505176696998</v>
      </c>
      <c r="C18">
        <v>18.074955862766998</v>
      </c>
    </row>
    <row r="19" spans="1:3">
      <c r="A19">
        <f t="shared" si="0"/>
        <v>6</v>
      </c>
      <c r="B19">
        <v>157.890156116843</v>
      </c>
      <c r="C19">
        <v>129.739471592141</v>
      </c>
    </row>
    <row r="20" spans="1:3">
      <c r="A20">
        <f t="shared" si="0"/>
        <v>7</v>
      </c>
      <c r="B20">
        <v>0</v>
      </c>
      <c r="C20">
        <v>0</v>
      </c>
    </row>
    <row r="21" spans="1:3">
      <c r="A21">
        <f t="shared" si="0"/>
        <v>7</v>
      </c>
      <c r="B21">
        <v>48.568469074555999</v>
      </c>
      <c r="C21">
        <v>43.165098319513</v>
      </c>
    </row>
    <row r="22" spans="1:3">
      <c r="A22">
        <f t="shared" si="0"/>
        <v>7</v>
      </c>
      <c r="B22">
        <v>182.07508491585801</v>
      </c>
      <c r="C22">
        <v>135.767279137131</v>
      </c>
    </row>
    <row r="23" spans="1:3">
      <c r="A23">
        <f t="shared" si="0"/>
        <v>8</v>
      </c>
      <c r="B23">
        <v>0</v>
      </c>
      <c r="C23">
        <v>0</v>
      </c>
    </row>
    <row r="24" spans="1:3">
      <c r="A24">
        <f t="shared" si="0"/>
        <v>8</v>
      </c>
      <c r="B24">
        <v>37.226913320836999</v>
      </c>
      <c r="C24">
        <v>43.039405890292002</v>
      </c>
    </row>
    <row r="25" spans="1:3">
      <c r="A25">
        <f t="shared" si="0"/>
        <v>8</v>
      </c>
      <c r="B25">
        <v>244.135948298561</v>
      </c>
      <c r="C25">
        <v>191.26686116686901</v>
      </c>
    </row>
    <row r="26" spans="1:3">
      <c r="A26">
        <f t="shared" si="0"/>
        <v>9</v>
      </c>
      <c r="B26">
        <v>0</v>
      </c>
      <c r="C26">
        <v>0</v>
      </c>
    </row>
    <row r="27" spans="1:3">
      <c r="A27">
        <f t="shared" si="0"/>
        <v>9</v>
      </c>
      <c r="B27">
        <v>48.575275846506997</v>
      </c>
      <c r="C27">
        <v>43.594062161777003</v>
      </c>
    </row>
    <row r="28" spans="1:3">
      <c r="A28">
        <f t="shared" si="0"/>
        <v>9</v>
      </c>
      <c r="B28">
        <v>230.805567839953</v>
      </c>
      <c r="C28">
        <v>180.32650428269201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maintenance</vt:lpstr>
      <vt:lpstr>reserves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Fripp</dc:creator>
  <cp:lastModifiedBy>Matthias Fripp</cp:lastModifiedBy>
  <dcterms:created xsi:type="dcterms:W3CDTF">2016-04-14T08:11:49Z</dcterms:created>
  <dcterms:modified xsi:type="dcterms:W3CDTF">2017-04-20T07:52:50Z</dcterms:modified>
</cp:coreProperties>
</file>