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General" sheetId="1" r:id="rId1"/>
    <sheet name="Foglio3" sheetId="3" r:id="rId2"/>
  </sheets>
  <calcPr calcId="125725" calcMode="manual" calcCompleted="0" calcOnSave="0"/>
</workbook>
</file>

<file path=xl/calcChain.xml><?xml version="1.0" encoding="utf-8"?>
<calcChain xmlns="http://schemas.openxmlformats.org/spreadsheetml/2006/main">
  <c r="AJ6" i="1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6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6"/>
  <c r="V6"/>
  <c r="V7"/>
  <c r="AA7" s="1"/>
  <c r="V8"/>
  <c r="AA8" s="1"/>
  <c r="V9"/>
  <c r="AA9" s="1"/>
  <c r="O7"/>
  <c r="O8"/>
  <c r="O9"/>
  <c r="O6"/>
  <c r="AA6" s="1"/>
  <c r="AL7"/>
  <c r="AL8"/>
  <c r="AL9"/>
  <c r="AL6"/>
  <c r="Z19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Y19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S35"/>
  <c r="U35" s="1"/>
  <c r="AI8"/>
  <c r="V10"/>
  <c r="O10" s="1"/>
  <c r="P10" s="1"/>
  <c r="V11"/>
  <c r="O11" s="1"/>
  <c r="P11" s="1"/>
  <c r="V12"/>
  <c r="O12" s="1"/>
  <c r="P12" s="1"/>
  <c r="V13"/>
  <c r="O13" s="1"/>
  <c r="P13" s="1"/>
  <c r="V14"/>
  <c r="O14" s="1"/>
  <c r="P14" s="1"/>
  <c r="V15"/>
  <c r="O15" s="1"/>
  <c r="P15" s="1"/>
  <c r="V16"/>
  <c r="O16" s="1"/>
  <c r="P16" s="1"/>
  <c r="V17"/>
  <c r="O17" s="1"/>
  <c r="P17" s="1"/>
  <c r="V18"/>
  <c r="O18" s="1"/>
  <c r="P18" s="1"/>
  <c r="V19"/>
  <c r="O19" s="1"/>
  <c r="P19" s="1"/>
  <c r="V20"/>
  <c r="O20" s="1"/>
  <c r="P20" s="1"/>
  <c r="V21"/>
  <c r="O21" s="1"/>
  <c r="P21" s="1"/>
  <c r="V22"/>
  <c r="O22" s="1"/>
  <c r="P22" s="1"/>
  <c r="V23"/>
  <c r="O23" s="1"/>
  <c r="P23" s="1"/>
  <c r="V24"/>
  <c r="O24" s="1"/>
  <c r="P24" s="1"/>
  <c r="V25"/>
  <c r="O25" s="1"/>
  <c r="P25" s="1"/>
  <c r="V26"/>
  <c r="O26" s="1"/>
  <c r="P26" s="1"/>
  <c r="V27"/>
  <c r="O27" s="1"/>
  <c r="P27" s="1"/>
  <c r="V28"/>
  <c r="O28" s="1"/>
  <c r="P28" s="1"/>
  <c r="V29"/>
  <c r="O29" s="1"/>
  <c r="P29" s="1"/>
  <c r="V30"/>
  <c r="O30" s="1"/>
  <c r="P30" s="1"/>
  <c r="V31"/>
  <c r="O31" s="1"/>
  <c r="P31" s="1"/>
  <c r="V32"/>
  <c r="O32" s="1"/>
  <c r="P32" s="1"/>
  <c r="V33"/>
  <c r="O33" s="1"/>
  <c r="P33" s="1"/>
  <c r="V34"/>
  <c r="O34" s="1"/>
  <c r="P34" s="1"/>
  <c r="R7"/>
  <c r="T7" s="1"/>
  <c r="R8"/>
  <c r="T8" s="1"/>
  <c r="R9"/>
  <c r="T9" s="1"/>
  <c r="R10"/>
  <c r="T10" s="1"/>
  <c r="R11"/>
  <c r="T11" s="1"/>
  <c r="R12"/>
  <c r="T12" s="1"/>
  <c r="R13"/>
  <c r="T13" s="1"/>
  <c r="R14"/>
  <c r="T14" s="1"/>
  <c r="R15"/>
  <c r="T15" s="1"/>
  <c r="R16"/>
  <c r="T16" s="1"/>
  <c r="R17"/>
  <c r="T17" s="1"/>
  <c r="R18"/>
  <c r="T18" s="1"/>
  <c r="R19"/>
  <c r="T19" s="1"/>
  <c r="R20"/>
  <c r="T20" s="1"/>
  <c r="R21"/>
  <c r="T21" s="1"/>
  <c r="R22"/>
  <c r="T22" s="1"/>
  <c r="R23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R33"/>
  <c r="T33" s="1"/>
  <c r="R34"/>
  <c r="T34" s="1"/>
  <c r="R35"/>
  <c r="T35" s="1"/>
  <c r="R6"/>
  <c r="R37" s="1"/>
  <c r="P7"/>
  <c r="P8"/>
  <c r="P9"/>
  <c r="P35"/>
  <c r="P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6"/>
  <c r="N20"/>
  <c r="N21"/>
  <c r="N22"/>
  <c r="N23"/>
  <c r="N24"/>
  <c r="N25"/>
  <c r="N26"/>
  <c r="N27"/>
  <c r="N28"/>
  <c r="N29"/>
  <c r="N30"/>
  <c r="N31"/>
  <c r="N32"/>
  <c r="N33"/>
  <c r="N34"/>
  <c r="N35"/>
  <c r="N7"/>
  <c r="N8"/>
  <c r="N9"/>
  <c r="N10"/>
  <c r="N11"/>
  <c r="N12"/>
  <c r="N13"/>
  <c r="N14"/>
  <c r="N15"/>
  <c r="N16"/>
  <c r="N17"/>
  <c r="N18"/>
  <c r="N19"/>
  <c r="N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7"/>
  <c r="H6"/>
  <c r="F35"/>
  <c r="F6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7"/>
  <c r="F8"/>
  <c r="F9"/>
  <c r="B7"/>
  <c r="C7" s="1"/>
  <c r="D7" s="1"/>
  <c r="B8"/>
  <c r="C8" s="1"/>
  <c r="D8" s="1"/>
  <c r="B9"/>
  <c r="C9" s="1"/>
  <c r="D9" s="1"/>
  <c r="B10"/>
  <c r="C10" s="1"/>
  <c r="D10" s="1"/>
  <c r="B11"/>
  <c r="C11" s="1"/>
  <c r="D11" s="1"/>
  <c r="B12"/>
  <c r="C12" s="1"/>
  <c r="D12" s="1"/>
  <c r="B13"/>
  <c r="C13" s="1"/>
  <c r="D13" s="1"/>
  <c r="B14"/>
  <c r="C14" s="1"/>
  <c r="D14" s="1"/>
  <c r="E14" s="1"/>
  <c r="B15"/>
  <c r="C15" s="1"/>
  <c r="D15" s="1"/>
  <c r="B16"/>
  <c r="C16" s="1"/>
  <c r="D16" s="1"/>
  <c r="E16" s="1"/>
  <c r="B17"/>
  <c r="C17" s="1"/>
  <c r="D17" s="1"/>
  <c r="B18"/>
  <c r="C18" s="1"/>
  <c r="D18" s="1"/>
  <c r="E18" s="1"/>
  <c r="B19"/>
  <c r="C19" s="1"/>
  <c r="D19" s="1"/>
  <c r="B20"/>
  <c r="C20" s="1"/>
  <c r="D20" s="1"/>
  <c r="E20" s="1"/>
  <c r="B21"/>
  <c r="C21" s="1"/>
  <c r="D21" s="1"/>
  <c r="B22"/>
  <c r="C22" s="1"/>
  <c r="D22" s="1"/>
  <c r="E22" s="1"/>
  <c r="B23"/>
  <c r="C23" s="1"/>
  <c r="D23" s="1"/>
  <c r="B24"/>
  <c r="C24" s="1"/>
  <c r="D24" s="1"/>
  <c r="E24" s="1"/>
  <c r="B25"/>
  <c r="C25" s="1"/>
  <c r="D25" s="1"/>
  <c r="B26"/>
  <c r="C26" s="1"/>
  <c r="D26" s="1"/>
  <c r="E26" s="1"/>
  <c r="B27"/>
  <c r="C27" s="1"/>
  <c r="D27" s="1"/>
  <c r="B28"/>
  <c r="C28" s="1"/>
  <c r="D28" s="1"/>
  <c r="E28" s="1"/>
  <c r="B29"/>
  <c r="C29" s="1"/>
  <c r="D29" s="1"/>
  <c r="B30"/>
  <c r="C30" s="1"/>
  <c r="D30" s="1"/>
  <c r="E30" s="1"/>
  <c r="B31"/>
  <c r="C31" s="1"/>
  <c r="D31" s="1"/>
  <c r="B32"/>
  <c r="C32" s="1"/>
  <c r="D32" s="1"/>
  <c r="E32" s="1"/>
  <c r="B33"/>
  <c r="C33" s="1"/>
  <c r="D33" s="1"/>
  <c r="B34"/>
  <c r="C34" s="1"/>
  <c r="D34" s="1"/>
  <c r="E34" s="1"/>
  <c r="B35"/>
  <c r="C35" s="1"/>
  <c r="D35" s="1"/>
  <c r="B6"/>
  <c r="C6" s="1"/>
  <c r="D6" s="1"/>
  <c r="E12" l="1"/>
  <c r="E10"/>
  <c r="E8"/>
  <c r="T6"/>
  <c r="T37" s="1"/>
  <c r="AL34"/>
  <c r="AL32"/>
  <c r="AL30"/>
  <c r="AL28"/>
  <c r="AL26"/>
  <c r="AL24"/>
  <c r="AL22"/>
  <c r="AL20"/>
  <c r="AL18"/>
  <c r="AL16"/>
  <c r="AL14"/>
  <c r="AL12"/>
  <c r="AL10"/>
  <c r="AA33"/>
  <c r="AA31"/>
  <c r="AA29"/>
  <c r="AA27"/>
  <c r="AA25"/>
  <c r="AA23"/>
  <c r="AA21"/>
  <c r="AA19"/>
  <c r="AA17"/>
  <c r="AA15"/>
  <c r="AA13"/>
  <c r="AA11"/>
  <c r="AI34"/>
  <c r="AI32"/>
  <c r="AI30"/>
  <c r="AI28"/>
  <c r="AI26"/>
  <c r="AI24"/>
  <c r="AI22"/>
  <c r="AI20"/>
  <c r="AI18"/>
  <c r="AI16"/>
  <c r="AI14"/>
  <c r="AI12"/>
  <c r="AI10"/>
  <c r="AL33"/>
  <c r="AL31"/>
  <c r="AL29"/>
  <c r="AL27"/>
  <c r="AL25"/>
  <c r="AL23"/>
  <c r="AL21"/>
  <c r="AL19"/>
  <c r="AL17"/>
  <c r="AL15"/>
  <c r="AL13"/>
  <c r="AL11"/>
  <c r="AL36" s="1"/>
  <c r="AM36" s="1"/>
  <c r="AA34"/>
  <c r="AA32"/>
  <c r="AA30"/>
  <c r="AA28"/>
  <c r="AA26"/>
  <c r="AA24"/>
  <c r="AA22"/>
  <c r="AA20"/>
  <c r="AA18"/>
  <c r="AA16"/>
  <c r="AA14"/>
  <c r="AA12"/>
  <c r="AA10"/>
  <c r="AH34"/>
  <c r="AH32"/>
  <c r="AH30"/>
  <c r="AH28"/>
  <c r="AH26"/>
  <c r="AH24"/>
  <c r="AH22"/>
  <c r="AH20"/>
  <c r="AH18"/>
  <c r="AH16"/>
  <c r="AH14"/>
  <c r="AH12"/>
  <c r="AH10"/>
  <c r="AH8"/>
  <c r="AJ8" s="1"/>
  <c r="AI6"/>
  <c r="AI33"/>
  <c r="AI31"/>
  <c r="AI29"/>
  <c r="AI27"/>
  <c r="AI25"/>
  <c r="AI23"/>
  <c r="AI21"/>
  <c r="AI19"/>
  <c r="AI17"/>
  <c r="AI15"/>
  <c r="AI13"/>
  <c r="AI11"/>
  <c r="AI9"/>
  <c r="AI7"/>
  <c r="S6"/>
  <c r="U6" s="1"/>
  <c r="AE6"/>
  <c r="AH6"/>
  <c r="AH33"/>
  <c r="AJ33" s="1"/>
  <c r="AH31"/>
  <c r="AJ31" s="1"/>
  <c r="AH29"/>
  <c r="AJ29" s="1"/>
  <c r="AH27"/>
  <c r="AJ27" s="1"/>
  <c r="AH25"/>
  <c r="AJ25" s="1"/>
  <c r="AH23"/>
  <c r="AJ23" s="1"/>
  <c r="AH21"/>
  <c r="AJ21" s="1"/>
  <c r="AH19"/>
  <c r="AJ19" s="1"/>
  <c r="AH17"/>
  <c r="AJ17" s="1"/>
  <c r="AH15"/>
  <c r="AJ15" s="1"/>
  <c r="AH13"/>
  <c r="AJ13" s="1"/>
  <c r="AH11"/>
  <c r="AJ11" s="1"/>
  <c r="AH9"/>
  <c r="AJ9" s="1"/>
  <c r="AH7"/>
  <c r="AJ7" s="1"/>
  <c r="AF6"/>
  <c r="AG6" s="1"/>
  <c r="AF28"/>
  <c r="AF26"/>
  <c r="AF24"/>
  <c r="AF22"/>
  <c r="AF20"/>
  <c r="AF18"/>
  <c r="AF16"/>
  <c r="AF14"/>
  <c r="AF12"/>
  <c r="AF10"/>
  <c r="AF8"/>
  <c r="AF34"/>
  <c r="AF32"/>
  <c r="AF30"/>
  <c r="AE33"/>
  <c r="AE31"/>
  <c r="AE29"/>
  <c r="AE27"/>
  <c r="AE25"/>
  <c r="AE23"/>
  <c r="AE21"/>
  <c r="AE19"/>
  <c r="AE17"/>
  <c r="AE15"/>
  <c r="AE13"/>
  <c r="AE11"/>
  <c r="AE9"/>
  <c r="AE7"/>
  <c r="S34"/>
  <c r="U34" s="1"/>
  <c r="S32"/>
  <c r="U32" s="1"/>
  <c r="S30"/>
  <c r="U30" s="1"/>
  <c r="S28"/>
  <c r="U28" s="1"/>
  <c r="S26"/>
  <c r="U26" s="1"/>
  <c r="S24"/>
  <c r="U24" s="1"/>
  <c r="S22"/>
  <c r="U22" s="1"/>
  <c r="S20"/>
  <c r="U20" s="1"/>
  <c r="S18"/>
  <c r="U18" s="1"/>
  <c r="S16"/>
  <c r="U16" s="1"/>
  <c r="S14"/>
  <c r="U14" s="1"/>
  <c r="S12"/>
  <c r="U12" s="1"/>
  <c r="S10"/>
  <c r="U10" s="1"/>
  <c r="S8"/>
  <c r="U8" s="1"/>
  <c r="S33"/>
  <c r="U33" s="1"/>
  <c r="S31"/>
  <c r="U31" s="1"/>
  <c r="S29"/>
  <c r="U29" s="1"/>
  <c r="S27"/>
  <c r="U27" s="1"/>
  <c r="S25"/>
  <c r="U25" s="1"/>
  <c r="S23"/>
  <c r="U23" s="1"/>
  <c r="S21"/>
  <c r="U21" s="1"/>
  <c r="S19"/>
  <c r="U19" s="1"/>
  <c r="S17"/>
  <c r="U17" s="1"/>
  <c r="S15"/>
  <c r="U15" s="1"/>
  <c r="S13"/>
  <c r="U13" s="1"/>
  <c r="S11"/>
  <c r="U11" s="1"/>
  <c r="S9"/>
  <c r="U9" s="1"/>
  <c r="S7"/>
  <c r="U7" s="1"/>
  <c r="E35"/>
  <c r="E33"/>
  <c r="E31"/>
  <c r="E29"/>
  <c r="E27"/>
  <c r="E25"/>
  <c r="E23"/>
  <c r="E21"/>
  <c r="E19"/>
  <c r="E17"/>
  <c r="E15"/>
  <c r="E13"/>
  <c r="E11"/>
  <c r="E9"/>
  <c r="E7"/>
  <c r="AJ12" l="1"/>
  <c r="AJ16"/>
  <c r="AJ20"/>
  <c r="AJ24"/>
  <c r="AJ28"/>
  <c r="AJ32"/>
  <c r="AJ10"/>
  <c r="AJ14"/>
  <c r="AJ18"/>
  <c r="AJ22"/>
  <c r="AJ26"/>
  <c r="AJ30"/>
  <c r="AJ34"/>
  <c r="AJ36"/>
  <c r="U37"/>
  <c r="T39" s="1"/>
  <c r="S37"/>
  <c r="AF7"/>
  <c r="AG7" s="1"/>
  <c r="AF11"/>
  <c r="AG11" s="1"/>
  <c r="AF15"/>
  <c r="AG15" s="1"/>
  <c r="AF19"/>
  <c r="AG19" s="1"/>
  <c r="AF23"/>
  <c r="AG23" s="1"/>
  <c r="AF27"/>
  <c r="AG27" s="1"/>
  <c r="AF31"/>
  <c r="AG31" s="1"/>
  <c r="AE8"/>
  <c r="AE12"/>
  <c r="AE16"/>
  <c r="AE20"/>
  <c r="AE24"/>
  <c r="AF9"/>
  <c r="AG9" s="1"/>
  <c r="AF13"/>
  <c r="AG13" s="1"/>
  <c r="AF17"/>
  <c r="AG17" s="1"/>
  <c r="AF21"/>
  <c r="AG21" s="1"/>
  <c r="AF25"/>
  <c r="AG25" s="1"/>
  <c r="AF29"/>
  <c r="AG29" s="1"/>
  <c r="AF33"/>
  <c r="AG33" s="1"/>
  <c r="AE10"/>
  <c r="AG10" s="1"/>
  <c r="AE14"/>
  <c r="AG14" s="1"/>
  <c r="AE18"/>
  <c r="AG18" s="1"/>
  <c r="AE22"/>
  <c r="AG22" s="1"/>
  <c r="AE26"/>
  <c r="AG26" s="1"/>
  <c r="AE30"/>
  <c r="AG30" s="1"/>
  <c r="AE34"/>
  <c r="AG34" s="1"/>
  <c r="AE28"/>
  <c r="AG28" s="1"/>
  <c r="AE32"/>
  <c r="AG32" s="1"/>
  <c r="AG8"/>
  <c r="AG12"/>
  <c r="AG16"/>
  <c r="AG20"/>
  <c r="AG24"/>
  <c r="AG36" l="1"/>
  <c r="Z39" s="1"/>
</calcChain>
</file>

<file path=xl/sharedStrings.xml><?xml version="1.0" encoding="utf-8"?>
<sst xmlns="http://schemas.openxmlformats.org/spreadsheetml/2006/main" count="39" uniqueCount="37">
  <si>
    <t>Notional Per Bank</t>
  </si>
  <si>
    <t>Date</t>
  </si>
  <si>
    <t>Day</t>
  </si>
  <si>
    <t>Corrected Day</t>
  </si>
  <si>
    <t>Fixed Rate</t>
  </si>
  <si>
    <t>Amortizing$</t>
  </si>
  <si>
    <t>Libor liscio (NS)</t>
  </si>
  <si>
    <t>Floor</t>
  </si>
  <si>
    <t>Cap</t>
  </si>
  <si>
    <t>%CofM-&gt;B</t>
  </si>
  <si>
    <t>$CofM-&gt;b</t>
  </si>
  <si>
    <t>QuoteCap</t>
  </si>
  <si>
    <t>Value Date</t>
  </si>
  <si>
    <t>Tau</t>
  </si>
  <si>
    <t>T</t>
  </si>
  <si>
    <t>$B-&gt;CofM</t>
  </si>
  <si>
    <t>Fwd Liscio (NS)</t>
  </si>
  <si>
    <t>Spot</t>
  </si>
  <si>
    <t>Fwd</t>
  </si>
  <si>
    <t>fwd classic</t>
  </si>
  <si>
    <t>FlLeg</t>
  </si>
  <si>
    <t>Fileg</t>
  </si>
  <si>
    <t>n(-d1)</t>
  </si>
  <si>
    <t>n(-d2)</t>
  </si>
  <si>
    <t>n(d1)</t>
  </si>
  <si>
    <t>n(d2)</t>
  </si>
  <si>
    <t>vol floor</t>
  </si>
  <si>
    <t>vol cap</t>
  </si>
  <si>
    <t>d1 floor</t>
  </si>
  <si>
    <t>d2 floor</t>
  </si>
  <si>
    <t>d1 cap</t>
  </si>
  <si>
    <t>d2 cap</t>
  </si>
  <si>
    <t>valore contratto</t>
  </si>
  <si>
    <t>DF</t>
  </si>
  <si>
    <t>Fair Fixed Rate</t>
  </si>
  <si>
    <t>FI</t>
  </si>
  <si>
    <t>FL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</si>
</sst>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2"/>
  <sheetViews>
    <sheetView tabSelected="1" topLeftCell="P3" zoomScale="70" zoomScaleNormal="70" workbookViewId="0">
      <selection activeCell="AD6" sqref="AD6"/>
    </sheetView>
  </sheetViews>
  <sheetFormatPr defaultRowHeight="15"/>
  <cols>
    <col min="1" max="1" width="17" bestFit="1" customWidth="1"/>
    <col min="3" max="3" width="13.5703125" bestFit="1" customWidth="1"/>
    <col min="4" max="4" width="6.42578125" customWidth="1"/>
    <col min="5" max="5" width="5.140625" customWidth="1"/>
    <col min="6" max="6" width="9.42578125" customWidth="1"/>
    <col min="7" max="7" width="12.7109375" customWidth="1"/>
    <col min="8" max="8" width="10.85546875" customWidth="1"/>
    <col min="9" max="10" width="14.85546875" customWidth="1"/>
    <col min="13" max="13" width="10.42578125" customWidth="1"/>
    <col min="22" max="22" width="12" customWidth="1"/>
    <col min="31" max="31" width="12.28515625" bestFit="1" customWidth="1"/>
    <col min="36" max="36" width="14.85546875" bestFit="1" customWidth="1"/>
    <col min="39" max="39" width="9.140625" customWidth="1"/>
  </cols>
  <sheetData>
    <row r="1" spans="1:38">
      <c r="A1" t="s">
        <v>0</v>
      </c>
      <c r="B1" t="s">
        <v>4</v>
      </c>
      <c r="C1" t="s">
        <v>12</v>
      </c>
    </row>
    <row r="2" spans="1:38">
      <c r="A2">
        <v>421.33674999999999</v>
      </c>
      <c r="B2">
        <v>4.0189999999999997E-2</v>
      </c>
      <c r="C2" s="1">
        <v>38532</v>
      </c>
      <c r="D2" s="1"/>
      <c r="E2" s="1"/>
    </row>
    <row r="3" spans="1:38" ht="15.75" thickBot="1"/>
    <row r="4" spans="1:38" ht="15.75" thickBot="1">
      <c r="M4" s="7" t="s">
        <v>17</v>
      </c>
      <c r="N4" s="8"/>
      <c r="O4" s="7" t="s">
        <v>18</v>
      </c>
      <c r="P4" s="8"/>
    </row>
    <row r="5" spans="1:38" ht="15.75" thickBot="1">
      <c r="A5" s="4" t="s">
        <v>1</v>
      </c>
      <c r="B5" s="5" t="s">
        <v>2</v>
      </c>
      <c r="C5" s="5" t="s">
        <v>3</v>
      </c>
      <c r="D5" s="5" t="s">
        <v>14</v>
      </c>
      <c r="E5" s="5" t="s">
        <v>13</v>
      </c>
      <c r="F5" s="5" t="s">
        <v>15</v>
      </c>
      <c r="G5" s="9" t="s">
        <v>5</v>
      </c>
      <c r="H5" s="9" t="s">
        <v>11</v>
      </c>
      <c r="I5" s="5" t="s">
        <v>6</v>
      </c>
      <c r="J5" s="5" t="s">
        <v>16</v>
      </c>
      <c r="K5" s="5" t="s">
        <v>7</v>
      </c>
      <c r="L5" s="5" t="s">
        <v>8</v>
      </c>
      <c r="M5" s="5" t="s">
        <v>9</v>
      </c>
      <c r="N5" s="5" t="s">
        <v>10</v>
      </c>
      <c r="O5" s="5" t="s">
        <v>9</v>
      </c>
      <c r="P5" s="5" t="s">
        <v>10</v>
      </c>
      <c r="Q5" s="5" t="s">
        <v>33</v>
      </c>
      <c r="R5" s="5" t="s">
        <v>35</v>
      </c>
      <c r="S5" s="5" t="s">
        <v>36</v>
      </c>
      <c r="T5" s="9" t="s">
        <v>21</v>
      </c>
      <c r="U5" s="9" t="s">
        <v>20</v>
      </c>
      <c r="V5" s="9" t="s">
        <v>19</v>
      </c>
      <c r="W5" s="5"/>
      <c r="X5" s="5"/>
      <c r="Y5" s="5" t="s">
        <v>26</v>
      </c>
      <c r="Z5" s="5" t="s">
        <v>27</v>
      </c>
      <c r="AA5" s="5" t="s">
        <v>28</v>
      </c>
      <c r="AB5" s="5" t="s">
        <v>29</v>
      </c>
      <c r="AC5" s="5" t="s">
        <v>30</v>
      </c>
      <c r="AD5" s="5" t="s">
        <v>31</v>
      </c>
      <c r="AE5" s="5" t="s">
        <v>22</v>
      </c>
      <c r="AF5" s="5" t="s">
        <v>23</v>
      </c>
      <c r="AG5" s="5"/>
      <c r="AH5" s="5" t="s">
        <v>24</v>
      </c>
      <c r="AI5" s="5" t="s">
        <v>25</v>
      </c>
      <c r="AJ5" s="5"/>
      <c r="AK5" s="5"/>
      <c r="AL5" s="6"/>
    </row>
    <row r="6" spans="1:38">
      <c r="A6" s="1">
        <v>38897</v>
      </c>
      <c r="B6">
        <f>WEEKDAY(A6)</f>
        <v>5</v>
      </c>
      <c r="C6" s="1">
        <f>IF(B6=7,A6+2,IF(B6=1,A6+1,A6))</f>
        <v>38897</v>
      </c>
      <c r="D6" s="2">
        <f>(C6-C$2)/365</f>
        <v>1</v>
      </c>
      <c r="E6" s="2"/>
      <c r="F6">
        <f>B$2*A$2</f>
        <v>16.933523982499999</v>
      </c>
      <c r="G6" s="10">
        <v>421.33674999999999</v>
      </c>
      <c r="H6" s="10">
        <f>G6-G7</f>
        <v>7.4886638799999901</v>
      </c>
      <c r="I6">
        <v>2.0493572958601294E-2</v>
      </c>
      <c r="J6">
        <v>2.0876285965132631E-2</v>
      </c>
      <c r="K6">
        <v>3.4799999999999998E-2</v>
      </c>
      <c r="L6">
        <v>6.1899999999999997E-2</v>
      </c>
      <c r="M6">
        <f>IF(I6&lt;=$K$6,$K$6,IF(I6&gt;=$L$6,$L$6,I6))</f>
        <v>3.4799999999999998E-2</v>
      </c>
      <c r="N6">
        <f t="shared" ref="N6:N35" si="0">M6*G6</f>
        <v>14.662518899999998</v>
      </c>
      <c r="O6">
        <f>IF(V6&lt;=$K$6,$K$6,IF(V6&gt;=$L$6,$L$6,V6))</f>
        <v>3.4799999999999998E-2</v>
      </c>
      <c r="P6">
        <f>O6*G6</f>
        <v>14.662518899999998</v>
      </c>
      <c r="Q6">
        <v>0.97941474255879446</v>
      </c>
      <c r="R6">
        <f>$G$6*0.04019</f>
        <v>16.933523982499999</v>
      </c>
      <c r="S6">
        <f>V6*G6</f>
        <v>9.529558219360819</v>
      </c>
      <c r="T6" s="10">
        <f>R6*Q6</f>
        <v>16.58494303193341</v>
      </c>
      <c r="U6" s="10">
        <f>(S6+H6)*Q6</f>
        <v>16.667897616253853</v>
      </c>
      <c r="V6" s="10">
        <f>Q6/Q7-1</f>
        <v>2.2617438947257318E-2</v>
      </c>
      <c r="X6">
        <v>1</v>
      </c>
      <c r="Y6" s="3">
        <v>16.55</v>
      </c>
      <c r="Z6" s="3">
        <v>20.55</v>
      </c>
      <c r="AA6">
        <f>(LN(V6/$O$6)+X6*(Y6/100)^2/2)/((Y6/100)*SQRT(X6))</f>
        <v>-2.5208520738664184</v>
      </c>
      <c r="AB6">
        <f>(LN(V6/$O$6)-X6*(Y6/100^2/2))/((Y6/100)*SQRT(X6))</f>
        <v>-2.6086020738664182</v>
      </c>
      <c r="AC6">
        <f>(LN(V6/$L$6)+X6*(Z6/100)^2/2)/((Z6/100)*SQRT(X6))</f>
        <v>-4.7965148960341315</v>
      </c>
      <c r="AD6">
        <f>(LN(V6/$L$6)-X6*(Z6/100)^2/2)/((Z6/100)*SQRT(X6))</f>
        <v>-5.0020148960341304</v>
      </c>
      <c r="AE6">
        <f>NORMSDIST(-AA6)</f>
        <v>0.99414644720136547</v>
      </c>
      <c r="AF6">
        <f>NORMSDIST(-AB6)</f>
        <v>0.99545435534538718</v>
      </c>
      <c r="AG6">
        <f>Q6*($O$6*AF6-V6*AE6)*G6</f>
        <v>5.0166522727486491</v>
      </c>
      <c r="AH6">
        <f>NORMSDIST(AC6)</f>
        <v>8.0724992512770655E-7</v>
      </c>
      <c r="AI6">
        <f>NORMSDIST(AD6)</f>
        <v>2.8367102757120616E-7</v>
      </c>
      <c r="AJ6">
        <f ca="1">Q6*(V6*AH6-$L$6*AI6)*G6</f>
        <v>2.8832351513483067E-7</v>
      </c>
      <c r="AL6">
        <f>V6*Q6</f>
        <v>2.2151853143867278E-2</v>
      </c>
    </row>
    <row r="7" spans="1:38">
      <c r="A7" s="1">
        <v>39262</v>
      </c>
      <c r="B7">
        <f t="shared" ref="B7:B35" si="1">WEEKDAY(A7)</f>
        <v>6</v>
      </c>
      <c r="C7" s="1">
        <f t="shared" ref="C7:C35" si="2">IF(B7=7,A7+2,IF(B7=1,A7+1,A7))</f>
        <v>39262</v>
      </c>
      <c r="D7" s="2">
        <f t="shared" ref="D7:D35" si="3">(C7-C$2)/365</f>
        <v>2</v>
      </c>
      <c r="E7" s="2">
        <f>D7-D6</f>
        <v>1</v>
      </c>
      <c r="F7">
        <f t="shared" ref="F7:F34" si="4">B$2*A$2</f>
        <v>16.933523982499999</v>
      </c>
      <c r="G7" s="10">
        <v>413.84808612</v>
      </c>
      <c r="H7" s="10">
        <f>G7-G8</f>
        <v>7.7896332800000323</v>
      </c>
      <c r="I7">
        <v>2.1554859609070387E-2</v>
      </c>
      <c r="J7">
        <v>2.4655324578505285E-2</v>
      </c>
      <c r="M7">
        <f t="shared" ref="M7:M35" si="5">IF(I7&lt;=$K$6,$K$6,IF(I7&gt;=$L$6,$L$6,I7))</f>
        <v>3.4799999999999998E-2</v>
      </c>
      <c r="N7">
        <f t="shared" si="0"/>
        <v>14.401913396975999</v>
      </c>
      <c r="O7">
        <f t="shared" ref="O7:O34" si="6">IF(V7&lt;=$K$6,$K$6,IF(V7&gt;=$L$6,$L$6,V7))</f>
        <v>3.4799999999999998E-2</v>
      </c>
      <c r="P7">
        <f t="shared" ref="P7:P35" si="7">O7*G7</f>
        <v>14.401913396975999</v>
      </c>
      <c r="Q7">
        <v>0.95775282647933491</v>
      </c>
      <c r="R7">
        <f t="shared" ref="R7:R35" si="8">$G$6*0.04019</f>
        <v>16.933523982499999</v>
      </c>
      <c r="S7">
        <f t="shared" ref="S7:S35" si="9">V7*G7</f>
        <v>11.212153723816003</v>
      </c>
      <c r="T7" s="10">
        <f t="shared" ref="T7:T34" si="10">R7*Q7</f>
        <v>16.218130456494979</v>
      </c>
      <c r="U7" s="10">
        <f t="shared" ref="U7:U35" si="11">(S7+H7)*Q7</f>
        <v>18.199015211063099</v>
      </c>
      <c r="V7" s="10">
        <f t="shared" ref="V7:V34" si="12">Q7/Q8-1</f>
        <v>2.7092438263843777E-2</v>
      </c>
      <c r="X7">
        <v>2</v>
      </c>
      <c r="Y7" s="3">
        <v>22.75</v>
      </c>
      <c r="Z7" s="3">
        <v>25.8</v>
      </c>
      <c r="AA7">
        <f t="shared" ref="AA7:AA36" si="13">(LN(V7/$O$6)+X7*(Y7/100)^2/2)/((Y7/100)*SQRT(X7))</f>
        <v>-0.61730104556557464</v>
      </c>
      <c r="AB7">
        <f t="shared" ref="AB7:AB34" si="14">(LN(V7/$O$6)-X7*(Y7/100^2/2))/((Y7/100)*SQRT(X7))</f>
        <v>-0.78523890609737979</v>
      </c>
      <c r="AC7">
        <f t="shared" ref="AC7:AC34" si="15">(LN(V7/$L$6)+(X7*(Z7/100)^2)/2)/((Z7/100)*SQRT(X7))</f>
        <v>-2.0821321612328378</v>
      </c>
      <c r="AD7">
        <f t="shared" ref="AD7:AD34" si="16">(LN(V7/$L$6)-X7*(Z7/100)^2/2)/((Z7/100)*SQRT(X7))</f>
        <v>-2.4469992603250961</v>
      </c>
      <c r="AE7">
        <f t="shared" ref="AE7:AE34" si="17">NORMSDIST(-AA7)</f>
        <v>0.73148191133875851</v>
      </c>
      <c r="AF7">
        <f t="shared" ref="AF7:AF34" si="18">NORMSDIST(-AB7)</f>
        <v>0.7838432458455078</v>
      </c>
      <c r="AG7">
        <f>Q7*($O$6*AF7-V7*AE7)*G7</f>
        <v>2.9569228888599421</v>
      </c>
      <c r="AH7">
        <f t="shared" ref="AH7:AH34" si="19">NORMSDIST(AC7)</f>
        <v>1.8665199808826305E-2</v>
      </c>
      <c r="AI7">
        <f t="shared" ref="AI7:AI34" si="20">NORMSDIST(AD7)</f>
        <v>7.2025567337206109E-3</v>
      </c>
      <c r="AJ7">
        <f>Q7*(V7*AH7-$L$6*AI7)*G7</f>
        <v>2.3721409548066768E-2</v>
      </c>
      <c r="AL7">
        <f t="shared" ref="AL7:AL34" si="21">V7*Q7</f>
        <v>2.5947859323413262E-2</v>
      </c>
    </row>
    <row r="8" spans="1:38">
      <c r="A8" s="1">
        <v>39628</v>
      </c>
      <c r="B8">
        <f t="shared" si="1"/>
        <v>1</v>
      </c>
      <c r="C8" s="1">
        <f t="shared" si="2"/>
        <v>39629</v>
      </c>
      <c r="D8" s="2">
        <f t="shared" si="3"/>
        <v>3.0054794520547947</v>
      </c>
      <c r="E8" s="2">
        <f t="shared" ref="E8:E35" si="22">D8-D7</f>
        <v>1.0054794520547947</v>
      </c>
      <c r="F8">
        <f t="shared" si="4"/>
        <v>16.933523982499999</v>
      </c>
      <c r="G8" s="10">
        <v>406.05845283999997</v>
      </c>
      <c r="H8" s="10">
        <f t="shared" ref="H8:H35" si="23">G8-G9</f>
        <v>8.1026986499999794</v>
      </c>
      <c r="I8">
        <v>2.3327019472864835E-2</v>
      </c>
      <c r="J8">
        <v>2.9038255663361032E-2</v>
      </c>
      <c r="M8">
        <f t="shared" si="5"/>
        <v>3.4799999999999998E-2</v>
      </c>
      <c r="N8">
        <f t="shared" si="0"/>
        <v>14.130834158831998</v>
      </c>
      <c r="O8">
        <f t="shared" si="6"/>
        <v>3.4799999999999998E-2</v>
      </c>
      <c r="P8">
        <f t="shared" si="7"/>
        <v>14.130834158831998</v>
      </c>
      <c r="Q8">
        <v>0.93248941458305556</v>
      </c>
      <c r="R8">
        <f t="shared" si="8"/>
        <v>16.933523982499999</v>
      </c>
      <c r="S8">
        <f t="shared" si="9"/>
        <v>12.37307400794225</v>
      </c>
      <c r="T8" s="10">
        <f t="shared" si="10"/>
        <v>15.790331865269556</v>
      </c>
      <c r="U8" s="10">
        <f t="shared" si="11"/>
        <v>19.093441258940285</v>
      </c>
      <c r="V8" s="10">
        <f t="shared" si="12"/>
        <v>3.0471164733560263E-2</v>
      </c>
      <c r="X8">
        <v>3</v>
      </c>
      <c r="Y8" s="3">
        <v>22</v>
      </c>
      <c r="Z8" s="3">
        <v>24.08</v>
      </c>
      <c r="AA8">
        <f t="shared" si="13"/>
        <v>-0.15807999675519868</v>
      </c>
      <c r="AB8">
        <f t="shared" si="14"/>
        <v>-0.35726583962561959</v>
      </c>
      <c r="AC8">
        <f t="shared" si="15"/>
        <v>-1.4907586797081867</v>
      </c>
      <c r="AD8">
        <f t="shared" si="16"/>
        <v>-1.9078365141707723</v>
      </c>
      <c r="AE8">
        <f t="shared" si="17"/>
        <v>0.56280311865513755</v>
      </c>
      <c r="AF8">
        <f t="shared" si="18"/>
        <v>0.63955359962748126</v>
      </c>
      <c r="AG8">
        <f>Q8*($O$6*AF8-V8*AE8)*G8</f>
        <v>1.9338163288595978</v>
      </c>
      <c r="AH8">
        <f t="shared" si="19"/>
        <v>6.8012431901093184E-2</v>
      </c>
      <c r="AI8">
        <f t="shared" si="20"/>
        <v>2.8206174882851154E-2</v>
      </c>
      <c r="AJ8">
        <f>Q8*(V8*AH8-$L$6*AI8)*G8</f>
        <v>0.12361092125730748</v>
      </c>
      <c r="AL8">
        <f t="shared" si="21"/>
        <v>2.8414038564061456E-2</v>
      </c>
    </row>
    <row r="9" spans="1:38">
      <c r="A9" s="1">
        <v>39993</v>
      </c>
      <c r="B9">
        <f t="shared" si="1"/>
        <v>2</v>
      </c>
      <c r="C9" s="1">
        <f t="shared" si="2"/>
        <v>39993</v>
      </c>
      <c r="D9" s="2">
        <f t="shared" si="3"/>
        <v>4.0027397260273974</v>
      </c>
      <c r="E9" s="2">
        <f t="shared" si="22"/>
        <v>0.99726027397260264</v>
      </c>
      <c r="F9">
        <f t="shared" si="4"/>
        <v>16.933523982499999</v>
      </c>
      <c r="G9" s="10">
        <v>397.95575418999999</v>
      </c>
      <c r="H9" s="10">
        <f t="shared" si="23"/>
        <v>8.4283460999999988</v>
      </c>
      <c r="I9">
        <v>2.5239427080991979E-2</v>
      </c>
      <c r="J9">
        <v>3.2765824965307735E-2</v>
      </c>
      <c r="M9">
        <f t="shared" si="5"/>
        <v>3.4799999999999998E-2</v>
      </c>
      <c r="N9">
        <f t="shared" si="0"/>
        <v>13.848860245811998</v>
      </c>
      <c r="O9">
        <f t="shared" si="6"/>
        <v>3.4799999999999998E-2</v>
      </c>
      <c r="P9">
        <f t="shared" si="7"/>
        <v>13.848860245811998</v>
      </c>
      <c r="Q9">
        <v>0.90491558278989881</v>
      </c>
      <c r="R9">
        <f t="shared" si="8"/>
        <v>16.933523982499999</v>
      </c>
      <c r="S9">
        <f t="shared" si="9"/>
        <v>13.225479786800616</v>
      </c>
      <c r="T9" s="10">
        <f t="shared" si="10"/>
        <v>15.323409723310714</v>
      </c>
      <c r="U9" s="10">
        <f t="shared" si="11"/>
        <v>19.594884471985175</v>
      </c>
      <c r="V9" s="10">
        <f t="shared" si="12"/>
        <v>3.3233543296087742E-2</v>
      </c>
      <c r="X9">
        <v>4</v>
      </c>
      <c r="Y9" s="3">
        <v>20.98</v>
      </c>
      <c r="Z9" s="3">
        <v>21.98</v>
      </c>
      <c r="AA9">
        <f t="shared" si="13"/>
        <v>0.10003431681467483</v>
      </c>
      <c r="AB9">
        <f t="shared" si="14"/>
        <v>-0.11976568318532518</v>
      </c>
      <c r="AC9">
        <f t="shared" si="15"/>
        <v>-1.1950327424355873</v>
      </c>
      <c r="AD9">
        <f t="shared" si="16"/>
        <v>-1.6346327424355873</v>
      </c>
      <c r="AE9">
        <f t="shared" si="17"/>
        <v>0.46015854059934058</v>
      </c>
      <c r="AF9">
        <f t="shared" si="18"/>
        <v>0.54766561646304557</v>
      </c>
      <c r="AG9">
        <f>Q9*($O$6*AF9-V9*AE9)*G9</f>
        <v>1.3562215129426878</v>
      </c>
      <c r="AH9">
        <f t="shared" si="19"/>
        <v>0.1160371188752729</v>
      </c>
      <c r="AI9">
        <f t="shared" si="20"/>
        <v>5.1063029754687461E-2</v>
      </c>
      <c r="AJ9">
        <f>Q9*(V9*AH9-$L$6*AI9)*G9</f>
        <v>0.25046923933007087</v>
      </c>
      <c r="AL9">
        <f t="shared" si="21"/>
        <v>3.0073551199952572E-2</v>
      </c>
    </row>
    <row r="10" spans="1:38">
      <c r="A10" s="1">
        <v>40358</v>
      </c>
      <c r="B10">
        <f t="shared" si="1"/>
        <v>3</v>
      </c>
      <c r="C10" s="1">
        <f t="shared" si="2"/>
        <v>40358</v>
      </c>
      <c r="D10" s="2">
        <f t="shared" si="3"/>
        <v>5.0027397260273974</v>
      </c>
      <c r="E10" s="2">
        <f t="shared" si="22"/>
        <v>1</v>
      </c>
      <c r="F10">
        <f t="shared" si="4"/>
        <v>16.933523982499999</v>
      </c>
      <c r="G10" s="10">
        <v>389.52740808999999</v>
      </c>
      <c r="H10" s="10">
        <f t="shared" si="23"/>
        <v>8.7670813299999963</v>
      </c>
      <c r="I10">
        <v>2.7040151794865762E-2</v>
      </c>
      <c r="J10">
        <v>3.5568344235626458E-2</v>
      </c>
      <c r="M10">
        <f t="shared" si="5"/>
        <v>3.4799999999999998E-2</v>
      </c>
      <c r="N10">
        <f t="shared" si="0"/>
        <v>13.555553801532</v>
      </c>
      <c r="O10">
        <f t="shared" si="6"/>
        <v>3.6311212849087671E-2</v>
      </c>
      <c r="P10">
        <f t="shared" si="7"/>
        <v>14.144212625709425</v>
      </c>
      <c r="Q10">
        <v>0.87580933532524929</v>
      </c>
      <c r="R10">
        <f t="shared" si="8"/>
        <v>16.933523982499999</v>
      </c>
      <c r="S10">
        <f t="shared" si="9"/>
        <v>14.144212625709425</v>
      </c>
      <c r="T10" s="10">
        <f t="shared" si="10"/>
        <v>14.830538383827493</v>
      </c>
      <c r="U10" s="10">
        <f t="shared" si="11"/>
        <v>20.065925130791271</v>
      </c>
      <c r="V10" s="10">
        <f t="shared" si="12"/>
        <v>3.6311212849087671E-2</v>
      </c>
      <c r="X10">
        <v>5</v>
      </c>
      <c r="Y10" s="3">
        <v>20.32</v>
      </c>
      <c r="Z10" s="3">
        <v>20.399999999999999</v>
      </c>
      <c r="AA10">
        <f t="shared" si="13"/>
        <v>0.32074106404295533</v>
      </c>
      <c r="AB10">
        <f t="shared" si="14"/>
        <v>8.2376217641477734E-2</v>
      </c>
      <c r="AC10">
        <f t="shared" si="15"/>
        <v>-0.94123903779460572</v>
      </c>
      <c r="AD10">
        <f t="shared" si="16"/>
        <v>-1.3973969052045627</v>
      </c>
      <c r="AE10">
        <f t="shared" si="17"/>
        <v>0.3742033127103479</v>
      </c>
      <c r="AF10">
        <f t="shared" si="18"/>
        <v>0.46717377366797019</v>
      </c>
      <c r="AG10">
        <f>Q10*($O$6*AF10-V10*AE10)*G10</f>
        <v>0.91083120200478251</v>
      </c>
      <c r="AH10">
        <f t="shared" si="19"/>
        <v>0.17329118777810448</v>
      </c>
      <c r="AI10">
        <f t="shared" si="20"/>
        <v>8.1147124640506108E-2</v>
      </c>
      <c r="AJ10">
        <f>Q10*(V10*AH10-$L$6*AI10)*G10</f>
        <v>0.43306013062596072</v>
      </c>
      <c r="AL10">
        <f t="shared" si="21"/>
        <v>3.1801699190213126E-2</v>
      </c>
    </row>
    <row r="11" spans="1:38">
      <c r="A11" s="1">
        <v>40723</v>
      </c>
      <c r="B11">
        <f t="shared" si="1"/>
        <v>4</v>
      </c>
      <c r="C11" s="1">
        <f t="shared" si="2"/>
        <v>40723</v>
      </c>
      <c r="D11" s="2">
        <f t="shared" si="3"/>
        <v>6.0027397260273974</v>
      </c>
      <c r="E11" s="2">
        <f t="shared" si="22"/>
        <v>1</v>
      </c>
      <c r="F11">
        <f t="shared" si="4"/>
        <v>16.933523982499999</v>
      </c>
      <c r="G11" s="10">
        <v>380.76032676</v>
      </c>
      <c r="H11" s="10">
        <f t="shared" si="23"/>
        <v>9.1194303300000001</v>
      </c>
      <c r="I11">
        <v>2.8636061690991657E-2</v>
      </c>
      <c r="J11">
        <v>3.7539394908235116E-2</v>
      </c>
      <c r="M11">
        <f t="shared" si="5"/>
        <v>3.4799999999999998E-2</v>
      </c>
      <c r="N11">
        <f t="shared" si="0"/>
        <v>13.250459371247999</v>
      </c>
      <c r="O11">
        <f t="shared" si="6"/>
        <v>3.7724847793815686E-2</v>
      </c>
      <c r="P11">
        <f t="shared" si="7"/>
        <v>14.364125372944525</v>
      </c>
      <c r="Q11">
        <v>0.84512193293501359</v>
      </c>
      <c r="R11">
        <f t="shared" si="8"/>
        <v>16.933523982499999</v>
      </c>
      <c r="S11">
        <f t="shared" si="9"/>
        <v>14.364125372944525</v>
      </c>
      <c r="T11" s="10">
        <f t="shared" si="10"/>
        <v>14.310892519491809</v>
      </c>
      <c r="U11" s="10">
        <f t="shared" si="11"/>
        <v>19.846467987859537</v>
      </c>
      <c r="V11" s="10">
        <f t="shared" si="12"/>
        <v>3.7724847793815686E-2</v>
      </c>
      <c r="X11">
        <v>6</v>
      </c>
      <c r="Y11" s="3">
        <v>19.7</v>
      </c>
      <c r="Z11" s="3">
        <v>19.149999999999999</v>
      </c>
      <c r="AA11">
        <f t="shared" si="13"/>
        <v>0.40851475690308742</v>
      </c>
      <c r="AB11">
        <f t="shared" si="14"/>
        <v>0.15499256852502849</v>
      </c>
      <c r="AC11">
        <f t="shared" si="15"/>
        <v>-0.82115351004156201</v>
      </c>
      <c r="AD11">
        <f t="shared" si="16"/>
        <v>-1.2902307957845405</v>
      </c>
      <c r="AE11">
        <f t="shared" si="17"/>
        <v>0.34144789940351861</v>
      </c>
      <c r="AF11">
        <f t="shared" si="18"/>
        <v>0.4384135879832497</v>
      </c>
      <c r="AG11">
        <f>Q11*($O$6*AF11-V11*AE11)*G11</f>
        <v>0.76448124322847288</v>
      </c>
      <c r="AH11">
        <f t="shared" si="19"/>
        <v>0.20577941680667322</v>
      </c>
      <c r="AI11">
        <f t="shared" si="20"/>
        <v>9.8485268347169308E-2</v>
      </c>
      <c r="AJ11">
        <f>Q11*(V11*AH11-$L$6*AI11)*G11</f>
        <v>0.53634457243816647</v>
      </c>
      <c r="AL11">
        <f t="shared" si="21"/>
        <v>3.1882096287188695E-2</v>
      </c>
    </row>
    <row r="12" spans="1:38">
      <c r="A12" s="1">
        <v>41089</v>
      </c>
      <c r="B12">
        <f t="shared" si="1"/>
        <v>6</v>
      </c>
      <c r="C12" s="1">
        <f t="shared" si="2"/>
        <v>41089</v>
      </c>
      <c r="D12" s="2">
        <f t="shared" si="3"/>
        <v>7.0054794520547947</v>
      </c>
      <c r="E12" s="2">
        <f t="shared" si="22"/>
        <v>1.0027397260273974</v>
      </c>
      <c r="F12">
        <f t="shared" si="4"/>
        <v>16.933523982499999</v>
      </c>
      <c r="G12" s="10">
        <v>371.64089643</v>
      </c>
      <c r="H12" s="10">
        <f t="shared" si="23"/>
        <v>9.4859402399999908</v>
      </c>
      <c r="I12">
        <v>3.0009401920988169E-2</v>
      </c>
      <c r="J12">
        <v>3.886877221872919E-2</v>
      </c>
      <c r="M12">
        <f t="shared" si="5"/>
        <v>3.4799999999999998E-2</v>
      </c>
      <c r="N12">
        <f t="shared" si="0"/>
        <v>12.933103195764</v>
      </c>
      <c r="O12">
        <f t="shared" si="6"/>
        <v>4.1155725092822504E-2</v>
      </c>
      <c r="P12">
        <f t="shared" si="7"/>
        <v>15.2951505667232</v>
      </c>
      <c r="Q12">
        <v>0.81439885990176253</v>
      </c>
      <c r="R12">
        <f t="shared" si="8"/>
        <v>16.933523982499999</v>
      </c>
      <c r="S12">
        <f t="shared" si="9"/>
        <v>15.2951505667232</v>
      </c>
      <c r="T12" s="10">
        <f t="shared" si="10"/>
        <v>13.790642625467152</v>
      </c>
      <c r="U12" s="10">
        <f t="shared" si="11"/>
        <v>20.181692100117417</v>
      </c>
      <c r="V12" s="10">
        <f t="shared" si="12"/>
        <v>4.1155725092822504E-2</v>
      </c>
      <c r="X12">
        <v>7</v>
      </c>
      <c r="Y12" s="3">
        <v>19.25</v>
      </c>
      <c r="Z12" s="3">
        <v>18.38</v>
      </c>
      <c r="AA12">
        <f t="shared" si="13"/>
        <v>0.58401407929058424</v>
      </c>
      <c r="AB12">
        <f t="shared" si="14"/>
        <v>0.31613175904529445</v>
      </c>
      <c r="AC12">
        <f t="shared" si="15"/>
        <v>-0.59618568505558767</v>
      </c>
      <c r="AD12">
        <f t="shared" si="16"/>
        <v>-1.0824747760292592</v>
      </c>
      <c r="AE12">
        <f t="shared" si="17"/>
        <v>0.27960541982316656</v>
      </c>
      <c r="AF12">
        <f t="shared" si="18"/>
        <v>0.37595125084256953</v>
      </c>
      <c r="AG12">
        <f>Q12*($O$6*AF12-V12*AE12)*G12</f>
        <v>0.47691956927978763</v>
      </c>
      <c r="AH12">
        <f t="shared" si="19"/>
        <v>0.27552559378085761</v>
      </c>
      <c r="AI12">
        <f t="shared" si="20"/>
        <v>0.13952080882124851</v>
      </c>
      <c r="AJ12">
        <f>Q12*(V12*AH12-$L$6*AI12)*G12</f>
        <v>0.81813615347821833</v>
      </c>
      <c r="AL12">
        <f t="shared" si="21"/>
        <v>3.3517175594025006E-2</v>
      </c>
    </row>
    <row r="13" spans="1:38">
      <c r="A13" s="1">
        <v>41454</v>
      </c>
      <c r="B13">
        <f t="shared" si="1"/>
        <v>7</v>
      </c>
      <c r="C13" s="1">
        <f t="shared" si="2"/>
        <v>41456</v>
      </c>
      <c r="D13" s="2">
        <f t="shared" si="3"/>
        <v>8.0109589041095894</v>
      </c>
      <c r="E13" s="2">
        <f t="shared" si="22"/>
        <v>1.0054794520547947</v>
      </c>
      <c r="F13">
        <f t="shared" si="4"/>
        <v>16.933523982499999</v>
      </c>
      <c r="G13" s="10">
        <v>362.15495619000001</v>
      </c>
      <c r="H13" s="10">
        <f t="shared" si="23"/>
        <v>9.8671801699999833</v>
      </c>
      <c r="I13">
        <v>3.1175202894868248E-2</v>
      </c>
      <c r="J13">
        <v>3.973992969313684E-2</v>
      </c>
      <c r="M13">
        <f t="shared" si="5"/>
        <v>3.4799999999999998E-2</v>
      </c>
      <c r="N13">
        <f t="shared" si="0"/>
        <v>12.602992475412</v>
      </c>
      <c r="O13">
        <f t="shared" si="6"/>
        <v>4.1234829896387382E-2</v>
      </c>
      <c r="P13">
        <f t="shared" si="7"/>
        <v>14.933398014628274</v>
      </c>
      <c r="Q13">
        <v>0.7822065808927442</v>
      </c>
      <c r="R13">
        <f t="shared" si="8"/>
        <v>16.933523982499999</v>
      </c>
      <c r="S13">
        <f t="shared" si="9"/>
        <v>14.933398014628274</v>
      </c>
      <c r="T13" s="10">
        <f t="shared" si="10"/>
        <v>13.245513896816609</v>
      </c>
      <c r="U13" s="10">
        <f t="shared" si="11"/>
        <v>19.39917546596125</v>
      </c>
      <c r="V13" s="10">
        <f t="shared" si="12"/>
        <v>4.1234829896387382E-2</v>
      </c>
      <c r="X13">
        <v>8</v>
      </c>
      <c r="Y13" s="3">
        <v>18.899999999999999</v>
      </c>
      <c r="Z13" s="3">
        <v>17.8</v>
      </c>
      <c r="AA13">
        <f t="shared" si="13"/>
        <v>0.5846723611839939</v>
      </c>
      <c r="AB13">
        <f t="shared" si="14"/>
        <v>0.30324386227174799</v>
      </c>
      <c r="AC13">
        <f t="shared" si="15"/>
        <v>-0.55516005041030814</v>
      </c>
      <c r="AD13">
        <f t="shared" si="16"/>
        <v>-1.0586200786151299</v>
      </c>
      <c r="AE13">
        <f t="shared" si="17"/>
        <v>0.27938402088939696</v>
      </c>
      <c r="AF13">
        <f t="shared" si="18"/>
        <v>0.38085201221961462</v>
      </c>
      <c r="AG13">
        <f>Q13*($O$6*AF13-V13*AE13)*G13</f>
        <v>0.49100848382488793</v>
      </c>
      <c r="AH13">
        <f t="shared" si="19"/>
        <v>0.28939259576862786</v>
      </c>
      <c r="AI13">
        <f t="shared" si="20"/>
        <v>0.1448864194526116</v>
      </c>
      <c r="AJ13">
        <f>Q13*(V13*AH13-$L$6*AI13)*G13</f>
        <v>0.83980763636044053</v>
      </c>
      <c r="AL13">
        <f t="shared" si="21"/>
        <v>3.2254155306947085E-2</v>
      </c>
    </row>
    <row r="14" spans="1:38">
      <c r="A14" s="1">
        <v>41819</v>
      </c>
      <c r="B14">
        <f t="shared" si="1"/>
        <v>1</v>
      </c>
      <c r="C14" s="1">
        <f t="shared" si="2"/>
        <v>41820</v>
      </c>
      <c r="D14" s="2">
        <f t="shared" si="3"/>
        <v>9.0082191780821912</v>
      </c>
      <c r="E14" s="2">
        <f t="shared" si="22"/>
        <v>0.99726027397260175</v>
      </c>
      <c r="F14">
        <f t="shared" si="4"/>
        <v>16.933523982499999</v>
      </c>
      <c r="G14" s="10">
        <v>352.28777602000002</v>
      </c>
      <c r="H14" s="10">
        <f t="shared" si="23"/>
        <v>10.263742140000033</v>
      </c>
      <c r="I14">
        <v>3.2160231044649171E-2</v>
      </c>
      <c r="J14">
        <v>4.0298944583467812E-2</v>
      </c>
      <c r="M14">
        <f t="shared" si="5"/>
        <v>3.4799999999999998E-2</v>
      </c>
      <c r="N14">
        <f t="shared" si="0"/>
        <v>12.259614605495999</v>
      </c>
      <c r="O14">
        <f t="shared" si="6"/>
        <v>4.3092349748951042E-2</v>
      </c>
      <c r="P14">
        <f t="shared" si="7"/>
        <v>15.180908056533969</v>
      </c>
      <c r="Q14">
        <v>0.75122974994082847</v>
      </c>
      <c r="R14">
        <f t="shared" si="8"/>
        <v>16.933523982499999</v>
      </c>
      <c r="S14">
        <f t="shared" si="9"/>
        <v>15.180908056533969</v>
      </c>
      <c r="T14" s="10">
        <f t="shared" si="10"/>
        <v>12.720966986990495</v>
      </c>
      <c r="U14" s="10">
        <f t="shared" si="11"/>
        <v>19.114778204474092</v>
      </c>
      <c r="V14" s="10">
        <f t="shared" si="12"/>
        <v>4.3092349748951042E-2</v>
      </c>
      <c r="X14">
        <v>9</v>
      </c>
      <c r="Y14" s="3">
        <v>18.55</v>
      </c>
      <c r="Z14" s="3">
        <v>17.23</v>
      </c>
      <c r="AA14">
        <f t="shared" si="13"/>
        <v>0.66230767214724517</v>
      </c>
      <c r="AB14">
        <f t="shared" si="14"/>
        <v>0.36905767214724527</v>
      </c>
      <c r="AC14">
        <f t="shared" si="15"/>
        <v>-0.44221685695527113</v>
      </c>
      <c r="AD14">
        <f t="shared" si="16"/>
        <v>-0.95911685695527127</v>
      </c>
      <c r="AE14">
        <f t="shared" si="17"/>
        <v>0.25388703045364847</v>
      </c>
      <c r="AF14">
        <f t="shared" si="18"/>
        <v>0.3560423690133977</v>
      </c>
      <c r="AG14">
        <f>Q14*($O$6*AF14-V14*AE14)*G14</f>
        <v>0.38365796231507832</v>
      </c>
      <c r="AH14">
        <f t="shared" si="19"/>
        <v>0.32916614449058135</v>
      </c>
      <c r="AI14">
        <f t="shared" si="20"/>
        <v>0.1687499396227381</v>
      </c>
      <c r="AJ14">
        <f>Q14*(V14*AH14-$L$6*AI14)*G14</f>
        <v>0.98950201576849139</v>
      </c>
      <c r="AL14">
        <f t="shared" si="21"/>
        <v>3.2372255126267215E-2</v>
      </c>
    </row>
    <row r="15" spans="1:38">
      <c r="A15" s="1">
        <v>42184</v>
      </c>
      <c r="B15">
        <f t="shared" si="1"/>
        <v>2</v>
      </c>
      <c r="C15" s="1">
        <f t="shared" si="2"/>
        <v>42184</v>
      </c>
      <c r="D15" s="2">
        <f t="shared" si="3"/>
        <v>10.005479452054795</v>
      </c>
      <c r="E15" s="2">
        <f t="shared" si="22"/>
        <v>0.99726027397260353</v>
      </c>
      <c r="F15">
        <f t="shared" si="4"/>
        <v>16.933523982499999</v>
      </c>
      <c r="G15" s="10">
        <v>342.02403387999999</v>
      </c>
      <c r="H15" s="10">
        <f t="shared" si="23"/>
        <v>10.676241949999962</v>
      </c>
      <c r="I15">
        <v>3.2993121571889064E-2</v>
      </c>
      <c r="J15">
        <v>4.0651964837973724E-2</v>
      </c>
      <c r="M15">
        <f t="shared" si="5"/>
        <v>3.4799999999999998E-2</v>
      </c>
      <c r="N15">
        <f t="shared" si="0"/>
        <v>11.902436379024</v>
      </c>
      <c r="O15">
        <f t="shared" si="6"/>
        <v>4.3223592983176129E-2</v>
      </c>
      <c r="P15">
        <f t="shared" si="7"/>
        <v>14.783507630893162</v>
      </c>
      <c r="Q15">
        <v>0.72019486109895514</v>
      </c>
      <c r="R15">
        <f t="shared" si="8"/>
        <v>16.933523982499999</v>
      </c>
      <c r="S15">
        <f t="shared" si="9"/>
        <v>14.783507630893162</v>
      </c>
      <c r="T15" s="10">
        <f t="shared" si="10"/>
        <v>12.195436952492413</v>
      </c>
      <c r="U15" s="10">
        <f t="shared" si="11"/>
        <v>18.335980813025504</v>
      </c>
      <c r="V15" s="10">
        <f t="shared" si="12"/>
        <v>4.3223592983176129E-2</v>
      </c>
      <c r="X15">
        <v>10</v>
      </c>
      <c r="Y15" s="3">
        <v>18.18</v>
      </c>
      <c r="Z15" s="3">
        <v>16.68</v>
      </c>
      <c r="AA15">
        <f t="shared" si="13"/>
        <v>0.66450497827485044</v>
      </c>
      <c r="AB15">
        <f t="shared" si="14"/>
        <v>0.36124255066470295</v>
      </c>
      <c r="AC15">
        <f t="shared" si="15"/>
        <v>-0.41712963751179771</v>
      </c>
      <c r="AD15">
        <f t="shared" si="16"/>
        <v>-0.94459755122788347</v>
      </c>
      <c r="AE15">
        <f t="shared" si="17"/>
        <v>0.25318358187548218</v>
      </c>
      <c r="AF15">
        <f t="shared" si="18"/>
        <v>0.35895906792745225</v>
      </c>
      <c r="AG15">
        <f>Q15*($O$6*AF15-V15*AE15)*G15</f>
        <v>0.38137634681121529</v>
      </c>
      <c r="AH15">
        <f t="shared" si="19"/>
        <v>0.33829179390749664</v>
      </c>
      <c r="AI15">
        <f t="shared" si="20"/>
        <v>0.17243218884145195</v>
      </c>
      <c r="AJ15">
        <f>Q15*(V15*AH15-$L$6*AI15)*G15</f>
        <v>0.97264320904764767</v>
      </c>
      <c r="AL15">
        <f t="shared" si="21"/>
        <v>3.1129409544716304E-2</v>
      </c>
    </row>
    <row r="16" spans="1:38">
      <c r="A16" s="1">
        <v>42550</v>
      </c>
      <c r="B16">
        <f t="shared" si="1"/>
        <v>4</v>
      </c>
      <c r="C16" s="1">
        <f t="shared" si="2"/>
        <v>42550</v>
      </c>
      <c r="D16" s="2">
        <f t="shared" si="3"/>
        <v>11.008219178082191</v>
      </c>
      <c r="E16" s="2">
        <f t="shared" si="22"/>
        <v>1.0027397260273965</v>
      </c>
      <c r="F16">
        <f t="shared" si="4"/>
        <v>16.933523982499999</v>
      </c>
      <c r="G16" s="10">
        <v>331.34779193000003</v>
      </c>
      <c r="H16" s="10">
        <f t="shared" si="23"/>
        <v>11.105320100000029</v>
      </c>
      <c r="I16">
        <v>3.3700180602648185E-2</v>
      </c>
      <c r="J16">
        <v>4.0872106996392578E-2</v>
      </c>
      <c r="M16">
        <f t="shared" si="5"/>
        <v>3.4799999999999998E-2</v>
      </c>
      <c r="N16">
        <f t="shared" si="0"/>
        <v>11.530903159164</v>
      </c>
      <c r="O16">
        <f t="shared" si="6"/>
        <v>4.373653585475834E-2</v>
      </c>
      <c r="P16">
        <f t="shared" si="7"/>
        <v>14.492004582141453</v>
      </c>
      <c r="Q16">
        <v>0.69035522772208779</v>
      </c>
      <c r="R16">
        <f t="shared" si="8"/>
        <v>16.933523982499999</v>
      </c>
      <c r="S16">
        <f t="shared" si="9"/>
        <v>14.492004582141453</v>
      </c>
      <c r="T16" s="10">
        <f t="shared" si="10"/>
        <v>11.690146805076221</v>
      </c>
      <c r="U16" s="10">
        <f t="shared" si="11"/>
        <v>17.671246910016002</v>
      </c>
      <c r="V16" s="10">
        <f t="shared" si="12"/>
        <v>4.373653585475834E-2</v>
      </c>
      <c r="X16">
        <v>11</v>
      </c>
      <c r="Y16" s="3">
        <v>17.62</v>
      </c>
      <c r="Z16" s="3">
        <v>15.92</v>
      </c>
      <c r="AA16">
        <f t="shared" si="13"/>
        <v>0.68331479533417117</v>
      </c>
      <c r="AB16">
        <f t="shared" si="14"/>
        <v>0.37453702735208338</v>
      </c>
      <c r="AC16">
        <f t="shared" si="15"/>
        <v>-0.3938223876467552</v>
      </c>
      <c r="AD16">
        <f t="shared" si="16"/>
        <v>-0.92182905427133488</v>
      </c>
      <c r="AE16">
        <f t="shared" si="17"/>
        <v>0.24720397354227686</v>
      </c>
      <c r="AF16">
        <f t="shared" si="18"/>
        <v>0.3540024070040878</v>
      </c>
      <c r="AG16">
        <f>Q16*($O$6*AF16-V16*AE16)*G16</f>
        <v>0.34482301702447132</v>
      </c>
      <c r="AH16">
        <f t="shared" si="19"/>
        <v>0.34685608722826577</v>
      </c>
      <c r="AI16">
        <f t="shared" si="20"/>
        <v>0.17830887492377734</v>
      </c>
      <c r="AJ16">
        <f>Q16*(V16*AH16-$L$6*AI16)*G16</f>
        <v>0.94540600523495111</v>
      </c>
      <c r="AL16">
        <f t="shared" si="21"/>
        <v>3.0193746169786952E-2</v>
      </c>
    </row>
    <row r="17" spans="1:38">
      <c r="A17" s="1">
        <v>42915</v>
      </c>
      <c r="B17">
        <f t="shared" si="1"/>
        <v>5</v>
      </c>
      <c r="C17" s="1">
        <f t="shared" si="2"/>
        <v>42915</v>
      </c>
      <c r="D17" s="2">
        <f t="shared" si="3"/>
        <v>12.008219178082191</v>
      </c>
      <c r="E17" s="2">
        <f t="shared" si="22"/>
        <v>1</v>
      </c>
      <c r="F17">
        <f t="shared" si="4"/>
        <v>16.933523982499999</v>
      </c>
      <c r="G17" s="10">
        <v>320.24247183</v>
      </c>
      <c r="H17" s="10">
        <f t="shared" si="23"/>
        <v>11.551642920000006</v>
      </c>
      <c r="I17">
        <v>3.4303961063353129E-2</v>
      </c>
      <c r="J17">
        <v>4.100799640948543E-2</v>
      </c>
      <c r="M17">
        <f t="shared" si="5"/>
        <v>3.4799999999999998E-2</v>
      </c>
      <c r="N17">
        <f t="shared" si="0"/>
        <v>11.144438019683999</v>
      </c>
      <c r="O17">
        <f t="shared" si="6"/>
        <v>4.2227619574290776E-2</v>
      </c>
      <c r="P17">
        <f t="shared" si="7"/>
        <v>13.52307727196777</v>
      </c>
      <c r="Q17">
        <v>0.66142671450772561</v>
      </c>
      <c r="R17">
        <f t="shared" si="8"/>
        <v>16.933523982499999</v>
      </c>
      <c r="S17">
        <f t="shared" si="9"/>
        <v>13.52307727196777</v>
      </c>
      <c r="T17" s="10">
        <f t="shared" si="10"/>
        <v>11.200285132782751</v>
      </c>
      <c r="U17" s="10">
        <f t="shared" si="11"/>
        <v>16.585089793773776</v>
      </c>
      <c r="V17" s="10">
        <f t="shared" si="12"/>
        <v>4.2227619574290776E-2</v>
      </c>
      <c r="X17">
        <v>12</v>
      </c>
      <c r="Y17" s="3">
        <v>16.95</v>
      </c>
      <c r="Z17" s="3">
        <v>15.17</v>
      </c>
      <c r="AA17">
        <f t="shared" si="13"/>
        <v>0.6230590601233098</v>
      </c>
      <c r="AB17">
        <f t="shared" si="14"/>
        <v>0.31215594016469639</v>
      </c>
      <c r="AC17">
        <f t="shared" si="15"/>
        <v>-0.46501689895266357</v>
      </c>
      <c r="AD17">
        <f t="shared" si="16"/>
        <v>-0.99052111396906084</v>
      </c>
      <c r="AE17">
        <f t="shared" si="17"/>
        <v>0.26662285584689838</v>
      </c>
      <c r="AF17">
        <f t="shared" si="18"/>
        <v>0.37746100741667199</v>
      </c>
      <c r="AG17">
        <f>Q17*($O$6*AF17-V17*AE17)*G17</f>
        <v>0.39753684839237408</v>
      </c>
      <c r="AH17">
        <f t="shared" si="19"/>
        <v>0.32095967745966458</v>
      </c>
      <c r="AI17">
        <f t="shared" si="20"/>
        <v>0.16095973713664335</v>
      </c>
      <c r="AJ17">
        <f>Q17*(V17*AH17-$L$6*AI17)*G17</f>
        <v>0.76041332355329938</v>
      </c>
      <c r="AL17">
        <f t="shared" si="21"/>
        <v>2.7930475676505272E-2</v>
      </c>
    </row>
    <row r="18" spans="1:38">
      <c r="A18" s="1">
        <v>43280</v>
      </c>
      <c r="B18">
        <f t="shared" si="1"/>
        <v>6</v>
      </c>
      <c r="C18" s="1">
        <f t="shared" si="2"/>
        <v>43280</v>
      </c>
      <c r="D18" s="2">
        <f t="shared" si="3"/>
        <v>13.008219178082191</v>
      </c>
      <c r="E18" s="2">
        <f t="shared" si="22"/>
        <v>1</v>
      </c>
      <c r="F18">
        <f t="shared" si="4"/>
        <v>16.933523982499999</v>
      </c>
      <c r="G18" s="10">
        <v>308.69082890999999</v>
      </c>
      <c r="H18" s="10">
        <f t="shared" si="23"/>
        <v>12.015903449999996</v>
      </c>
      <c r="I18">
        <v>3.4823118069260202E-2</v>
      </c>
      <c r="J18">
        <v>4.109117693265775E-2</v>
      </c>
      <c r="M18">
        <f t="shared" si="5"/>
        <v>3.4823118069260202E-2</v>
      </c>
      <c r="N18">
        <f t="shared" si="0"/>
        <v>10.74957718203073</v>
      </c>
      <c r="O18">
        <f t="shared" si="6"/>
        <v>4.361286684461918E-2</v>
      </c>
      <c r="P18">
        <f t="shared" si="7"/>
        <v>13.462892017406951</v>
      </c>
      <c r="Q18">
        <v>0.63462788942197923</v>
      </c>
      <c r="R18">
        <f t="shared" si="8"/>
        <v>16.933523982499999</v>
      </c>
      <c r="S18">
        <f t="shared" si="9"/>
        <v>13.462892017406951</v>
      </c>
      <c r="T18" s="10">
        <f t="shared" si="10"/>
        <v>10.746486585490443</v>
      </c>
      <c r="U18" s="10">
        <f t="shared" si="11"/>
        <v>16.169554192494761</v>
      </c>
      <c r="V18" s="10">
        <f t="shared" si="12"/>
        <v>4.361286684461918E-2</v>
      </c>
      <c r="X18">
        <v>13</v>
      </c>
      <c r="Y18" s="3">
        <v>16.350000000000001</v>
      </c>
      <c r="Z18" s="3">
        <v>14.58</v>
      </c>
      <c r="AA18">
        <f t="shared" si="13"/>
        <v>0.67767478048604768</v>
      </c>
      <c r="AB18">
        <f t="shared" si="14"/>
        <v>0.36489320733954655</v>
      </c>
      <c r="AC18">
        <f t="shared" si="15"/>
        <v>-0.40326723622473376</v>
      </c>
      <c r="AD18">
        <f t="shared" si="16"/>
        <v>-0.92895661218738357</v>
      </c>
      <c r="AE18">
        <f t="shared" si="17"/>
        <v>0.24898896008321914</v>
      </c>
      <c r="AF18">
        <f t="shared" si="18"/>
        <v>0.35759556249889235</v>
      </c>
      <c r="AG18">
        <f>Q18*($O$6*AF18-V18*AE18)*G18</f>
        <v>0.31054734785244831</v>
      </c>
      <c r="AH18">
        <f t="shared" si="19"/>
        <v>0.34337582088740881</v>
      </c>
      <c r="AI18">
        <f t="shared" si="20"/>
        <v>0.17645578609806534</v>
      </c>
      <c r="AJ18">
        <f>Q18*(V18*AH18-$L$6*AI18)*G18</f>
        <v>0.79399633544784398</v>
      </c>
      <c r="AL18">
        <f t="shared" si="21"/>
        <v>2.7677941637242486E-2</v>
      </c>
    </row>
    <row r="19" spans="1:38">
      <c r="A19" s="1">
        <v>43645</v>
      </c>
      <c r="B19">
        <f t="shared" si="1"/>
        <v>7</v>
      </c>
      <c r="C19" s="1">
        <f t="shared" si="2"/>
        <v>43647</v>
      </c>
      <c r="D19" s="2">
        <f t="shared" si="3"/>
        <v>14.013698630136986</v>
      </c>
      <c r="E19" s="2">
        <f t="shared" si="22"/>
        <v>1.0054794520547947</v>
      </c>
      <c r="F19">
        <f t="shared" si="4"/>
        <v>16.933523982499999</v>
      </c>
      <c r="G19" s="10">
        <v>296.67492546</v>
      </c>
      <c r="H19" s="10">
        <f t="shared" si="23"/>
        <v>12.498822609999991</v>
      </c>
      <c r="I19">
        <v>3.527279244172743E-2</v>
      </c>
      <c r="J19">
        <v>4.1141735963303401E-2</v>
      </c>
      <c r="M19">
        <f t="shared" si="5"/>
        <v>3.527279244172743E-2</v>
      </c>
      <c r="N19">
        <f t="shared" si="0"/>
        <v>10.464553068415537</v>
      </c>
      <c r="O19">
        <f t="shared" si="6"/>
        <v>4.5049949016407353E-2</v>
      </c>
      <c r="P19">
        <f t="shared" si="7"/>
        <v>13.365190266419452</v>
      </c>
      <c r="Q19">
        <v>0.60810661652801112</v>
      </c>
      <c r="R19">
        <f t="shared" si="8"/>
        <v>16.933523982499999</v>
      </c>
      <c r="S19">
        <f t="shared" si="9"/>
        <v>13.365190266419452</v>
      </c>
      <c r="T19" s="10">
        <f t="shared" si="10"/>
        <v>10.297387974894006</v>
      </c>
      <c r="U19" s="10">
        <f t="shared" si="11"/>
        <v>15.728077360116341</v>
      </c>
      <c r="V19" s="10">
        <f t="shared" si="12"/>
        <v>4.5049949016407353E-2</v>
      </c>
      <c r="X19">
        <v>14</v>
      </c>
      <c r="Y19">
        <f>Y18-0.2</f>
        <v>16.150000000000002</v>
      </c>
      <c r="Z19">
        <f>Z18-0.1</f>
        <v>14.48</v>
      </c>
      <c r="AA19">
        <f t="shared" si="13"/>
        <v>0.72935049386645923</v>
      </c>
      <c r="AB19">
        <f t="shared" si="14"/>
        <v>0.40850337295059358</v>
      </c>
      <c r="AC19">
        <f t="shared" si="15"/>
        <v>-0.31558061143135152</v>
      </c>
      <c r="AD19">
        <f t="shared" si="16"/>
        <v>-0.85737260103621826</v>
      </c>
      <c r="AE19">
        <f t="shared" si="17"/>
        <v>0.23289364623174036</v>
      </c>
      <c r="AF19">
        <f t="shared" si="18"/>
        <v>0.34145207737704397</v>
      </c>
      <c r="AG19">
        <f>Q19*($O$6*AF19-V19*AE19)*G19</f>
        <v>0.25089353300877371</v>
      </c>
      <c r="AH19">
        <f t="shared" si="19"/>
        <v>0.37616042800618421</v>
      </c>
      <c r="AI19">
        <f t="shared" si="20"/>
        <v>0.19561949827234681</v>
      </c>
      <c r="AJ19">
        <f>Q19*(V19*AH19-$L$6*AI19)*G19</f>
        <v>0.87267217305799127</v>
      </c>
      <c r="AL19">
        <f t="shared" si="21"/>
        <v>2.7395172071126878E-2</v>
      </c>
    </row>
    <row r="20" spans="1:38">
      <c r="A20" s="1">
        <v>44011</v>
      </c>
      <c r="B20">
        <f t="shared" si="1"/>
        <v>2</v>
      </c>
      <c r="C20" s="1">
        <f t="shared" si="2"/>
        <v>44011</v>
      </c>
      <c r="D20" s="2">
        <f t="shared" si="3"/>
        <v>15.010958904109589</v>
      </c>
      <c r="E20" s="2">
        <f t="shared" si="22"/>
        <v>0.99726027397260353</v>
      </c>
      <c r="F20">
        <f t="shared" si="4"/>
        <v>16.933523982499999</v>
      </c>
      <c r="G20" s="10">
        <v>284.17610285000001</v>
      </c>
      <c r="H20" s="10">
        <f t="shared" si="23"/>
        <v>13.001150289999998</v>
      </c>
      <c r="I20">
        <v>3.5665159213410631E-2</v>
      </c>
      <c r="J20">
        <v>4.1172283268492746E-2</v>
      </c>
      <c r="M20">
        <f t="shared" si="5"/>
        <v>3.5665159213410631E-2</v>
      </c>
      <c r="N20">
        <f t="shared" si="0"/>
        <v>10.135185952791804</v>
      </c>
      <c r="O20">
        <f t="shared" si="6"/>
        <v>4.2255194100711213E-2</v>
      </c>
      <c r="P20">
        <f t="shared" si="7"/>
        <v>12.007916384710423</v>
      </c>
      <c r="Q20">
        <v>0.5818923938519458</v>
      </c>
      <c r="R20">
        <f t="shared" si="8"/>
        <v>16.933523982499999</v>
      </c>
      <c r="S20">
        <f t="shared" si="9"/>
        <v>12.007916384710423</v>
      </c>
      <c r="T20" s="10">
        <f t="shared" si="10"/>
        <v>9.8534888065262596</v>
      </c>
      <c r="U20" s="10">
        <f t="shared" si="11"/>
        <v>14.552585675350169</v>
      </c>
      <c r="V20" s="10">
        <f t="shared" si="12"/>
        <v>4.2255194100711213E-2</v>
      </c>
      <c r="X20">
        <v>15</v>
      </c>
      <c r="Y20">
        <f t="shared" ref="Y20:Y35" si="24">Y19-0.2</f>
        <v>15.950000000000003</v>
      </c>
      <c r="Z20">
        <f t="shared" ref="Z20:Z34" si="25">Z19-0.1</f>
        <v>14.38</v>
      </c>
      <c r="AA20">
        <f t="shared" si="13"/>
        <v>0.62309587535697963</v>
      </c>
      <c r="AB20">
        <f t="shared" si="14"/>
        <v>0.29486053676590102</v>
      </c>
      <c r="AC20">
        <f t="shared" si="15"/>
        <v>-0.40705754538349392</v>
      </c>
      <c r="AD20">
        <f t="shared" si="16"/>
        <v>-0.96399255056812039</v>
      </c>
      <c r="AE20">
        <f t="shared" si="17"/>
        <v>0.26661076002108131</v>
      </c>
      <c r="AF20">
        <f t="shared" si="18"/>
        <v>0.38405020970572123</v>
      </c>
      <c r="AG20">
        <f>Q20*($O$6*AF20-V20*AE20)*G20</f>
        <v>0.34713310052045793</v>
      </c>
      <c r="AH20">
        <f t="shared" si="19"/>
        <v>0.3419828618713745</v>
      </c>
      <c r="AI20">
        <f t="shared" si="20"/>
        <v>0.16752483035052856</v>
      </c>
      <c r="AJ20">
        <f>Q20*(V20*AH20-$L$6*AI20)*G20</f>
        <v>0.6747949789320542</v>
      </c>
      <c r="AL20">
        <f t="shared" si="21"/>
        <v>2.4587976047941464E-2</v>
      </c>
    </row>
    <row r="21" spans="1:38">
      <c r="A21" s="1">
        <v>44376</v>
      </c>
      <c r="B21">
        <f t="shared" si="1"/>
        <v>3</v>
      </c>
      <c r="C21" s="1">
        <f t="shared" si="2"/>
        <v>44376</v>
      </c>
      <c r="D21" s="2">
        <f t="shared" si="3"/>
        <v>16.010958904109589</v>
      </c>
      <c r="E21" s="2">
        <f t="shared" si="22"/>
        <v>1</v>
      </c>
      <c r="F21">
        <f t="shared" si="4"/>
        <v>16.933523982499999</v>
      </c>
      <c r="G21" s="10">
        <v>271.17495256000001</v>
      </c>
      <c r="H21" s="10">
        <f t="shared" si="23"/>
        <v>13.523666520000006</v>
      </c>
      <c r="I21">
        <v>3.6009976963424437E-2</v>
      </c>
      <c r="J21">
        <v>4.1190644644205132E-2</v>
      </c>
      <c r="M21">
        <f t="shared" si="5"/>
        <v>3.6009976963424437E-2</v>
      </c>
      <c r="N21">
        <f t="shared" si="0"/>
        <v>9.7650037947433148</v>
      </c>
      <c r="O21">
        <f t="shared" si="6"/>
        <v>4.319105153165026E-2</v>
      </c>
      <c r="P21">
        <f t="shared" si="7"/>
        <v>11.712331350111775</v>
      </c>
      <c r="Q21">
        <v>0.55830126551110149</v>
      </c>
      <c r="R21">
        <f t="shared" si="8"/>
        <v>16.933523982499999</v>
      </c>
      <c r="S21">
        <f t="shared" si="9"/>
        <v>11.712331350111775</v>
      </c>
      <c r="T21" s="10">
        <f t="shared" si="10"/>
        <v>9.4540078689923366</v>
      </c>
      <c r="U21" s="10">
        <f t="shared" si="11"/>
        <v>14.089289547318868</v>
      </c>
      <c r="V21" s="10">
        <f t="shared" si="12"/>
        <v>4.319105153165026E-2</v>
      </c>
      <c r="X21">
        <v>16</v>
      </c>
      <c r="Y21">
        <f t="shared" si="24"/>
        <v>15.750000000000004</v>
      </c>
      <c r="Z21">
        <f t="shared" si="25"/>
        <v>14.280000000000001</v>
      </c>
      <c r="AA21">
        <f t="shared" si="13"/>
        <v>0.65788245482861396</v>
      </c>
      <c r="AB21">
        <f t="shared" si="14"/>
        <v>0.32288245482861389</v>
      </c>
      <c r="AC21">
        <f t="shared" si="15"/>
        <v>-0.34445400274526417</v>
      </c>
      <c r="AD21">
        <f t="shared" si="16"/>
        <v>-0.91565400274526421</v>
      </c>
      <c r="AE21">
        <f t="shared" si="17"/>
        <v>0.25530683277097233</v>
      </c>
      <c r="AF21">
        <f t="shared" si="18"/>
        <v>0.37339213213414657</v>
      </c>
      <c r="AG21">
        <f>Q21*($O$6*AF21-V21*AE21)*G21</f>
        <v>0.29780997667230358</v>
      </c>
      <c r="AH21">
        <f t="shared" si="19"/>
        <v>0.36525244117498334</v>
      </c>
      <c r="AI21">
        <f t="shared" si="20"/>
        <v>0.17992419874933652</v>
      </c>
      <c r="AJ21">
        <f>Q21*(V21*AH21-$L$6*AI21)*G21</f>
        <v>0.70223059220570316</v>
      </c>
      <c r="AL21">
        <f t="shared" si="21"/>
        <v>2.411361872887554E-2</v>
      </c>
    </row>
    <row r="22" spans="1:38">
      <c r="A22" s="1">
        <v>44741</v>
      </c>
      <c r="B22">
        <f t="shared" si="1"/>
        <v>4</v>
      </c>
      <c r="C22" s="1">
        <f t="shared" si="2"/>
        <v>44741</v>
      </c>
      <c r="D22" s="2">
        <f t="shared" si="3"/>
        <v>17.010958904109589</v>
      </c>
      <c r="E22" s="2">
        <f t="shared" si="22"/>
        <v>1</v>
      </c>
      <c r="F22">
        <f t="shared" si="4"/>
        <v>16.933523982499999</v>
      </c>
      <c r="G22" s="10">
        <v>257.65128604</v>
      </c>
      <c r="H22" s="10">
        <f t="shared" si="23"/>
        <v>14.067182680000002</v>
      </c>
      <c r="I22">
        <v>3.6315072925379707E-2</v>
      </c>
      <c r="J22">
        <v>4.1201631830045118E-2</v>
      </c>
      <c r="M22">
        <f t="shared" si="5"/>
        <v>3.6315072925379707E-2</v>
      </c>
      <c r="N22">
        <f t="shared" si="0"/>
        <v>9.356625241860467</v>
      </c>
      <c r="O22">
        <f t="shared" si="6"/>
        <v>4.4161107082058226E-2</v>
      </c>
      <c r="P22">
        <f t="shared" si="7"/>
        <v>11.378166032642454</v>
      </c>
      <c r="Q22">
        <v>0.53518601860261716</v>
      </c>
      <c r="R22">
        <f t="shared" si="8"/>
        <v>16.933523982499999</v>
      </c>
      <c r="S22">
        <f t="shared" si="9"/>
        <v>11.378166032642454</v>
      </c>
      <c r="T22" s="10">
        <f t="shared" si="10"/>
        <v>9.0625852811061076</v>
      </c>
      <c r="U22" s="10">
        <f t="shared" si="11"/>
        <v>13.617994869474346</v>
      </c>
      <c r="V22" s="10">
        <f t="shared" si="12"/>
        <v>4.4161107082058226E-2</v>
      </c>
      <c r="X22">
        <v>17</v>
      </c>
      <c r="Y22">
        <f t="shared" si="24"/>
        <v>15.550000000000004</v>
      </c>
      <c r="Z22">
        <f t="shared" si="25"/>
        <v>14.180000000000001</v>
      </c>
      <c r="AA22">
        <f t="shared" si="13"/>
        <v>0.69213773171866511</v>
      </c>
      <c r="AB22">
        <f t="shared" si="14"/>
        <v>0.3509507411988036</v>
      </c>
      <c r="AC22">
        <f t="shared" si="15"/>
        <v>-0.28523449773252657</v>
      </c>
      <c r="AD22">
        <f t="shared" si="16"/>
        <v>-0.86989087544511101</v>
      </c>
      <c r="AE22">
        <f t="shared" si="17"/>
        <v>0.24442541915295557</v>
      </c>
      <c r="AF22">
        <f t="shared" si="18"/>
        <v>0.36281265177129862</v>
      </c>
      <c r="AG22">
        <f>Q22*($O$6*AF22-V22*AE22)*G22</f>
        <v>0.25258708385348477</v>
      </c>
      <c r="AH22">
        <f t="shared" si="19"/>
        <v>0.38773224613071344</v>
      </c>
      <c r="AI22">
        <f t="shared" si="20"/>
        <v>0.19218002119599742</v>
      </c>
      <c r="AJ22">
        <f>Q22*(V22*AH22-$L$6*AI22)*G22</f>
        <v>0.72072258406185596</v>
      </c>
      <c r="AL22">
        <f t="shared" si="21"/>
        <v>2.3634407076330584E-2</v>
      </c>
    </row>
    <row r="23" spans="1:38">
      <c r="A23" s="1">
        <v>45106</v>
      </c>
      <c r="B23">
        <f t="shared" si="1"/>
        <v>5</v>
      </c>
      <c r="C23" s="1">
        <f t="shared" si="2"/>
        <v>45106</v>
      </c>
      <c r="D23" s="2">
        <f t="shared" si="3"/>
        <v>18.010958904109589</v>
      </c>
      <c r="E23" s="2">
        <f t="shared" si="22"/>
        <v>1</v>
      </c>
      <c r="F23">
        <f t="shared" si="4"/>
        <v>16.933523982499999</v>
      </c>
      <c r="G23" s="10">
        <v>243.58410336</v>
      </c>
      <c r="H23" s="10">
        <f t="shared" si="23"/>
        <v>14.632542739999991</v>
      </c>
      <c r="I23">
        <v>3.6586746004190235E-2</v>
      </c>
      <c r="J23">
        <v>4.1208180518137481E-2</v>
      </c>
      <c r="M23">
        <f t="shared" si="5"/>
        <v>3.6586746004190235E-2</v>
      </c>
      <c r="N23">
        <f t="shared" si="0"/>
        <v>8.9119497202907407</v>
      </c>
      <c r="O23">
        <f t="shared" si="6"/>
        <v>4.5168416289736557E-2</v>
      </c>
      <c r="P23">
        <f t="shared" si="7"/>
        <v>11.002308182126697</v>
      </c>
      <c r="Q23">
        <v>0.51255119058993848</v>
      </c>
      <c r="R23">
        <f t="shared" si="8"/>
        <v>16.933523982499999</v>
      </c>
      <c r="S23">
        <f t="shared" si="9"/>
        <v>11.002308182126697</v>
      </c>
      <c r="T23" s="10">
        <f t="shared" si="10"/>
        <v>8.6792978781136512</v>
      </c>
      <c r="U23" s="10">
        <f t="shared" si="11"/>
        <v>13.139173360731617</v>
      </c>
      <c r="V23" s="10">
        <f t="shared" si="12"/>
        <v>4.5168416289736557E-2</v>
      </c>
      <c r="X23">
        <v>18</v>
      </c>
      <c r="Y23">
        <f t="shared" si="24"/>
        <v>15.350000000000005</v>
      </c>
      <c r="Z23">
        <f t="shared" si="25"/>
        <v>14.080000000000002</v>
      </c>
      <c r="AA23">
        <f t="shared" si="13"/>
        <v>0.72605655372447742</v>
      </c>
      <c r="AB23">
        <f t="shared" si="14"/>
        <v>0.37922067755247568</v>
      </c>
      <c r="AC23">
        <f t="shared" si="15"/>
        <v>-0.22883932663061832</v>
      </c>
      <c r="AD23">
        <f t="shared" si="16"/>
        <v>-0.82620313537701373</v>
      </c>
      <c r="AE23">
        <f t="shared" si="17"/>
        <v>0.23390205085855886</v>
      </c>
      <c r="AF23">
        <f t="shared" si="18"/>
        <v>0.35226199892984922</v>
      </c>
      <c r="AG23">
        <f>Q23*($O$6*AF23-V23*AE23)*G23</f>
        <v>0.2114613369301572</v>
      </c>
      <c r="AH23">
        <f t="shared" si="19"/>
        <v>0.40949689973658732</v>
      </c>
      <c r="AI23">
        <f t="shared" si="20"/>
        <v>0.20434443497963595</v>
      </c>
      <c r="AJ23">
        <f>Q23*(V23*AH23-$L$6*AI23)*G23</f>
        <v>0.73004466458681105</v>
      </c>
      <c r="AL23">
        <f t="shared" si="21"/>
        <v>2.3151125546366443E-2</v>
      </c>
    </row>
    <row r="24" spans="1:38">
      <c r="A24" s="1">
        <v>45472</v>
      </c>
      <c r="B24">
        <f t="shared" si="1"/>
        <v>7</v>
      </c>
      <c r="C24" s="1">
        <f t="shared" si="2"/>
        <v>45474</v>
      </c>
      <c r="D24" s="2">
        <f t="shared" si="3"/>
        <v>19.019178082191782</v>
      </c>
      <c r="E24" s="2">
        <f t="shared" si="22"/>
        <v>1.008219178082193</v>
      </c>
      <c r="F24">
        <f t="shared" si="4"/>
        <v>16.933523982499999</v>
      </c>
      <c r="G24" s="10">
        <v>228.95156062000001</v>
      </c>
      <c r="H24" s="10">
        <f t="shared" si="23"/>
        <v>15.220624650000019</v>
      </c>
      <c r="I24">
        <v>3.6830090633706902E-2</v>
      </c>
      <c r="J24">
        <v>4.1212070122512233E-2</v>
      </c>
      <c r="M24">
        <f t="shared" si="5"/>
        <v>3.6830090633706902E-2</v>
      </c>
      <c r="N24">
        <f t="shared" si="0"/>
        <v>8.4323067283632405</v>
      </c>
      <c r="O24">
        <f t="shared" si="6"/>
        <v>4.6216382975925674E-2</v>
      </c>
      <c r="P24">
        <f t="shared" si="7"/>
        <v>10.581313008549783</v>
      </c>
      <c r="Q24">
        <v>0.49040057334439346</v>
      </c>
      <c r="R24">
        <f t="shared" si="8"/>
        <v>16.933523982499999</v>
      </c>
      <c r="S24">
        <f t="shared" si="9"/>
        <v>10.581313008549783</v>
      </c>
      <c r="T24" s="10">
        <f t="shared" si="10"/>
        <v>8.3042098697590365</v>
      </c>
      <c r="U24" s="10">
        <f t="shared" si="11"/>
        <v>12.65328502114912</v>
      </c>
      <c r="V24" s="10">
        <f t="shared" si="12"/>
        <v>4.6216382975925674E-2</v>
      </c>
      <c r="X24">
        <v>19</v>
      </c>
      <c r="Y24">
        <f t="shared" si="24"/>
        <v>15.150000000000006</v>
      </c>
      <c r="Z24">
        <f t="shared" si="25"/>
        <v>13.980000000000002</v>
      </c>
      <c r="AA24">
        <f t="shared" si="13"/>
        <v>0.75981784384263562</v>
      </c>
      <c r="AB24">
        <f t="shared" si="14"/>
        <v>0.4078367541517261</v>
      </c>
      <c r="AC24">
        <f t="shared" si="15"/>
        <v>-0.17479814031190846</v>
      </c>
      <c r="AD24">
        <f t="shared" si="16"/>
        <v>-0.78417221261889469</v>
      </c>
      <c r="AE24">
        <f t="shared" si="17"/>
        <v>0.22368173765485178</v>
      </c>
      <c r="AF24">
        <f t="shared" si="18"/>
        <v>0.34169676402831917</v>
      </c>
      <c r="AG24">
        <f>Q24*($O$6*AF24-V24*AE24)*G24</f>
        <v>0.17439986933704668</v>
      </c>
      <c r="AH24">
        <f t="shared" si="19"/>
        <v>0.43061912482873976</v>
      </c>
      <c r="AI24">
        <f t="shared" si="20"/>
        <v>0.21646953381325262</v>
      </c>
      <c r="AJ24">
        <f>Q24*(V24*AH24-$L$6*AI24)*G24</f>
        <v>0.73005321346607421</v>
      </c>
      <c r="AL24">
        <f t="shared" si="21"/>
        <v>2.2664540709298017E-2</v>
      </c>
    </row>
    <row r="25" spans="1:38">
      <c r="A25" s="1">
        <v>45837</v>
      </c>
      <c r="B25">
        <f t="shared" si="1"/>
        <v>1</v>
      </c>
      <c r="C25" s="1">
        <f t="shared" si="2"/>
        <v>45838</v>
      </c>
      <c r="D25" s="2">
        <f t="shared" si="3"/>
        <v>20.016438356164382</v>
      </c>
      <c r="E25" s="2">
        <f t="shared" si="22"/>
        <v>0.99726027397259998</v>
      </c>
      <c r="F25">
        <f t="shared" si="4"/>
        <v>16.933523982499999</v>
      </c>
      <c r="G25" s="10">
        <v>213.73093596999999</v>
      </c>
      <c r="H25" s="10">
        <f t="shared" si="23"/>
        <v>15.832341539999987</v>
      </c>
      <c r="I25">
        <v>3.7049252205106763E-2</v>
      </c>
      <c r="J25">
        <v>4.121437317855263E-2</v>
      </c>
      <c r="M25">
        <f t="shared" si="5"/>
        <v>3.7049252205106763E-2</v>
      </c>
      <c r="N25">
        <f t="shared" si="0"/>
        <v>7.9185713507860545</v>
      </c>
      <c r="O25">
        <f t="shared" si="6"/>
        <v>4.1430455712945458E-2</v>
      </c>
      <c r="P25">
        <f t="shared" si="7"/>
        <v>8.8549700771914654</v>
      </c>
      <c r="Q25">
        <v>0.46873723383060228</v>
      </c>
      <c r="R25">
        <f t="shared" si="8"/>
        <v>16.933523982499999</v>
      </c>
      <c r="S25">
        <f t="shared" si="9"/>
        <v>8.8549700771914654</v>
      </c>
      <c r="T25" s="10">
        <f t="shared" si="10"/>
        <v>7.9373731905612139</v>
      </c>
      <c r="U25" s="10">
        <f t="shared" si="11"/>
        <v>11.571862158156415</v>
      </c>
      <c r="V25" s="10">
        <f t="shared" si="12"/>
        <v>4.1430455712945458E-2</v>
      </c>
      <c r="X25">
        <v>20</v>
      </c>
      <c r="Y25">
        <f t="shared" si="24"/>
        <v>14.950000000000006</v>
      </c>
      <c r="Z25">
        <f t="shared" si="25"/>
        <v>13.880000000000003</v>
      </c>
      <c r="AA25">
        <f t="shared" si="13"/>
        <v>0.59514013983890734</v>
      </c>
      <c r="AB25">
        <f t="shared" si="14"/>
        <v>0.2384872974276907</v>
      </c>
      <c r="AC25">
        <f t="shared" si="15"/>
        <v>-0.33645657989665784</v>
      </c>
      <c r="AD25">
        <f t="shared" si="16"/>
        <v>-0.95718905045059965</v>
      </c>
      <c r="AE25">
        <f t="shared" si="17"/>
        <v>0.27587489968399126</v>
      </c>
      <c r="AF25">
        <f t="shared" si="18"/>
        <v>0.40575158317870741</v>
      </c>
      <c r="AG25">
        <f>Q25*($O$6*AF25-V25*AE25)*G25</f>
        <v>0.26954733818851517</v>
      </c>
      <c r="AH25">
        <f t="shared" si="19"/>
        <v>0.36826329455611573</v>
      </c>
      <c r="AI25">
        <f t="shared" si="20"/>
        <v>0.16923592134867849</v>
      </c>
      <c r="AJ25">
        <f>Q25*(V25*AH25-$L$6*AI25)*G25</f>
        <v>0.47903939063683826</v>
      </c>
      <c r="AL25">
        <f t="shared" si="21"/>
        <v>1.9419997207227327E-2</v>
      </c>
    </row>
    <row r="26" spans="1:38">
      <c r="A26" s="1">
        <v>46202</v>
      </c>
      <c r="B26">
        <f t="shared" si="1"/>
        <v>2</v>
      </c>
      <c r="C26" s="1">
        <f t="shared" si="2"/>
        <v>46202</v>
      </c>
      <c r="D26" s="2">
        <f t="shared" si="3"/>
        <v>21.013698630136986</v>
      </c>
      <c r="E26" s="2">
        <f t="shared" si="22"/>
        <v>0.99726027397260353</v>
      </c>
      <c r="F26">
        <f t="shared" si="4"/>
        <v>16.933523982499999</v>
      </c>
      <c r="G26" s="10">
        <v>197.89859443</v>
      </c>
      <c r="H26" s="10">
        <f t="shared" si="23"/>
        <v>16.468643360000016</v>
      </c>
      <c r="I26">
        <v>3.7247626513748432E-2</v>
      </c>
      <c r="J26">
        <v>4.1215733027772671E-2</v>
      </c>
      <c r="M26">
        <f t="shared" si="5"/>
        <v>3.7247626513748432E-2</v>
      </c>
      <c r="N26">
        <f t="shared" si="0"/>
        <v>7.3712529329244161</v>
      </c>
      <c r="O26">
        <f t="shared" si="6"/>
        <v>4.190449261015039E-2</v>
      </c>
      <c r="P26">
        <f t="shared" si="7"/>
        <v>8.292840187851084</v>
      </c>
      <c r="Q26">
        <v>0.45008980797446796</v>
      </c>
      <c r="R26">
        <f t="shared" si="8"/>
        <v>16.933523982499999</v>
      </c>
      <c r="S26">
        <f t="shared" si="9"/>
        <v>8.292840187851084</v>
      </c>
      <c r="T26" s="10">
        <f t="shared" si="10"/>
        <v>7.6216065576144727</v>
      </c>
      <c r="U26" s="10">
        <f t="shared" si="11"/>
        <v>11.144891375215249</v>
      </c>
      <c r="V26" s="10">
        <f t="shared" si="12"/>
        <v>4.190449261015039E-2</v>
      </c>
      <c r="X26">
        <v>21</v>
      </c>
      <c r="Y26">
        <f t="shared" si="24"/>
        <v>14.750000000000007</v>
      </c>
      <c r="Z26">
        <f t="shared" si="25"/>
        <v>13.780000000000003</v>
      </c>
      <c r="AA26">
        <f t="shared" si="13"/>
        <v>0.61280951235217784</v>
      </c>
      <c r="AB26">
        <f t="shared" si="14"/>
        <v>0.25193167637440533</v>
      </c>
      <c r="AC26">
        <f t="shared" si="15"/>
        <v>-0.30205966821411473</v>
      </c>
      <c r="AD26">
        <f t="shared" si="16"/>
        <v>-0.93353859897902958</v>
      </c>
      <c r="AE26">
        <f t="shared" si="17"/>
        <v>0.27000115020604154</v>
      </c>
      <c r="AF26">
        <f t="shared" si="18"/>
        <v>0.40054693743682179</v>
      </c>
      <c r="AG26">
        <f>Q26*($O$6*AF26-V26*AE26)*G26</f>
        <v>0.23379407954119077</v>
      </c>
      <c r="AH26">
        <f t="shared" si="19"/>
        <v>0.3813032886458636</v>
      </c>
      <c r="AI26">
        <f t="shared" si="20"/>
        <v>0.17527097541516556</v>
      </c>
      <c r="AJ26">
        <f>Q26*(V26*AH26-$L$6*AI26)*G26</f>
        <v>0.45685523557304386</v>
      </c>
      <c r="AL26">
        <f t="shared" si="21"/>
        <v>1.8860785032170101E-2</v>
      </c>
    </row>
    <row r="27" spans="1:38">
      <c r="A27" s="1">
        <v>46567</v>
      </c>
      <c r="B27">
        <f t="shared" si="1"/>
        <v>3</v>
      </c>
      <c r="C27" s="1">
        <f t="shared" si="2"/>
        <v>46567</v>
      </c>
      <c r="D27" s="2">
        <f t="shared" si="3"/>
        <v>22.013698630136986</v>
      </c>
      <c r="E27" s="2">
        <f t="shared" si="22"/>
        <v>1</v>
      </c>
      <c r="F27">
        <f t="shared" si="4"/>
        <v>16.933523982499999</v>
      </c>
      <c r="G27" s="10">
        <v>181.42995106999999</v>
      </c>
      <c r="H27" s="10">
        <f t="shared" si="23"/>
        <v>17.200518129999978</v>
      </c>
      <c r="I27">
        <v>3.7428014796400635E-2</v>
      </c>
      <c r="J27">
        <v>4.1216533936359462E-2</v>
      </c>
      <c r="M27">
        <f t="shared" si="5"/>
        <v>3.7428014796400635E-2</v>
      </c>
      <c r="N27">
        <f t="shared" si="0"/>
        <v>6.7905628931582029</v>
      </c>
      <c r="O27">
        <f t="shared" si="6"/>
        <v>4.239496208613458E-2</v>
      </c>
      <c r="P27">
        <f t="shared" si="7"/>
        <v>7.6917158969019015</v>
      </c>
      <c r="Q27">
        <v>0.43198758731418407</v>
      </c>
      <c r="R27">
        <f t="shared" si="8"/>
        <v>16.933523982499999</v>
      </c>
      <c r="S27">
        <f t="shared" si="9"/>
        <v>7.6917158969019015</v>
      </c>
      <c r="T27" s="10">
        <f t="shared" si="10"/>
        <v>7.3150721699270482</v>
      </c>
      <c r="U27" s="10">
        <f t="shared" si="11"/>
        <v>10.753136120141379</v>
      </c>
      <c r="V27" s="10">
        <f t="shared" si="12"/>
        <v>4.239496208613458E-2</v>
      </c>
      <c r="X27">
        <v>22</v>
      </c>
      <c r="Y27">
        <f t="shared" si="24"/>
        <v>14.550000000000008</v>
      </c>
      <c r="Z27">
        <f t="shared" si="25"/>
        <v>13.680000000000003</v>
      </c>
      <c r="AA27">
        <f t="shared" si="13"/>
        <v>0.63049518108354807</v>
      </c>
      <c r="AB27">
        <f t="shared" si="14"/>
        <v>0.26581535575727633</v>
      </c>
      <c r="AC27">
        <f t="shared" si="15"/>
        <v>-0.26904746459883333</v>
      </c>
      <c r="AD27">
        <f t="shared" si="16"/>
        <v>-0.91069634054267878</v>
      </c>
      <c r="AE27">
        <f t="shared" si="17"/>
        <v>0.26418532732518596</v>
      </c>
      <c r="AF27">
        <f t="shared" si="18"/>
        <v>0.39519070818326263</v>
      </c>
      <c r="AG27">
        <f>Q27*($O$6*AF27-V27*AE27)*G27</f>
        <v>0.2000541910881613</v>
      </c>
      <c r="AH27">
        <f t="shared" si="19"/>
        <v>0.39394657866980398</v>
      </c>
      <c r="AI27">
        <f t="shared" si="20"/>
        <v>0.18122769639617875</v>
      </c>
      <c r="AJ27">
        <f>Q27*(V27*AH27-$L$6*AI27)*G27</f>
        <v>0.42976068496561293</v>
      </c>
      <c r="AL27">
        <f t="shared" si="21"/>
        <v>1.8314097385865584E-2</v>
      </c>
    </row>
    <row r="28" spans="1:38">
      <c r="A28" s="1">
        <v>46933</v>
      </c>
      <c r="B28">
        <f t="shared" si="1"/>
        <v>5</v>
      </c>
      <c r="C28" s="1">
        <f t="shared" si="2"/>
        <v>46933</v>
      </c>
      <c r="D28" s="2">
        <f t="shared" si="3"/>
        <v>23.016438356164382</v>
      </c>
      <c r="E28" s="2">
        <f t="shared" si="22"/>
        <v>1.0027397260273965</v>
      </c>
      <c r="F28">
        <f t="shared" si="4"/>
        <v>16.933523982499999</v>
      </c>
      <c r="G28" s="10">
        <v>164.22943294000001</v>
      </c>
      <c r="H28" s="10">
        <f t="shared" si="23"/>
        <v>17.748993650000017</v>
      </c>
      <c r="I28">
        <v>3.7592744155300714E-2</v>
      </c>
      <c r="J28">
        <v>4.1217004570273462E-2</v>
      </c>
      <c r="M28">
        <f t="shared" si="5"/>
        <v>3.7592744155300714E-2</v>
      </c>
      <c r="N28">
        <f t="shared" si="0"/>
        <v>6.1738350552835355</v>
      </c>
      <c r="O28">
        <f t="shared" si="6"/>
        <v>4.2902989850572171E-2</v>
      </c>
      <c r="P28">
        <f t="shared" si="7"/>
        <v>7.045933694590043</v>
      </c>
      <c r="Q28">
        <v>0.41441833760367724</v>
      </c>
      <c r="R28">
        <f t="shared" si="8"/>
        <v>16.933523982499999</v>
      </c>
      <c r="S28">
        <f t="shared" si="9"/>
        <v>7.045933694590043</v>
      </c>
      <c r="T28" s="10">
        <f t="shared" si="10"/>
        <v>7.0175628585996499</v>
      </c>
      <c r="U28" s="10">
        <f t="shared" si="11"/>
        <v>10.275472571148972</v>
      </c>
      <c r="V28" s="10">
        <f t="shared" si="12"/>
        <v>4.2902989850572171E-2</v>
      </c>
      <c r="X28">
        <v>23</v>
      </c>
      <c r="Y28">
        <f t="shared" si="24"/>
        <v>14.350000000000009</v>
      </c>
      <c r="Z28">
        <f t="shared" si="25"/>
        <v>13.580000000000004</v>
      </c>
      <c r="AA28">
        <f t="shared" si="13"/>
        <v>0.64826187597244467</v>
      </c>
      <c r="AB28">
        <f t="shared" si="14"/>
        <v>0.28018180655819325</v>
      </c>
      <c r="AC28">
        <f t="shared" si="15"/>
        <v>-0.23722706797950571</v>
      </c>
      <c r="AD28">
        <f t="shared" si="16"/>
        <v>-0.88850098884537321</v>
      </c>
      <c r="AE28">
        <f t="shared" si="17"/>
        <v>0.25840779377122447</v>
      </c>
      <c r="AF28">
        <f t="shared" si="18"/>
        <v>0.38966901208002014</v>
      </c>
      <c r="AG28">
        <f>Q28*($O$6*AF28-V28*AE28)*G28</f>
        <v>0.16838066778354066</v>
      </c>
      <c r="AH28">
        <f t="shared" si="19"/>
        <v>0.40624031918036729</v>
      </c>
      <c r="AI28">
        <f t="shared" si="20"/>
        <v>0.18713566208448185</v>
      </c>
      <c r="AJ28">
        <f>Q28*(V28*AH28-$L$6*AI28)*G28</f>
        <v>0.39782431623556991</v>
      </c>
      <c r="AL28">
        <f t="shared" si="21"/>
        <v>1.7779785732101556E-2</v>
      </c>
    </row>
    <row r="29" spans="1:38">
      <c r="A29" s="1">
        <v>47298</v>
      </c>
      <c r="B29">
        <f t="shared" si="1"/>
        <v>6</v>
      </c>
      <c r="C29" s="1">
        <f t="shared" si="2"/>
        <v>47298</v>
      </c>
      <c r="D29" s="2">
        <f t="shared" si="3"/>
        <v>24.016438356164382</v>
      </c>
      <c r="E29" s="2">
        <f t="shared" si="22"/>
        <v>1</v>
      </c>
      <c r="F29">
        <f t="shared" si="4"/>
        <v>16.933523982499999</v>
      </c>
      <c r="G29" s="10">
        <v>146.48043928999999</v>
      </c>
      <c r="H29" s="10">
        <f t="shared" si="23"/>
        <v>18.535139009999995</v>
      </c>
      <c r="I29">
        <v>3.7743761265575694E-2</v>
      </c>
      <c r="J29">
        <v>4.1217280551812403E-2</v>
      </c>
      <c r="M29">
        <f t="shared" si="5"/>
        <v>3.7743761265575694E-2</v>
      </c>
      <c r="N29">
        <f t="shared" si="0"/>
        <v>5.5287227306384139</v>
      </c>
      <c r="O29">
        <f t="shared" si="6"/>
        <v>4.3429800968689536E-2</v>
      </c>
      <c r="P29">
        <f t="shared" si="7"/>
        <v>6.3616163241709103</v>
      </c>
      <c r="Q29">
        <v>0.39736997749239877</v>
      </c>
      <c r="R29">
        <f t="shared" si="8"/>
        <v>16.933523982499999</v>
      </c>
      <c r="S29">
        <f t="shared" si="9"/>
        <v>6.3616163241709103</v>
      </c>
      <c r="T29" s="10">
        <f t="shared" si="10"/>
        <v>6.7288740437930192</v>
      </c>
      <c r="U29" s="10">
        <f t="shared" si="11"/>
        <v>9.8932231067732523</v>
      </c>
      <c r="V29" s="10">
        <f t="shared" si="12"/>
        <v>4.3429800968689536E-2</v>
      </c>
      <c r="X29">
        <v>24</v>
      </c>
      <c r="Y29">
        <f t="shared" si="24"/>
        <v>14.150000000000009</v>
      </c>
      <c r="Z29">
        <f t="shared" si="25"/>
        <v>13.480000000000004</v>
      </c>
      <c r="AA29">
        <f t="shared" si="13"/>
        <v>0.66617390108929031</v>
      </c>
      <c r="AB29">
        <f t="shared" si="14"/>
        <v>0.29507620505763854</v>
      </c>
      <c r="AC29">
        <f t="shared" si="15"/>
        <v>-0.20642862197376641</v>
      </c>
      <c r="AD29">
        <f t="shared" si="16"/>
        <v>-0.86681105662811153</v>
      </c>
      <c r="AE29">
        <f t="shared" si="17"/>
        <v>0.25264997638016484</v>
      </c>
      <c r="AF29">
        <f t="shared" si="18"/>
        <v>0.38396783323587513</v>
      </c>
      <c r="AG29">
        <f>Q29*($O$6*AF29-V29*AE29)*G29</f>
        <v>0.13908792494036734</v>
      </c>
      <c r="AH29">
        <f t="shared" si="19"/>
        <v>0.41822805758090831</v>
      </c>
      <c r="AI29">
        <f t="shared" si="20"/>
        <v>0.19302277150271596</v>
      </c>
      <c r="AJ29">
        <f>Q29*(V29*AH29-$L$6*AI29)*G29</f>
        <v>0.36178235753314836</v>
      </c>
      <c r="AL29">
        <f t="shared" si="21"/>
        <v>1.7257699033427519E-2</v>
      </c>
    </row>
    <row r="30" spans="1:38">
      <c r="A30" s="1">
        <v>47663</v>
      </c>
      <c r="B30">
        <f t="shared" si="1"/>
        <v>7</v>
      </c>
      <c r="C30" s="1">
        <f t="shared" si="2"/>
        <v>47665</v>
      </c>
      <c r="D30" s="2">
        <f t="shared" si="3"/>
        <v>25.021917808219179</v>
      </c>
      <c r="E30" s="2">
        <f t="shared" si="22"/>
        <v>1.0054794520547965</v>
      </c>
      <c r="F30">
        <f t="shared" si="4"/>
        <v>16.933523982499999</v>
      </c>
      <c r="G30" s="10">
        <v>127.94530028</v>
      </c>
      <c r="H30" s="10">
        <f t="shared" si="23"/>
        <v>19.280066239999996</v>
      </c>
      <c r="I30">
        <v>3.78827055551475E-2</v>
      </c>
      <c r="J30">
        <v>4.121744208081949E-2</v>
      </c>
      <c r="M30">
        <f t="shared" si="5"/>
        <v>3.78827055551475E-2</v>
      </c>
      <c r="N30">
        <f t="shared" si="0"/>
        <v>4.8469141376721705</v>
      </c>
      <c r="O30">
        <f t="shared" si="6"/>
        <v>4.0266089192517729E-2</v>
      </c>
      <c r="P30">
        <f t="shared" si="7"/>
        <v>5.1518568728379437</v>
      </c>
      <c r="Q30">
        <v>0.38083058115025292</v>
      </c>
      <c r="R30">
        <f t="shared" si="8"/>
        <v>16.933523982499999</v>
      </c>
      <c r="S30">
        <f t="shared" si="9"/>
        <v>5.1518568728379437</v>
      </c>
      <c r="T30" s="10">
        <f t="shared" si="10"/>
        <v>6.4488037791772195</v>
      </c>
      <c r="U30" s="10">
        <f t="shared" si="11"/>
        <v>9.304423477680368</v>
      </c>
      <c r="V30" s="10">
        <f t="shared" si="12"/>
        <v>4.0266089192517729E-2</v>
      </c>
      <c r="X30">
        <v>25</v>
      </c>
      <c r="Y30">
        <f t="shared" si="24"/>
        <v>13.95000000000001</v>
      </c>
      <c r="Z30">
        <f t="shared" si="25"/>
        <v>13.380000000000004</v>
      </c>
      <c r="AA30">
        <f t="shared" si="13"/>
        <v>0.55791454294468701</v>
      </c>
      <c r="AB30">
        <f t="shared" si="14"/>
        <v>0.1841645429446867</v>
      </c>
      <c r="AC30">
        <f t="shared" si="15"/>
        <v>-0.3082661049420069</v>
      </c>
      <c r="AD30">
        <f t="shared" si="16"/>
        <v>-0.97726610494200705</v>
      </c>
      <c r="AE30">
        <f t="shared" si="17"/>
        <v>0.28845137015163747</v>
      </c>
      <c r="AF30">
        <f t="shared" si="18"/>
        <v>0.42694218715540122</v>
      </c>
      <c r="AG30">
        <f>Q30*($O$6*AF30-V30*AE30)*G30</f>
        <v>0.15800599831812859</v>
      </c>
      <c r="AH30">
        <f t="shared" si="19"/>
        <v>0.37893992765865314</v>
      </c>
      <c r="AI30">
        <f t="shared" si="20"/>
        <v>0.16421871444234348</v>
      </c>
      <c r="AJ30">
        <f>Q30*(V30*AH30-$L$6*AI30)*G30</f>
        <v>0.24817304006711052</v>
      </c>
      <c r="AL30">
        <f t="shared" si="21"/>
        <v>1.5334558147834446E-2</v>
      </c>
    </row>
    <row r="31" spans="1:38">
      <c r="A31" s="1">
        <v>48028</v>
      </c>
      <c r="B31">
        <f t="shared" si="1"/>
        <v>1</v>
      </c>
      <c r="C31" s="1">
        <f t="shared" si="2"/>
        <v>48029</v>
      </c>
      <c r="D31" s="2">
        <f t="shared" si="3"/>
        <v>26.019178082191782</v>
      </c>
      <c r="E31" s="2">
        <f t="shared" si="22"/>
        <v>0.99726027397260353</v>
      </c>
      <c r="F31">
        <f t="shared" si="4"/>
        <v>16.933523982499999</v>
      </c>
      <c r="G31" s="10">
        <v>108.66523404</v>
      </c>
      <c r="H31" s="10">
        <f t="shared" si="23"/>
        <v>20.054932109999996</v>
      </c>
      <c r="I31">
        <v>3.8010966629253511E-2</v>
      </c>
      <c r="J31">
        <v>4.1217536456990597E-2</v>
      </c>
      <c r="M31">
        <f t="shared" si="5"/>
        <v>3.8010966629253511E-2</v>
      </c>
      <c r="N31">
        <f t="shared" si="0"/>
        <v>4.1304705848544625</v>
      </c>
      <c r="O31">
        <f t="shared" si="6"/>
        <v>4.0498110578506941E-2</v>
      </c>
      <c r="P31">
        <f t="shared" si="7"/>
        <v>4.4007366641912569</v>
      </c>
      <c r="Q31">
        <v>0.3660895852578101</v>
      </c>
      <c r="R31">
        <f t="shared" si="8"/>
        <v>16.933523982499999</v>
      </c>
      <c r="S31">
        <f t="shared" si="9"/>
        <v>4.4007366641912569</v>
      </c>
      <c r="T31" s="10">
        <f t="shared" si="10"/>
        <v>6.1991867717066054</v>
      </c>
      <c r="U31" s="10">
        <f t="shared" si="11"/>
        <v>8.9529656387460523</v>
      </c>
      <c r="V31" s="10">
        <f t="shared" si="12"/>
        <v>4.0498110578506941E-2</v>
      </c>
      <c r="X31">
        <v>26</v>
      </c>
      <c r="Y31">
        <f t="shared" si="24"/>
        <v>13.750000000000011</v>
      </c>
      <c r="Z31">
        <f t="shared" si="25"/>
        <v>13.280000000000005</v>
      </c>
      <c r="AA31">
        <f t="shared" si="13"/>
        <v>0.56683864995376343</v>
      </c>
      <c r="AB31">
        <f t="shared" si="14"/>
        <v>0.19078596082629523</v>
      </c>
      <c r="AC31">
        <f t="shared" si="15"/>
        <v>-0.28797016778846585</v>
      </c>
      <c r="AD31">
        <f t="shared" si="16"/>
        <v>-0.96511995919358795</v>
      </c>
      <c r="AE31">
        <f t="shared" si="17"/>
        <v>0.28541190443918041</v>
      </c>
      <c r="AF31">
        <f t="shared" si="18"/>
        <v>0.42434664414394674</v>
      </c>
      <c r="AG31">
        <f>Q31*($O$6*AF31-V31*AE31)*G31</f>
        <v>0.12764280142727996</v>
      </c>
      <c r="AH31">
        <f t="shared" si="19"/>
        <v>0.38668478723580424</v>
      </c>
      <c r="AI31">
        <f t="shared" si="20"/>
        <v>0.16724236550419902</v>
      </c>
      <c r="AJ31">
        <f>Q31*(V31*AH31-$L$6*AI31)*G31</f>
        <v>0.21114676449347736</v>
      </c>
      <c r="AL31">
        <f t="shared" si="21"/>
        <v>1.4825936505410538E-2</v>
      </c>
    </row>
    <row r="32" spans="1:38">
      <c r="A32" s="1">
        <v>48394</v>
      </c>
      <c r="B32">
        <f t="shared" si="1"/>
        <v>3</v>
      </c>
      <c r="C32" s="1">
        <f t="shared" si="2"/>
        <v>48394</v>
      </c>
      <c r="D32" s="2">
        <f t="shared" si="3"/>
        <v>27.019178082191782</v>
      </c>
      <c r="E32" s="2">
        <f t="shared" si="22"/>
        <v>1</v>
      </c>
      <c r="F32">
        <f t="shared" si="4"/>
        <v>16.933523982499999</v>
      </c>
      <c r="G32" s="10">
        <v>88.610301930000006</v>
      </c>
      <c r="H32" s="10">
        <f t="shared" si="23"/>
        <v>20.860939830000007</v>
      </c>
      <c r="I32">
        <v>3.8129729585490782E-2</v>
      </c>
      <c r="J32">
        <v>4.1217591509256482E-2</v>
      </c>
      <c r="M32">
        <f t="shared" si="5"/>
        <v>3.8129729585490782E-2</v>
      </c>
      <c r="N32">
        <f t="shared" si="0"/>
        <v>3.3786868510795922</v>
      </c>
      <c r="O32">
        <f t="shared" si="6"/>
        <v>4.0737802747704555E-2</v>
      </c>
      <c r="P32">
        <f t="shared" si="7"/>
        <v>3.6097890014388843</v>
      </c>
      <c r="Q32">
        <v>0.35184070161767789</v>
      </c>
      <c r="R32">
        <f t="shared" si="8"/>
        <v>16.933523982499999</v>
      </c>
      <c r="S32">
        <f t="shared" si="9"/>
        <v>3.6097890014388843</v>
      </c>
      <c r="T32" s="10">
        <f t="shared" si="10"/>
        <v>5.9579029588625749</v>
      </c>
      <c r="U32" s="10">
        <f t="shared" si="11"/>
        <v>8.6097984011493978</v>
      </c>
      <c r="V32" s="10">
        <f t="shared" si="12"/>
        <v>4.0737802747704555E-2</v>
      </c>
      <c r="X32">
        <v>27</v>
      </c>
      <c r="Y32">
        <f t="shared" si="24"/>
        <v>13.550000000000011</v>
      </c>
      <c r="Z32">
        <f t="shared" si="25"/>
        <v>13.180000000000005</v>
      </c>
      <c r="AA32">
        <f t="shared" si="13"/>
        <v>0.57579144338503863</v>
      </c>
      <c r="AB32">
        <f t="shared" si="14"/>
        <v>0.19777135463313075</v>
      </c>
      <c r="AC32">
        <f t="shared" si="15"/>
        <v>-0.26845468092834968</v>
      </c>
      <c r="AD32">
        <f t="shared" si="16"/>
        <v>-0.95330757024108403</v>
      </c>
      <c r="AE32">
        <f t="shared" si="17"/>
        <v>0.28237807890797695</v>
      </c>
      <c r="AF32">
        <f t="shared" si="18"/>
        <v>0.42161197958169883</v>
      </c>
      <c r="AG32">
        <f>Q32*($O$6*AF32-V32*AE32)*G32</f>
        <v>9.878759865573461E-2</v>
      </c>
      <c r="AH32">
        <f t="shared" si="19"/>
        <v>0.39417467713733079</v>
      </c>
      <c r="AI32">
        <f t="shared" si="20"/>
        <v>0.17021712850110027</v>
      </c>
      <c r="AJ32">
        <f>Q32*(V32*AH32-$L$6*AI32)*G32</f>
        <v>0.17213815544251596</v>
      </c>
      <c r="AL32">
        <f t="shared" si="21"/>
        <v>1.4333217101114936E-2</v>
      </c>
    </row>
    <row r="33" spans="1:39">
      <c r="A33" s="1">
        <v>48759</v>
      </c>
      <c r="B33">
        <f t="shared" si="1"/>
        <v>4</v>
      </c>
      <c r="C33" s="1">
        <f t="shared" si="2"/>
        <v>48759</v>
      </c>
      <c r="D33" s="2">
        <f t="shared" si="3"/>
        <v>28.019178082191782</v>
      </c>
      <c r="E33" s="2">
        <f t="shared" si="22"/>
        <v>1</v>
      </c>
      <c r="F33">
        <f t="shared" si="4"/>
        <v>16.933523982499999</v>
      </c>
      <c r="G33" s="10">
        <v>67.749362099999999</v>
      </c>
      <c r="H33" s="10">
        <f t="shared" si="23"/>
        <v>21.699340999999997</v>
      </c>
      <c r="I33">
        <v>3.8240010992487895E-2</v>
      </c>
      <c r="J33">
        <v>4.1217623575047553E-2</v>
      </c>
      <c r="M33">
        <f t="shared" si="5"/>
        <v>3.8240010992487895E-2</v>
      </c>
      <c r="N33">
        <f t="shared" si="0"/>
        <v>2.5907363514380428</v>
      </c>
      <c r="O33">
        <f t="shared" si="6"/>
        <v>4.0985587725732797E-2</v>
      </c>
      <c r="P33">
        <f t="shared" si="7"/>
        <v>2.7767474237119867</v>
      </c>
      <c r="Q33">
        <v>0.33806853242840362</v>
      </c>
      <c r="R33">
        <f t="shared" si="8"/>
        <v>16.933523982499999</v>
      </c>
      <c r="S33">
        <f t="shared" si="9"/>
        <v>2.7767474237119867</v>
      </c>
      <c r="T33" s="10">
        <f t="shared" si="10"/>
        <v>5.7246916016049516</v>
      </c>
      <c r="U33" s="10">
        <f t="shared" si="11"/>
        <v>8.2745952929921494</v>
      </c>
      <c r="V33" s="10">
        <f t="shared" si="12"/>
        <v>4.0985587725732797E-2</v>
      </c>
      <c r="X33">
        <v>28</v>
      </c>
      <c r="Y33">
        <f t="shared" si="24"/>
        <v>13.350000000000012</v>
      </c>
      <c r="Z33">
        <f t="shared" si="25"/>
        <v>13.080000000000005</v>
      </c>
      <c r="AA33">
        <f t="shared" si="13"/>
        <v>0.58480390185373166</v>
      </c>
      <c r="AB33">
        <f t="shared" si="14"/>
        <v>0.20513858871596252</v>
      </c>
      <c r="AC33">
        <f t="shared" si="15"/>
        <v>-0.24963388003840789</v>
      </c>
      <c r="AD33">
        <f t="shared" si="16"/>
        <v>-0.94176242301290525</v>
      </c>
      <c r="AE33">
        <f t="shared" si="17"/>
        <v>0.27933979022980826</v>
      </c>
      <c r="AF33">
        <f t="shared" si="18"/>
        <v>0.41873192402070192</v>
      </c>
      <c r="AG33">
        <f>Q33*($O$6*AF33-V33*AE33)*G33</f>
        <v>7.152817464123408E-2</v>
      </c>
      <c r="AH33">
        <f t="shared" si="19"/>
        <v>0.40143524770899308</v>
      </c>
      <c r="AI33">
        <f t="shared" si="20"/>
        <v>0.17315714387239511</v>
      </c>
      <c r="AJ33">
        <f>Q33*(V33*AH33-$L$6*AI33)*G33</f>
        <v>0.13134560323937503</v>
      </c>
      <c r="AL33">
        <f t="shared" si="21"/>
        <v>1.3855937493154079E-2</v>
      </c>
    </row>
    <row r="34" spans="1:39">
      <c r="A34" s="1">
        <v>49124</v>
      </c>
      <c r="B34">
        <f t="shared" si="1"/>
        <v>5</v>
      </c>
      <c r="C34" s="1">
        <f t="shared" si="2"/>
        <v>49124</v>
      </c>
      <c r="D34" s="2">
        <f t="shared" si="3"/>
        <v>29.019178082191782</v>
      </c>
      <c r="E34" s="2">
        <f t="shared" si="22"/>
        <v>1</v>
      </c>
      <c r="F34">
        <f t="shared" si="4"/>
        <v>16.933523982499999</v>
      </c>
      <c r="G34" s="10">
        <v>46.050021100000002</v>
      </c>
      <c r="H34" s="10">
        <f t="shared" si="23"/>
        <v>22.571437510000003</v>
      </c>
      <c r="I34">
        <v>3.8342687638950337E-2</v>
      </c>
      <c r="J34">
        <v>4.1217642226374994E-2</v>
      </c>
      <c r="M34">
        <f t="shared" si="5"/>
        <v>3.8342687638950337E-2</v>
      </c>
      <c r="N34">
        <f t="shared" si="0"/>
        <v>1.7656815748043724</v>
      </c>
      <c r="O34">
        <f t="shared" si="6"/>
        <v>4.1241916498696352E-2</v>
      </c>
      <c r="P34">
        <f t="shared" si="7"/>
        <v>1.8991911249694051</v>
      </c>
      <c r="Q34">
        <v>0.32475812961732775</v>
      </c>
      <c r="R34">
        <f t="shared" si="8"/>
        <v>16.933523982499999</v>
      </c>
      <c r="S34">
        <f t="shared" si="9"/>
        <v>1.8991911249694051</v>
      </c>
      <c r="T34" s="10">
        <f t="shared" si="10"/>
        <v>5.4992995763868624</v>
      </c>
      <c r="U34" s="10">
        <f t="shared" si="11"/>
        <v>7.9470355860528867</v>
      </c>
      <c r="V34" s="10">
        <f t="shared" si="12"/>
        <v>4.1241916498696352E-2</v>
      </c>
      <c r="X34">
        <v>29</v>
      </c>
      <c r="Y34">
        <f t="shared" si="24"/>
        <v>13.150000000000013</v>
      </c>
      <c r="Z34">
        <f t="shared" si="25"/>
        <v>12.980000000000006</v>
      </c>
      <c r="AA34">
        <f t="shared" si="13"/>
        <v>0.59390787234703624</v>
      </c>
      <c r="AB34">
        <f t="shared" si="14"/>
        <v>0.21290746224226972</v>
      </c>
      <c r="AC34">
        <f t="shared" si="15"/>
        <v>-0.23143028276122532</v>
      </c>
      <c r="AD34">
        <f t="shared" si="16"/>
        <v>-0.93042467472728441</v>
      </c>
      <c r="AE34">
        <f t="shared" si="17"/>
        <v>0.27628686669242652</v>
      </c>
      <c r="AF34">
        <f t="shared" si="18"/>
        <v>0.41569957089932441</v>
      </c>
      <c r="AG34">
        <f>Q34*($O$6*AF34-V34*AE34)*G34</f>
        <v>4.5938313870550931E-2</v>
      </c>
      <c r="AH34">
        <f t="shared" si="19"/>
        <v>0.40849027070345223</v>
      </c>
      <c r="AI34">
        <f t="shared" si="20"/>
        <v>0.17607562393039045</v>
      </c>
      <c r="AJ34">
        <f>Q34*(V34*AH34-$L$6*AI34)*G34</f>
        <v>8.8950661015951754E-2</v>
      </c>
      <c r="AL34">
        <f t="shared" si="21"/>
        <v>1.3393647663950637E-2</v>
      </c>
    </row>
    <row r="35" spans="1:39">
      <c r="A35" s="1">
        <v>49489</v>
      </c>
      <c r="B35">
        <f t="shared" si="1"/>
        <v>6</v>
      </c>
      <c r="C35" s="1">
        <f t="shared" si="2"/>
        <v>49489</v>
      </c>
      <c r="D35" s="2">
        <f t="shared" si="3"/>
        <v>30.019178082191782</v>
      </c>
      <c r="E35" s="2">
        <f t="shared" si="22"/>
        <v>1</v>
      </c>
      <c r="F35">
        <f>(1+B$2)*A$2</f>
        <v>438.27027398249999</v>
      </c>
      <c r="G35" s="10">
        <v>23.47858359</v>
      </c>
      <c r="H35" s="10">
        <f t="shared" si="23"/>
        <v>23.47858359</v>
      </c>
      <c r="I35">
        <v>3.8438519655397511E-2</v>
      </c>
      <c r="J35">
        <v>4.1217653061170111E-2</v>
      </c>
      <c r="M35">
        <f t="shared" si="5"/>
        <v>3.8438519655397511E-2</v>
      </c>
      <c r="N35">
        <f t="shared" si="0"/>
        <v>0.90248199680510843</v>
      </c>
      <c r="P35">
        <f t="shared" si="7"/>
        <v>0</v>
      </c>
      <c r="Q35">
        <v>0.311894982781107</v>
      </c>
      <c r="R35">
        <f t="shared" si="8"/>
        <v>16.933523982499999</v>
      </c>
      <c r="S35">
        <f t="shared" si="9"/>
        <v>0</v>
      </c>
      <c r="T35" s="10">
        <f>(R35+A2)*Q35</f>
        <v>136.69429955724289</v>
      </c>
      <c r="U35" s="10">
        <f t="shared" si="11"/>
        <v>7.3228524245278308</v>
      </c>
      <c r="V35" s="10"/>
      <c r="X35">
        <v>30</v>
      </c>
      <c r="Y35">
        <f t="shared" si="24"/>
        <v>12.950000000000014</v>
      </c>
      <c r="Z35">
        <f>Z34-0.1</f>
        <v>12.880000000000006</v>
      </c>
      <c r="AM35" t="s">
        <v>34</v>
      </c>
    </row>
    <row r="36" spans="1:39">
      <c r="A36" s="1"/>
      <c r="G36" s="10"/>
      <c r="H36" s="10"/>
      <c r="T36" s="10"/>
      <c r="U36" s="10"/>
      <c r="V36" s="10"/>
      <c r="AG36">
        <f>SUM(AG6:AG34)</f>
        <v>18.771847012921327</v>
      </c>
      <c r="AJ36">
        <f t="shared" ref="AJ36:AL36" si="26">SUM(AJ6:AJ34)</f>
        <v>14.894645655927112</v>
      </c>
      <c r="AL36">
        <f t="shared" si="26"/>
        <v>0.69426875824638223</v>
      </c>
      <c r="AM36">
        <f>AL36/SUM(Q6:Q35)</f>
        <v>3.8415826088955954E-2</v>
      </c>
    </row>
    <row r="37" spans="1:39">
      <c r="A37" s="1"/>
      <c r="G37" s="10"/>
      <c r="H37" s="10"/>
      <c r="R37">
        <f>SUM(R6:R35)</f>
        <v>508.00571947499981</v>
      </c>
      <c r="S37">
        <f>SUM(S6:S35)</f>
        <v>302.65216436928381</v>
      </c>
      <c r="T37" s="10">
        <f t="shared" ref="T37:U37" si="27">SUM(T6:T35)</f>
        <v>437.4433757103119</v>
      </c>
      <c r="U37" s="10">
        <f t="shared" si="27"/>
        <v>428.75581114348034</v>
      </c>
      <c r="V37" s="10"/>
    </row>
    <row r="38" spans="1:39">
      <c r="A38" s="1"/>
      <c r="G38" s="10"/>
      <c r="H38" s="10"/>
      <c r="T38" s="10"/>
      <c r="U38" s="10"/>
      <c r="V38" s="10"/>
    </row>
    <row r="39" spans="1:39">
      <c r="A39" s="1"/>
      <c r="G39" s="10"/>
      <c r="H39" s="10"/>
      <c r="T39" s="10">
        <f>T37-U37</f>
        <v>8.6875645668315542</v>
      </c>
      <c r="U39" s="10"/>
      <c r="V39" s="10"/>
      <c r="W39" t="s">
        <v>32</v>
      </c>
      <c r="Z39">
        <f>T39-AJ36+AG36</f>
        <v>12.564765923825769</v>
      </c>
    </row>
    <row r="40" spans="1:39">
      <c r="A40" s="1"/>
    </row>
    <row r="41" spans="1:39">
      <c r="A41" s="1"/>
    </row>
    <row r="42" spans="1:39">
      <c r="A42" s="1"/>
    </row>
  </sheetData>
  <mergeCells count="2">
    <mergeCell ref="M4:N4"/>
    <mergeCell ref="O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General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</dc:creator>
  <cp:lastModifiedBy>Branda</cp:lastModifiedBy>
  <dcterms:created xsi:type="dcterms:W3CDTF">2010-12-14T13:45:04Z</dcterms:created>
  <dcterms:modified xsi:type="dcterms:W3CDTF">2010-12-16T15:02:21Z</dcterms:modified>
</cp:coreProperties>
</file>